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21135" windowHeight="11700" activeTab="1"/>
  </bookViews>
  <sheets>
    <sheet name="Hoja1" sheetId="10" r:id="rId1"/>
    <sheet name="Semana-(9)" sheetId="14" r:id="rId2"/>
    <sheet name="Semana-(8)" sheetId="13" r:id="rId3"/>
    <sheet name="Semana-(7)" sheetId="12" r:id="rId4"/>
    <sheet name="Semana-(6)" sheetId="11" r:id="rId5"/>
    <sheet name="Semana-(5)" sheetId="9" r:id="rId6"/>
    <sheet name="Semana-(4)" sheetId="8" r:id="rId7"/>
    <sheet name="Semana-(3)" sheetId="7" r:id="rId8"/>
    <sheet name="Semana-(2)" sheetId="6" r:id="rId9"/>
    <sheet name="Semana-(1)" sheetId="5" r:id="rId10"/>
    <sheet name="Antg-Semana-(52)" sheetId="4" r:id="rId11"/>
  </sheets>
  <definedNames>
    <definedName name="_xlnm.Print_Area" localSheetId="10">'Antg-Semana-(52)'!$B$3:$AT$50</definedName>
    <definedName name="_xlnm.Print_Area" localSheetId="9">'Semana-(1)'!$B$3:$AT$50</definedName>
    <definedName name="_xlnm.Print_Area" localSheetId="8">'Semana-(2)'!$B$3:$AT$50</definedName>
    <definedName name="_xlnm.Print_Area" localSheetId="7">'Semana-(3)'!$B$3:$AT$50</definedName>
    <definedName name="_xlnm.Print_Area" localSheetId="6">'Semana-(4)'!$B$3:$AT$50</definedName>
    <definedName name="_xlnm.Print_Area" localSheetId="5">'Semana-(5)'!$B$3:$AT$50</definedName>
    <definedName name="_xlnm.Print_Area" localSheetId="4">'Semana-(6)'!$B$3:$AT$50</definedName>
    <definedName name="_xlnm.Print_Area" localSheetId="3">'Semana-(7)'!$B$3:$AT$50</definedName>
    <definedName name="_xlnm.Print_Area" localSheetId="2">'Semana-(8)'!$B$3:$AT$50</definedName>
    <definedName name="_xlnm.Print_Area" localSheetId="1">'Semana-(9)'!$B$3:$AT$50</definedName>
  </definedNames>
  <calcPr calcId="124519"/>
</workbook>
</file>

<file path=xl/calcChain.xml><?xml version="1.0" encoding="utf-8"?>
<calcChain xmlns="http://schemas.openxmlformats.org/spreadsheetml/2006/main">
  <c r="AD274" i="14"/>
  <c r="X274"/>
  <c r="U274"/>
  <c r="R274"/>
  <c r="AD273"/>
  <c r="X273"/>
  <c r="U273"/>
  <c r="R273"/>
  <c r="AD272"/>
  <c r="X272"/>
  <c r="U272"/>
  <c r="R272"/>
  <c r="AD271"/>
  <c r="X271"/>
  <c r="U271"/>
  <c r="R271"/>
  <c r="AD270"/>
  <c r="X270"/>
  <c r="U270"/>
  <c r="R270"/>
  <c r="AD269"/>
  <c r="X269"/>
  <c r="U269"/>
  <c r="R269"/>
  <c r="AD268"/>
  <c r="AD275" s="1"/>
  <c r="X268"/>
  <c r="X275" s="1"/>
  <c r="U268"/>
  <c r="R268"/>
  <c r="O256"/>
  <c r="O257" s="1"/>
  <c r="O248"/>
  <c r="O249" s="1"/>
  <c r="B248"/>
  <c r="B249" s="1"/>
  <c r="B251" s="1"/>
  <c r="B247"/>
  <c r="M242"/>
  <c r="X238"/>
  <c r="U238"/>
  <c r="R238"/>
  <c r="U237"/>
  <c r="X237" s="1"/>
  <c r="R237"/>
  <c r="X236"/>
  <c r="U236"/>
  <c r="R236"/>
  <c r="U235"/>
  <c r="X235" s="1"/>
  <c r="R235"/>
  <c r="X234"/>
  <c r="U234"/>
  <c r="R234"/>
  <c r="U233"/>
  <c r="X233" s="1"/>
  <c r="R233"/>
  <c r="AI232"/>
  <c r="AD232"/>
  <c r="X232"/>
  <c r="U232"/>
  <c r="R232"/>
  <c r="AD231"/>
  <c r="AI231" s="1"/>
  <c r="U231"/>
  <c r="X231" s="1"/>
  <c r="X240" s="1"/>
  <c r="R231"/>
  <c r="X224"/>
  <c r="U224"/>
  <c r="W224" s="1"/>
  <c r="C224"/>
  <c r="E224" s="1"/>
  <c r="X223"/>
  <c r="W223"/>
  <c r="U223"/>
  <c r="G223"/>
  <c r="K223" s="1"/>
  <c r="E223"/>
  <c r="I223" s="1"/>
  <c r="N223" s="1"/>
  <c r="AF222"/>
  <c r="X222"/>
  <c r="W222"/>
  <c r="U222"/>
  <c r="K222"/>
  <c r="I222"/>
  <c r="N222" s="1"/>
  <c r="E222"/>
  <c r="C222"/>
  <c r="X221"/>
  <c r="U221"/>
  <c r="W221" s="1"/>
  <c r="I221"/>
  <c r="N221" s="1"/>
  <c r="G221"/>
  <c r="K221" s="1"/>
  <c r="E221"/>
  <c r="C221"/>
  <c r="X220"/>
  <c r="U220"/>
  <c r="W220" s="1"/>
  <c r="E220"/>
  <c r="K220" s="1"/>
  <c r="C220"/>
  <c r="G220" s="1"/>
  <c r="X219"/>
  <c r="W219"/>
  <c r="U219"/>
  <c r="E219"/>
  <c r="I219" s="1"/>
  <c r="N219" s="1"/>
  <c r="C219"/>
  <c r="X218"/>
  <c r="U218"/>
  <c r="W218" s="1"/>
  <c r="N218"/>
  <c r="K218"/>
  <c r="X217"/>
  <c r="U217"/>
  <c r="W217" s="1"/>
  <c r="C217"/>
  <c r="E217" s="1"/>
  <c r="X216"/>
  <c r="W216"/>
  <c r="U216"/>
  <c r="S216"/>
  <c r="C216"/>
  <c r="E216" s="1"/>
  <c r="X215"/>
  <c r="W215"/>
  <c r="U215"/>
  <c r="E215"/>
  <c r="I215" s="1"/>
  <c r="N215" s="1"/>
  <c r="C215"/>
  <c r="X214"/>
  <c r="U214"/>
  <c r="W214" s="1"/>
  <c r="C214"/>
  <c r="E214" s="1"/>
  <c r="X213"/>
  <c r="W213"/>
  <c r="U213"/>
  <c r="S213"/>
  <c r="C213"/>
  <c r="E213" s="1"/>
  <c r="X212"/>
  <c r="U212"/>
  <c r="W212" s="1"/>
  <c r="C212"/>
  <c r="E212" s="1"/>
  <c r="X211"/>
  <c r="W211"/>
  <c r="U211"/>
  <c r="E211"/>
  <c r="K211" s="1"/>
  <c r="C211"/>
  <c r="X210"/>
  <c r="U210"/>
  <c r="W210" s="1"/>
  <c r="C210"/>
  <c r="E210" s="1"/>
  <c r="K208"/>
  <c r="I208"/>
  <c r="N208" s="1"/>
  <c r="E208"/>
  <c r="C208"/>
  <c r="E207"/>
  <c r="I207" s="1"/>
  <c r="N207" s="1"/>
  <c r="O188"/>
  <c r="O189" s="1"/>
  <c r="B187"/>
  <c r="B188" s="1"/>
  <c r="B189" s="1"/>
  <c r="B191" s="1"/>
  <c r="B186"/>
  <c r="AG173"/>
  <c r="AJ173" s="1"/>
  <c r="AG172"/>
  <c r="AJ172" s="1"/>
  <c r="AG171"/>
  <c r="AJ171" s="1"/>
  <c r="AJ170"/>
  <c r="AK174" s="1"/>
  <c r="AG170"/>
  <c r="AJ169"/>
  <c r="O169"/>
  <c r="O177" s="1"/>
  <c r="O178" s="1"/>
  <c r="B168"/>
  <c r="B169" s="1"/>
  <c r="B170" s="1"/>
  <c r="B172" s="1"/>
  <c r="O157"/>
  <c r="O158" s="1"/>
  <c r="O149"/>
  <c r="O150" s="1"/>
  <c r="B149"/>
  <c r="B150" s="1"/>
  <c r="B152" s="1"/>
  <c r="B148"/>
  <c r="O131"/>
  <c r="O132" s="1"/>
  <c r="B130"/>
  <c r="B131" s="1"/>
  <c r="B132" s="1"/>
  <c r="B134" s="1"/>
  <c r="O120"/>
  <c r="O121" s="1"/>
  <c r="AI117"/>
  <c r="AE117"/>
  <c r="AI113"/>
  <c r="AI114" s="1"/>
  <c r="AL113" s="1"/>
  <c r="AL112" s="1"/>
  <c r="AO112" s="1"/>
  <c r="AO113" s="1"/>
  <c r="O112"/>
  <c r="O113" s="1"/>
  <c r="B112"/>
  <c r="B113" s="1"/>
  <c r="B115" s="1"/>
  <c r="B111"/>
  <c r="O94"/>
  <c r="O95" s="1"/>
  <c r="B93"/>
  <c r="B94" s="1"/>
  <c r="B95" s="1"/>
  <c r="B97" s="1"/>
  <c r="X89"/>
  <c r="W89"/>
  <c r="U89"/>
  <c r="E89"/>
  <c r="K89" s="1"/>
  <c r="C89"/>
  <c r="X88"/>
  <c r="U88"/>
  <c r="W88" s="1"/>
  <c r="K88"/>
  <c r="I88"/>
  <c r="N88" s="1"/>
  <c r="C88"/>
  <c r="E88" s="1"/>
  <c r="X86"/>
  <c r="K86"/>
  <c r="I86"/>
  <c r="N86" s="1"/>
  <c r="E86"/>
  <c r="C86"/>
  <c r="X85"/>
  <c r="C85"/>
  <c r="E85" s="1"/>
  <c r="X84"/>
  <c r="E84"/>
  <c r="K84" s="1"/>
  <c r="X83"/>
  <c r="E83"/>
  <c r="K83" s="1"/>
  <c r="C83"/>
  <c r="X82"/>
  <c r="C82"/>
  <c r="E82" s="1"/>
  <c r="X81"/>
  <c r="E81"/>
  <c r="K81" s="1"/>
  <c r="C81"/>
  <c r="X80"/>
  <c r="E80"/>
  <c r="K80" s="1"/>
  <c r="C80"/>
  <c r="X79"/>
  <c r="E79"/>
  <c r="K79" s="1"/>
  <c r="C79"/>
  <c r="X78"/>
  <c r="E78"/>
  <c r="K78" s="1"/>
  <c r="C78"/>
  <c r="X77"/>
  <c r="C77"/>
  <c r="E77" s="1"/>
  <c r="X76"/>
  <c r="E76"/>
  <c r="K76" s="1"/>
  <c r="C76"/>
  <c r="X75"/>
  <c r="C75"/>
  <c r="E75" s="1"/>
  <c r="X74"/>
  <c r="C74"/>
  <c r="E74" s="1"/>
  <c r="X73"/>
  <c r="C73"/>
  <c r="E73" s="1"/>
  <c r="K70"/>
  <c r="K71" s="1"/>
  <c r="E71" s="1"/>
  <c r="I70"/>
  <c r="N70" s="1"/>
  <c r="E70"/>
  <c r="C70"/>
  <c r="AF62"/>
  <c r="BB58" s="1"/>
  <c r="AC62"/>
  <c r="AE62" s="1"/>
  <c r="AO62" s="1"/>
  <c r="Z62"/>
  <c r="V62"/>
  <c r="S62"/>
  <c r="P62"/>
  <c r="L62"/>
  <c r="AZ58" s="1"/>
  <c r="I62"/>
  <c r="K62" s="1"/>
  <c r="F62"/>
  <c r="BA58"/>
  <c r="AM58"/>
  <c r="AL62" s="1"/>
  <c r="AJ58"/>
  <c r="AO58" s="1"/>
  <c r="AY58" s="1"/>
  <c r="AF58"/>
  <c r="AX58" s="1"/>
  <c r="AC58"/>
  <c r="AE58" s="1"/>
  <c r="AK62" s="1"/>
  <c r="Z58"/>
  <c r="V58"/>
  <c r="AW58" s="1"/>
  <c r="S58"/>
  <c r="P58"/>
  <c r="L58"/>
  <c r="AV58" s="1"/>
  <c r="I58"/>
  <c r="K58" s="1"/>
  <c r="AI62" s="1"/>
  <c r="F58"/>
  <c r="B58"/>
  <c r="B62" s="1"/>
  <c r="C56"/>
  <c r="M56" s="1"/>
  <c r="W56" s="1"/>
  <c r="AG56" s="1"/>
  <c r="AW49"/>
  <c r="AF47"/>
  <c r="AC47"/>
  <c r="Z47"/>
  <c r="V47"/>
  <c r="S47"/>
  <c r="P47"/>
  <c r="L47"/>
  <c r="I47"/>
  <c r="F47"/>
  <c r="B47"/>
  <c r="AC46"/>
  <c r="Z46"/>
  <c r="AF46" s="1"/>
  <c r="S46"/>
  <c r="P46"/>
  <c r="V46" s="1"/>
  <c r="I46"/>
  <c r="F46"/>
  <c r="L46" s="1"/>
  <c r="AC45"/>
  <c r="Z45"/>
  <c r="S45"/>
  <c r="P45"/>
  <c r="V45" s="1"/>
  <c r="BA24" s="1"/>
  <c r="I45"/>
  <c r="F45"/>
  <c r="AC44"/>
  <c r="Z44"/>
  <c r="AF44" s="1"/>
  <c r="S44"/>
  <c r="P44"/>
  <c r="V44" s="1"/>
  <c r="I44"/>
  <c r="F44"/>
  <c r="L44" s="1"/>
  <c r="AC43"/>
  <c r="Z43"/>
  <c r="AF43" s="1"/>
  <c r="BB21" s="1"/>
  <c r="S43"/>
  <c r="P43"/>
  <c r="I43"/>
  <c r="F43"/>
  <c r="L43" s="1"/>
  <c r="AZ21" s="1"/>
  <c r="AC42"/>
  <c r="Z42"/>
  <c r="AF42" s="1"/>
  <c r="S42"/>
  <c r="P42"/>
  <c r="V42" s="1"/>
  <c r="I42"/>
  <c r="F42"/>
  <c r="L42" s="1"/>
  <c r="AZ20" s="1"/>
  <c r="AC41"/>
  <c r="Z41"/>
  <c r="S41"/>
  <c r="P41"/>
  <c r="V41" s="1"/>
  <c r="I41"/>
  <c r="F41"/>
  <c r="AC40"/>
  <c r="Z40"/>
  <c r="AF40" s="1"/>
  <c r="S40"/>
  <c r="P40"/>
  <c r="V40" s="1"/>
  <c r="I40"/>
  <c r="F40"/>
  <c r="L40" s="1"/>
  <c r="AC39"/>
  <c r="Z39"/>
  <c r="AF39" s="1"/>
  <c r="BB17" s="1"/>
  <c r="S39"/>
  <c r="P39"/>
  <c r="V39" s="1"/>
  <c r="BA17" s="1"/>
  <c r="I39"/>
  <c r="F39"/>
  <c r="L39" s="1"/>
  <c r="AZ17" s="1"/>
  <c r="AC38"/>
  <c r="Z38"/>
  <c r="S38"/>
  <c r="P38"/>
  <c r="I38"/>
  <c r="F38"/>
  <c r="AC37"/>
  <c r="Z37"/>
  <c r="AF37" s="1"/>
  <c r="BB15" s="1"/>
  <c r="S37"/>
  <c r="P37"/>
  <c r="I37"/>
  <c r="F37"/>
  <c r="AC36"/>
  <c r="Z36"/>
  <c r="S36"/>
  <c r="P36"/>
  <c r="I36"/>
  <c r="F36"/>
  <c r="AC35"/>
  <c r="Z35"/>
  <c r="AF35" s="1"/>
  <c r="BB13" s="1"/>
  <c r="S35"/>
  <c r="P35"/>
  <c r="V35" s="1"/>
  <c r="BA13" s="1"/>
  <c r="I35"/>
  <c r="F35"/>
  <c r="L35" s="1"/>
  <c r="AZ13" s="1"/>
  <c r="AC34"/>
  <c r="Z34"/>
  <c r="S34"/>
  <c r="P34"/>
  <c r="I34"/>
  <c r="F34"/>
  <c r="AC33"/>
  <c r="Z33"/>
  <c r="AF33" s="1"/>
  <c r="BB11" s="1"/>
  <c r="S33"/>
  <c r="P33"/>
  <c r="V33" s="1"/>
  <c r="BA11" s="1"/>
  <c r="I33"/>
  <c r="F33"/>
  <c r="L33" s="1"/>
  <c r="AZ11" s="1"/>
  <c r="AJ27"/>
  <c r="AK27" s="1"/>
  <c r="AL27" s="1"/>
  <c r="AI27"/>
  <c r="BD25"/>
  <c r="BB25"/>
  <c r="BA25"/>
  <c r="AZ25"/>
  <c r="AM25"/>
  <c r="AJ25"/>
  <c r="AO25" s="1"/>
  <c r="AC25"/>
  <c r="Z25"/>
  <c r="AF25" s="1"/>
  <c r="AX25" s="1"/>
  <c r="V25"/>
  <c r="AW25" s="1"/>
  <c r="S25"/>
  <c r="P25"/>
  <c r="U25" s="1"/>
  <c r="AJ47" s="1"/>
  <c r="L25"/>
  <c r="I25"/>
  <c r="F25"/>
  <c r="K25" s="1"/>
  <c r="AM24"/>
  <c r="AJ24"/>
  <c r="AO24" s="1"/>
  <c r="AC24"/>
  <c r="Z24"/>
  <c r="AF24" s="1"/>
  <c r="AX24" s="1"/>
  <c r="S24"/>
  <c r="P24"/>
  <c r="V24" s="1"/>
  <c r="AW24" s="1"/>
  <c r="I24"/>
  <c r="F24"/>
  <c r="L24" s="1"/>
  <c r="B24"/>
  <c r="B46" s="1"/>
  <c r="BB23"/>
  <c r="BA23"/>
  <c r="AZ23"/>
  <c r="AM23"/>
  <c r="AJ23"/>
  <c r="AO23" s="1"/>
  <c r="AC23"/>
  <c r="Z23"/>
  <c r="S23"/>
  <c r="P23"/>
  <c r="I23"/>
  <c r="F23"/>
  <c r="B23"/>
  <c r="B45" s="1"/>
  <c r="BB22"/>
  <c r="BA22"/>
  <c r="AZ22"/>
  <c r="AM22"/>
  <c r="AJ22"/>
  <c r="AO22" s="1"/>
  <c r="AC22"/>
  <c r="Z22"/>
  <c r="AF22" s="1"/>
  <c r="AX22" s="1"/>
  <c r="S22"/>
  <c r="P22"/>
  <c r="V22" s="1"/>
  <c r="AW22" s="1"/>
  <c r="I22"/>
  <c r="F22"/>
  <c r="L22" s="1"/>
  <c r="B22"/>
  <c r="B44" s="1"/>
  <c r="AM21"/>
  <c r="AJ21"/>
  <c r="AO21" s="1"/>
  <c r="AC21"/>
  <c r="Z21"/>
  <c r="S21"/>
  <c r="P21"/>
  <c r="I21"/>
  <c r="F21"/>
  <c r="L21" s="1"/>
  <c r="AV21" s="1"/>
  <c r="B21"/>
  <c r="B43" s="1"/>
  <c r="BB20"/>
  <c r="BA20"/>
  <c r="AM20"/>
  <c r="AJ20"/>
  <c r="AO20" s="1"/>
  <c r="AC20"/>
  <c r="Z20"/>
  <c r="AF20" s="1"/>
  <c r="AX20" s="1"/>
  <c r="S20"/>
  <c r="P20"/>
  <c r="V20" s="1"/>
  <c r="AW20" s="1"/>
  <c r="I20"/>
  <c r="F20"/>
  <c r="L20" s="1"/>
  <c r="B20"/>
  <c r="B42" s="1"/>
  <c r="AM19"/>
  <c r="AJ19"/>
  <c r="AO19" s="1"/>
  <c r="AC19"/>
  <c r="Z19"/>
  <c r="S19"/>
  <c r="P19"/>
  <c r="I19"/>
  <c r="F19"/>
  <c r="B19"/>
  <c r="B41" s="1"/>
  <c r="AM18"/>
  <c r="AJ18"/>
  <c r="AO18" s="1"/>
  <c r="AC18"/>
  <c r="Z18"/>
  <c r="S18"/>
  <c r="P18"/>
  <c r="V18" s="1"/>
  <c r="AW18" s="1"/>
  <c r="I18"/>
  <c r="F18"/>
  <c r="L18" s="1"/>
  <c r="B18"/>
  <c r="B40" s="1"/>
  <c r="AM17"/>
  <c r="AJ17"/>
  <c r="AO17" s="1"/>
  <c r="AC17"/>
  <c r="Z17"/>
  <c r="S17"/>
  <c r="P17"/>
  <c r="I17"/>
  <c r="F17"/>
  <c r="B17"/>
  <c r="B39" s="1"/>
  <c r="AM16"/>
  <c r="AJ16"/>
  <c r="AO16" s="1"/>
  <c r="AC16"/>
  <c r="Z16"/>
  <c r="AF16" s="1"/>
  <c r="AX16" s="1"/>
  <c r="S16"/>
  <c r="P16"/>
  <c r="V16" s="1"/>
  <c r="AW16" s="1"/>
  <c r="I16"/>
  <c r="F16"/>
  <c r="L16" s="1"/>
  <c r="B16"/>
  <c r="B38" s="1"/>
  <c r="AM15"/>
  <c r="AJ15"/>
  <c r="AO15" s="1"/>
  <c r="AC15"/>
  <c r="Z15"/>
  <c r="S15"/>
  <c r="P15"/>
  <c r="I15"/>
  <c r="F15"/>
  <c r="B15"/>
  <c r="B37" s="1"/>
  <c r="AM14"/>
  <c r="AJ14"/>
  <c r="AO14" s="1"/>
  <c r="AC14"/>
  <c r="Z14"/>
  <c r="AF14" s="1"/>
  <c r="AX14" s="1"/>
  <c r="S14"/>
  <c r="P14"/>
  <c r="I14"/>
  <c r="F14"/>
  <c r="B14"/>
  <c r="B36" s="1"/>
  <c r="AM13"/>
  <c r="AJ13"/>
  <c r="AO13" s="1"/>
  <c r="AC13"/>
  <c r="Z13"/>
  <c r="S13"/>
  <c r="P13"/>
  <c r="I13"/>
  <c r="F13"/>
  <c r="B13"/>
  <c r="B35" s="1"/>
  <c r="AM12"/>
  <c r="AJ12"/>
  <c r="AO12" s="1"/>
  <c r="AC12"/>
  <c r="Z12"/>
  <c r="AF12" s="1"/>
  <c r="AX12" s="1"/>
  <c r="S12"/>
  <c r="P12"/>
  <c r="V12" s="1"/>
  <c r="AW12" s="1"/>
  <c r="I12"/>
  <c r="F12"/>
  <c r="L12" s="1"/>
  <c r="B12"/>
  <c r="B34" s="1"/>
  <c r="AM11"/>
  <c r="AJ11"/>
  <c r="AO11" s="1"/>
  <c r="AC11"/>
  <c r="Z11"/>
  <c r="S11"/>
  <c r="P11"/>
  <c r="I11"/>
  <c r="F11"/>
  <c r="B11"/>
  <c r="B33" s="1"/>
  <c r="AV7"/>
  <c r="M5"/>
  <c r="W5" s="1"/>
  <c r="AD274" i="13"/>
  <c r="X274"/>
  <c r="U274"/>
  <c r="R274"/>
  <c r="AD273"/>
  <c r="X273"/>
  <c r="U273"/>
  <c r="R273"/>
  <c r="AD272"/>
  <c r="X272"/>
  <c r="U272"/>
  <c r="R272"/>
  <c r="AD271"/>
  <c r="X271"/>
  <c r="U271"/>
  <c r="R271"/>
  <c r="AD270"/>
  <c r="X270"/>
  <c r="U270"/>
  <c r="R270"/>
  <c r="AD269"/>
  <c r="X269"/>
  <c r="U269"/>
  <c r="R269"/>
  <c r="AD268"/>
  <c r="AD275" s="1"/>
  <c r="X268"/>
  <c r="X275" s="1"/>
  <c r="U268"/>
  <c r="R268"/>
  <c r="O256"/>
  <c r="O257" s="1"/>
  <c r="O248"/>
  <c r="O249" s="1"/>
  <c r="B248"/>
  <c r="B249" s="1"/>
  <c r="B251" s="1"/>
  <c r="B247"/>
  <c r="M242"/>
  <c r="X238"/>
  <c r="U238"/>
  <c r="R238"/>
  <c r="U237"/>
  <c r="X237" s="1"/>
  <c r="R237"/>
  <c r="X236"/>
  <c r="U236"/>
  <c r="R236"/>
  <c r="U235"/>
  <c r="X235" s="1"/>
  <c r="R235"/>
  <c r="X234"/>
  <c r="U234"/>
  <c r="R234"/>
  <c r="U233"/>
  <c r="X233" s="1"/>
  <c r="R233"/>
  <c r="AI232"/>
  <c r="AD232"/>
  <c r="X232"/>
  <c r="U232"/>
  <c r="R232"/>
  <c r="AD231"/>
  <c r="AI231" s="1"/>
  <c r="U231"/>
  <c r="X231" s="1"/>
  <c r="R231"/>
  <c r="X224"/>
  <c r="U224"/>
  <c r="W224" s="1"/>
  <c r="C224"/>
  <c r="E224" s="1"/>
  <c r="X223"/>
  <c r="W223"/>
  <c r="U223"/>
  <c r="G223"/>
  <c r="K223" s="1"/>
  <c r="E223"/>
  <c r="I223" s="1"/>
  <c r="N223" s="1"/>
  <c r="AF222"/>
  <c r="X222"/>
  <c r="W222"/>
  <c r="U222"/>
  <c r="K222"/>
  <c r="I222"/>
  <c r="N222" s="1"/>
  <c r="E222"/>
  <c r="C222"/>
  <c r="X221"/>
  <c r="U221"/>
  <c r="W221" s="1"/>
  <c r="I221"/>
  <c r="N221" s="1"/>
  <c r="G221"/>
  <c r="K221" s="1"/>
  <c r="E221"/>
  <c r="C221"/>
  <c r="X220"/>
  <c r="U220"/>
  <c r="W220" s="1"/>
  <c r="E220"/>
  <c r="K220" s="1"/>
  <c r="C220"/>
  <c r="G220" s="1"/>
  <c r="X219"/>
  <c r="W219"/>
  <c r="U219"/>
  <c r="E219"/>
  <c r="I219" s="1"/>
  <c r="N219" s="1"/>
  <c r="C219"/>
  <c r="X218"/>
  <c r="U218"/>
  <c r="W218" s="1"/>
  <c r="N218"/>
  <c r="K218"/>
  <c r="X217"/>
  <c r="U217"/>
  <c r="W217" s="1"/>
  <c r="C217"/>
  <c r="E217" s="1"/>
  <c r="X216"/>
  <c r="W216"/>
  <c r="U216"/>
  <c r="S216"/>
  <c r="C216"/>
  <c r="E216" s="1"/>
  <c r="X215"/>
  <c r="W215"/>
  <c r="U215"/>
  <c r="E215"/>
  <c r="I215" s="1"/>
  <c r="N215" s="1"/>
  <c r="C215"/>
  <c r="X214"/>
  <c r="U214"/>
  <c r="W214" s="1"/>
  <c r="C214"/>
  <c r="E214" s="1"/>
  <c r="X213"/>
  <c r="W213"/>
  <c r="U213"/>
  <c r="S213"/>
  <c r="C213"/>
  <c r="E213" s="1"/>
  <c r="X212"/>
  <c r="U212"/>
  <c r="W212" s="1"/>
  <c r="C212"/>
  <c r="E212" s="1"/>
  <c r="X211"/>
  <c r="W211"/>
  <c r="U211"/>
  <c r="E211"/>
  <c r="K211" s="1"/>
  <c r="C211"/>
  <c r="X210"/>
  <c r="U210"/>
  <c r="W210" s="1"/>
  <c r="C210"/>
  <c r="E210" s="1"/>
  <c r="K208"/>
  <c r="I208"/>
  <c r="N208" s="1"/>
  <c r="E208"/>
  <c r="C208"/>
  <c r="E207"/>
  <c r="I207" s="1"/>
  <c r="N207" s="1"/>
  <c r="O188"/>
  <c r="O189" s="1"/>
  <c r="B187"/>
  <c r="B188" s="1"/>
  <c r="B189" s="1"/>
  <c r="B191" s="1"/>
  <c r="B186"/>
  <c r="AG173"/>
  <c r="AJ173" s="1"/>
  <c r="AG172"/>
  <c r="AJ172" s="1"/>
  <c r="AG171"/>
  <c r="AJ171" s="1"/>
  <c r="AJ170"/>
  <c r="AG170"/>
  <c r="AJ169"/>
  <c r="O169"/>
  <c r="O177" s="1"/>
  <c r="O178" s="1"/>
  <c r="B168"/>
  <c r="B169" s="1"/>
  <c r="B170" s="1"/>
  <c r="B172" s="1"/>
  <c r="O157"/>
  <c r="O158" s="1"/>
  <c r="O149"/>
  <c r="O150" s="1"/>
  <c r="B149"/>
  <c r="B150" s="1"/>
  <c r="B152" s="1"/>
  <c r="B148"/>
  <c r="O131"/>
  <c r="O132" s="1"/>
  <c r="B130"/>
  <c r="B131" s="1"/>
  <c r="B132" s="1"/>
  <c r="B134" s="1"/>
  <c r="O120"/>
  <c r="O121" s="1"/>
  <c r="AI117"/>
  <c r="AE117"/>
  <c r="AI113"/>
  <c r="AI114" s="1"/>
  <c r="AL113" s="1"/>
  <c r="AL112" s="1"/>
  <c r="AO112" s="1"/>
  <c r="AO113" s="1"/>
  <c r="O112"/>
  <c r="O113" s="1"/>
  <c r="B112"/>
  <c r="B113" s="1"/>
  <c r="B115" s="1"/>
  <c r="B111"/>
  <c r="O94"/>
  <c r="O95" s="1"/>
  <c r="B93"/>
  <c r="B94" s="1"/>
  <c r="B95" s="1"/>
  <c r="B97" s="1"/>
  <c r="X89"/>
  <c r="W89"/>
  <c r="U89"/>
  <c r="E89"/>
  <c r="K89" s="1"/>
  <c r="C89"/>
  <c r="X88"/>
  <c r="U88"/>
  <c r="W88" s="1"/>
  <c r="K88"/>
  <c r="I88"/>
  <c r="N88" s="1"/>
  <c r="C88"/>
  <c r="E88" s="1"/>
  <c r="X86"/>
  <c r="K86"/>
  <c r="I86"/>
  <c r="N86" s="1"/>
  <c r="E86"/>
  <c r="C86"/>
  <c r="X85"/>
  <c r="C85"/>
  <c r="E85" s="1"/>
  <c r="X84"/>
  <c r="E84"/>
  <c r="K84" s="1"/>
  <c r="X83"/>
  <c r="E83"/>
  <c r="K83" s="1"/>
  <c r="C83"/>
  <c r="X82"/>
  <c r="C82"/>
  <c r="E82" s="1"/>
  <c r="X81"/>
  <c r="E81"/>
  <c r="K81" s="1"/>
  <c r="C81"/>
  <c r="X80"/>
  <c r="E80"/>
  <c r="K80" s="1"/>
  <c r="C80"/>
  <c r="X79"/>
  <c r="E79"/>
  <c r="K79" s="1"/>
  <c r="C79"/>
  <c r="X78"/>
  <c r="E78"/>
  <c r="K78" s="1"/>
  <c r="C78"/>
  <c r="X77"/>
  <c r="C77"/>
  <c r="E77" s="1"/>
  <c r="X76"/>
  <c r="E76"/>
  <c r="K76" s="1"/>
  <c r="C76"/>
  <c r="X75"/>
  <c r="C75"/>
  <c r="E75" s="1"/>
  <c r="X74"/>
  <c r="C74"/>
  <c r="E74" s="1"/>
  <c r="X73"/>
  <c r="C73"/>
  <c r="E73" s="1"/>
  <c r="K70"/>
  <c r="K71" s="1"/>
  <c r="E71" s="1"/>
  <c r="I70"/>
  <c r="N70" s="1"/>
  <c r="E70"/>
  <c r="C70"/>
  <c r="AF62"/>
  <c r="AC62"/>
  <c r="Z62"/>
  <c r="AE62" s="1"/>
  <c r="AO62" s="1"/>
  <c r="V62"/>
  <c r="S62"/>
  <c r="P62"/>
  <c r="U62" s="1"/>
  <c r="AN62" s="1"/>
  <c r="L62"/>
  <c r="I62"/>
  <c r="F62"/>
  <c r="K62" s="1"/>
  <c r="BB58"/>
  <c r="BA58"/>
  <c r="AZ58"/>
  <c r="AM58"/>
  <c r="AL62" s="1"/>
  <c r="AJ58"/>
  <c r="AO58" s="1"/>
  <c r="AY58" s="1"/>
  <c r="AC58"/>
  <c r="Z58"/>
  <c r="V58"/>
  <c r="AW58" s="1"/>
  <c r="S58"/>
  <c r="P58"/>
  <c r="U58" s="1"/>
  <c r="AJ62" s="1"/>
  <c r="L58"/>
  <c r="AV58" s="1"/>
  <c r="I58"/>
  <c r="F58"/>
  <c r="K58" s="1"/>
  <c r="AI62" s="1"/>
  <c r="B58"/>
  <c r="B62" s="1"/>
  <c r="C56"/>
  <c r="M56" s="1"/>
  <c r="W56" s="1"/>
  <c r="AG56" s="1"/>
  <c r="AW49"/>
  <c r="AF47"/>
  <c r="AC47"/>
  <c r="Z47"/>
  <c r="V47"/>
  <c r="S47"/>
  <c r="P47"/>
  <c r="L47"/>
  <c r="I47"/>
  <c r="F47"/>
  <c r="B47"/>
  <c r="AC46"/>
  <c r="Z46"/>
  <c r="AF46" s="1"/>
  <c r="S46"/>
  <c r="P46"/>
  <c r="V46" s="1"/>
  <c r="I46"/>
  <c r="F46"/>
  <c r="L46" s="1"/>
  <c r="AC45"/>
  <c r="Z45"/>
  <c r="AF45" s="1"/>
  <c r="S45"/>
  <c r="P45"/>
  <c r="I45"/>
  <c r="F45"/>
  <c r="L45" s="1"/>
  <c r="AZ24" s="1"/>
  <c r="AC44"/>
  <c r="Z44"/>
  <c r="AF44" s="1"/>
  <c r="S44"/>
  <c r="P44"/>
  <c r="V44" s="1"/>
  <c r="I44"/>
  <c r="F44"/>
  <c r="AC43"/>
  <c r="Z43"/>
  <c r="S43"/>
  <c r="P43"/>
  <c r="I43"/>
  <c r="F43"/>
  <c r="AC42"/>
  <c r="Z42"/>
  <c r="AF42" s="1"/>
  <c r="S42"/>
  <c r="P42"/>
  <c r="I42"/>
  <c r="F42"/>
  <c r="AC41"/>
  <c r="Z41"/>
  <c r="S41"/>
  <c r="P41"/>
  <c r="I41"/>
  <c r="F41"/>
  <c r="AC40"/>
  <c r="Z40"/>
  <c r="AF40" s="1"/>
  <c r="S40"/>
  <c r="P40"/>
  <c r="V40" s="1"/>
  <c r="I40"/>
  <c r="F40"/>
  <c r="L40" s="1"/>
  <c r="AC39"/>
  <c r="Z39"/>
  <c r="S39"/>
  <c r="P39"/>
  <c r="I39"/>
  <c r="F39"/>
  <c r="AC38"/>
  <c r="Z38"/>
  <c r="AF38" s="1"/>
  <c r="BB16" s="1"/>
  <c r="S38"/>
  <c r="P38"/>
  <c r="V38" s="1"/>
  <c r="BA16" s="1"/>
  <c r="I38"/>
  <c r="F38"/>
  <c r="L38" s="1"/>
  <c r="AZ16" s="1"/>
  <c r="AC37"/>
  <c r="Z37"/>
  <c r="S37"/>
  <c r="P37"/>
  <c r="I37"/>
  <c r="F37"/>
  <c r="AC36"/>
  <c r="Z36"/>
  <c r="AF36" s="1"/>
  <c r="BB14" s="1"/>
  <c r="S36"/>
  <c r="P36"/>
  <c r="V36" s="1"/>
  <c r="BA14" s="1"/>
  <c r="I36"/>
  <c r="F36"/>
  <c r="L36" s="1"/>
  <c r="AZ14" s="1"/>
  <c r="AC35"/>
  <c r="Z35"/>
  <c r="S35"/>
  <c r="P35"/>
  <c r="I35"/>
  <c r="F35"/>
  <c r="AC34"/>
  <c r="Z34"/>
  <c r="AF34" s="1"/>
  <c r="BB12" s="1"/>
  <c r="S34"/>
  <c r="P34"/>
  <c r="V34" s="1"/>
  <c r="BA12" s="1"/>
  <c r="I34"/>
  <c r="F34"/>
  <c r="L34" s="1"/>
  <c r="AZ12" s="1"/>
  <c r="AC33"/>
  <c r="Z33"/>
  <c r="S33"/>
  <c r="P33"/>
  <c r="I33"/>
  <c r="F33"/>
  <c r="AI27"/>
  <c r="AJ27" s="1"/>
  <c r="AK27" s="1"/>
  <c r="AL27" s="1"/>
  <c r="BD25"/>
  <c r="BB25"/>
  <c r="BA25"/>
  <c r="AZ25"/>
  <c r="AM25"/>
  <c r="AJ25"/>
  <c r="AO25" s="1"/>
  <c r="AC25"/>
  <c r="Z25"/>
  <c r="AF25" s="1"/>
  <c r="AX25" s="1"/>
  <c r="V25"/>
  <c r="AW25" s="1"/>
  <c r="S25"/>
  <c r="P25"/>
  <c r="L25"/>
  <c r="AV25" s="1"/>
  <c r="I25"/>
  <c r="F25"/>
  <c r="BB24"/>
  <c r="AM24"/>
  <c r="AJ24"/>
  <c r="AO24" s="1"/>
  <c r="AC24"/>
  <c r="Z24"/>
  <c r="S24"/>
  <c r="P24"/>
  <c r="I24"/>
  <c r="F24"/>
  <c r="B24"/>
  <c r="B46" s="1"/>
  <c r="BB23"/>
  <c r="BA23"/>
  <c r="AZ23"/>
  <c r="AM23"/>
  <c r="AJ23"/>
  <c r="AO23" s="1"/>
  <c r="AC23"/>
  <c r="Z23"/>
  <c r="AF23" s="1"/>
  <c r="AX23" s="1"/>
  <c r="S23"/>
  <c r="P23"/>
  <c r="V23" s="1"/>
  <c r="AW23" s="1"/>
  <c r="I23"/>
  <c r="F23"/>
  <c r="L23" s="1"/>
  <c r="B23"/>
  <c r="B45" s="1"/>
  <c r="BB22"/>
  <c r="BA22"/>
  <c r="AM22"/>
  <c r="AJ22"/>
  <c r="AO22" s="1"/>
  <c r="AC22"/>
  <c r="Z22"/>
  <c r="S22"/>
  <c r="P22"/>
  <c r="I22"/>
  <c r="F22"/>
  <c r="L22" s="1"/>
  <c r="AV22" s="1"/>
  <c r="B22"/>
  <c r="B44" s="1"/>
  <c r="AM21"/>
  <c r="AJ21"/>
  <c r="AO21" s="1"/>
  <c r="AC21"/>
  <c r="Z21"/>
  <c r="AF21" s="1"/>
  <c r="AX21" s="1"/>
  <c r="S21"/>
  <c r="P21"/>
  <c r="V21" s="1"/>
  <c r="AW21" s="1"/>
  <c r="I21"/>
  <c r="F21"/>
  <c r="L21" s="1"/>
  <c r="B21"/>
  <c r="B43" s="1"/>
  <c r="BB20"/>
  <c r="AM20"/>
  <c r="AJ20"/>
  <c r="AO20" s="1"/>
  <c r="AC20"/>
  <c r="Z20"/>
  <c r="S20"/>
  <c r="P20"/>
  <c r="I20"/>
  <c r="F20"/>
  <c r="B20"/>
  <c r="B42" s="1"/>
  <c r="AM19"/>
  <c r="AJ19"/>
  <c r="AO19" s="1"/>
  <c r="AC19"/>
  <c r="Z19"/>
  <c r="AF19" s="1"/>
  <c r="AX19" s="1"/>
  <c r="S19"/>
  <c r="P19"/>
  <c r="V19" s="1"/>
  <c r="AW19" s="1"/>
  <c r="I19"/>
  <c r="F19"/>
  <c r="L19" s="1"/>
  <c r="B19"/>
  <c r="B41" s="1"/>
  <c r="AM18"/>
  <c r="AJ18"/>
  <c r="AO18" s="1"/>
  <c r="AC18"/>
  <c r="Z18"/>
  <c r="S18"/>
  <c r="P18"/>
  <c r="I18"/>
  <c r="F18"/>
  <c r="B18"/>
  <c r="B40" s="1"/>
  <c r="AM17"/>
  <c r="AJ17"/>
  <c r="AO17" s="1"/>
  <c r="AC17"/>
  <c r="Z17"/>
  <c r="AF17" s="1"/>
  <c r="AX17" s="1"/>
  <c r="S17"/>
  <c r="P17"/>
  <c r="V17" s="1"/>
  <c r="AW17" s="1"/>
  <c r="I17"/>
  <c r="F17"/>
  <c r="L17" s="1"/>
  <c r="B17"/>
  <c r="B39" s="1"/>
  <c r="AM16"/>
  <c r="AJ16"/>
  <c r="AO16" s="1"/>
  <c r="AC16"/>
  <c r="Z16"/>
  <c r="S16"/>
  <c r="P16"/>
  <c r="I16"/>
  <c r="F16"/>
  <c r="B16"/>
  <c r="B38" s="1"/>
  <c r="AM15"/>
  <c r="AJ15"/>
  <c r="AO15" s="1"/>
  <c r="AC15"/>
  <c r="Z15"/>
  <c r="AF15" s="1"/>
  <c r="AX15" s="1"/>
  <c r="S15"/>
  <c r="P15"/>
  <c r="V15" s="1"/>
  <c r="AW15" s="1"/>
  <c r="I15"/>
  <c r="F15"/>
  <c r="L15" s="1"/>
  <c r="B15"/>
  <c r="B37" s="1"/>
  <c r="AM14"/>
  <c r="AJ14"/>
  <c r="AO14" s="1"/>
  <c r="AC14"/>
  <c r="Z14"/>
  <c r="S14"/>
  <c r="P14"/>
  <c r="I14"/>
  <c r="F14"/>
  <c r="B14"/>
  <c r="B36" s="1"/>
  <c r="AM13"/>
  <c r="AJ13"/>
  <c r="AO13" s="1"/>
  <c r="AC13"/>
  <c r="Z13"/>
  <c r="AF13" s="1"/>
  <c r="AX13" s="1"/>
  <c r="S13"/>
  <c r="P13"/>
  <c r="V13" s="1"/>
  <c r="AW13" s="1"/>
  <c r="I13"/>
  <c r="F13"/>
  <c r="L13" s="1"/>
  <c r="B13"/>
  <c r="B35" s="1"/>
  <c r="AM12"/>
  <c r="AJ12"/>
  <c r="AO12" s="1"/>
  <c r="AC12"/>
  <c r="Z12"/>
  <c r="AF12" s="1"/>
  <c r="AX12" s="1"/>
  <c r="S12"/>
  <c r="P12"/>
  <c r="I12"/>
  <c r="F12"/>
  <c r="B12"/>
  <c r="B34" s="1"/>
  <c r="AM11"/>
  <c r="AJ11"/>
  <c r="AO11" s="1"/>
  <c r="AC11"/>
  <c r="Z11"/>
  <c r="AF11" s="1"/>
  <c r="AX11" s="1"/>
  <c r="S11"/>
  <c r="P11"/>
  <c r="V11" s="1"/>
  <c r="AW11" s="1"/>
  <c r="I11"/>
  <c r="F11"/>
  <c r="L11" s="1"/>
  <c r="B11"/>
  <c r="B33" s="1"/>
  <c r="AV7"/>
  <c r="M5"/>
  <c r="AW7" s="1"/>
  <c r="AC16" i="11"/>
  <c r="BA19" i="14" l="1"/>
  <c r="BA18"/>
  <c r="V37"/>
  <c r="BA15" s="1"/>
  <c r="L37"/>
  <c r="AZ15" s="1"/>
  <c r="AF18"/>
  <c r="AX18" s="1"/>
  <c r="V14"/>
  <c r="AW14" s="1"/>
  <c r="L14"/>
  <c r="AV14" s="1"/>
  <c r="AE37"/>
  <c r="U47"/>
  <c r="AN47" s="1"/>
  <c r="AP25"/>
  <c r="BE25" s="1"/>
  <c r="K21"/>
  <c r="AV25"/>
  <c r="AL33"/>
  <c r="AY11"/>
  <c r="AL35"/>
  <c r="AY13"/>
  <c r="AL39"/>
  <c r="AY17"/>
  <c r="AI43"/>
  <c r="AL43"/>
  <c r="AY21"/>
  <c r="AI47"/>
  <c r="AY25"/>
  <c r="AL47"/>
  <c r="AM27"/>
  <c r="AN27" s="1"/>
  <c r="AO27" s="1"/>
  <c r="AW27"/>
  <c r="BF25"/>
  <c r="AX7"/>
  <c r="AG5"/>
  <c r="AV12"/>
  <c r="AY12"/>
  <c r="AL34"/>
  <c r="AY14"/>
  <c r="AL36"/>
  <c r="AL37"/>
  <c r="AY15"/>
  <c r="AV16"/>
  <c r="AY16"/>
  <c r="AL38"/>
  <c r="AV18"/>
  <c r="AL40"/>
  <c r="AY18"/>
  <c r="AL41"/>
  <c r="AY19"/>
  <c r="AP20"/>
  <c r="AV20"/>
  <c r="AL42"/>
  <c r="AY20"/>
  <c r="AP22"/>
  <c r="AV22"/>
  <c r="AL44"/>
  <c r="AY22"/>
  <c r="AL45"/>
  <c r="AY23"/>
  <c r="AP24"/>
  <c r="AV24"/>
  <c r="AL46"/>
  <c r="AY24"/>
  <c r="AO37"/>
  <c r="AM62"/>
  <c r="I73"/>
  <c r="K73"/>
  <c r="I74"/>
  <c r="K74"/>
  <c r="I75"/>
  <c r="K75"/>
  <c r="I85"/>
  <c r="K85"/>
  <c r="O97"/>
  <c r="O99" s="1"/>
  <c r="O96"/>
  <c r="AA95"/>
  <c r="B117"/>
  <c r="B119" s="1"/>
  <c r="B120"/>
  <c r="B121" s="1"/>
  <c r="B123" s="1"/>
  <c r="B139"/>
  <c r="B136"/>
  <c r="B138" s="1"/>
  <c r="AA150"/>
  <c r="O152"/>
  <c r="O154" s="1"/>
  <c r="O151"/>
  <c r="B177"/>
  <c r="B178" s="1"/>
  <c r="B180" s="1"/>
  <c r="B174"/>
  <c r="B176" s="1"/>
  <c r="O191"/>
  <c r="O193" s="1"/>
  <c r="O190"/>
  <c r="AA189"/>
  <c r="I210"/>
  <c r="N210" s="1"/>
  <c r="K210"/>
  <c r="I212"/>
  <c r="N212" s="1"/>
  <c r="K212"/>
  <c r="K214"/>
  <c r="I214"/>
  <c r="N214" s="1"/>
  <c r="K216"/>
  <c r="I216"/>
  <c r="N216" s="1"/>
  <c r="K224"/>
  <c r="I224"/>
  <c r="N224" s="1"/>
  <c r="B256"/>
  <c r="B253"/>
  <c r="B255" s="1"/>
  <c r="AA257"/>
  <c r="O259"/>
  <c r="O261" s="1"/>
  <c r="O258"/>
  <c r="AW7"/>
  <c r="L11"/>
  <c r="V11"/>
  <c r="AW11" s="1"/>
  <c r="AF11"/>
  <c r="AX11" s="1"/>
  <c r="K12"/>
  <c r="U12"/>
  <c r="AJ34" s="1"/>
  <c r="AE12"/>
  <c r="AK34" s="1"/>
  <c r="L13"/>
  <c r="K13" s="1"/>
  <c r="V13"/>
  <c r="AW13" s="1"/>
  <c r="AF13"/>
  <c r="AX13" s="1"/>
  <c r="AE14"/>
  <c r="AK36" s="1"/>
  <c r="L15"/>
  <c r="V15"/>
  <c r="AW15" s="1"/>
  <c r="AF15"/>
  <c r="AX15" s="1"/>
  <c r="K16"/>
  <c r="U16"/>
  <c r="AJ38" s="1"/>
  <c r="AE16"/>
  <c r="AK38" s="1"/>
  <c r="L17"/>
  <c r="K17" s="1"/>
  <c r="V17"/>
  <c r="AW17" s="1"/>
  <c r="AF17"/>
  <c r="AX17" s="1"/>
  <c r="K18"/>
  <c r="U18"/>
  <c r="AJ41" s="1"/>
  <c r="AE18"/>
  <c r="AK41" s="1"/>
  <c r="L19"/>
  <c r="K19" s="1"/>
  <c r="V19"/>
  <c r="AW19" s="1"/>
  <c r="AF19"/>
  <c r="AX19" s="1"/>
  <c r="K20"/>
  <c r="U20"/>
  <c r="AJ42" s="1"/>
  <c r="AE20"/>
  <c r="AK42" s="1"/>
  <c r="V21"/>
  <c r="AW21" s="1"/>
  <c r="AF21"/>
  <c r="AX21" s="1"/>
  <c r="K22"/>
  <c r="U22"/>
  <c r="AE22"/>
  <c r="L23"/>
  <c r="V23"/>
  <c r="AW23" s="1"/>
  <c r="AF23"/>
  <c r="AX23" s="1"/>
  <c r="K24"/>
  <c r="U24"/>
  <c r="AJ46" s="1"/>
  <c r="AE24"/>
  <c r="AK46" s="1"/>
  <c r="AE25"/>
  <c r="AK47" s="1"/>
  <c r="K33"/>
  <c r="AM33" s="1"/>
  <c r="U33"/>
  <c r="AN33" s="1"/>
  <c r="AE33"/>
  <c r="L34"/>
  <c r="AZ12" s="1"/>
  <c r="V34"/>
  <c r="BA12" s="1"/>
  <c r="AF34"/>
  <c r="BB12" s="1"/>
  <c r="K35"/>
  <c r="AM35" s="1"/>
  <c r="U35"/>
  <c r="AN35" s="1"/>
  <c r="AE35"/>
  <c r="L36"/>
  <c r="AZ14" s="1"/>
  <c r="V36"/>
  <c r="BA14" s="1"/>
  <c r="AF36"/>
  <c r="BB14" s="1"/>
  <c r="L38"/>
  <c r="AZ16" s="1"/>
  <c r="V38"/>
  <c r="BA16" s="1"/>
  <c r="AF38"/>
  <c r="BB16" s="1"/>
  <c r="K39"/>
  <c r="AM39" s="1"/>
  <c r="U39"/>
  <c r="AN39" s="1"/>
  <c r="AE39"/>
  <c r="K40"/>
  <c r="AM40" s="1"/>
  <c r="AE40"/>
  <c r="U42"/>
  <c r="AN42" s="1"/>
  <c r="K44"/>
  <c r="AM44" s="1"/>
  <c r="AE44"/>
  <c r="U46"/>
  <c r="AN46" s="1"/>
  <c r="AP58"/>
  <c r="I71"/>
  <c r="C71"/>
  <c r="I77"/>
  <c r="K77"/>
  <c r="I82"/>
  <c r="K82"/>
  <c r="B102"/>
  <c r="B99"/>
  <c r="B101" s="1"/>
  <c r="O114"/>
  <c r="AA113"/>
  <c r="O115"/>
  <c r="O117" s="1"/>
  <c r="O123"/>
  <c r="O125" s="1"/>
  <c r="O122"/>
  <c r="AA121"/>
  <c r="O134"/>
  <c r="O136" s="1"/>
  <c r="O133"/>
  <c r="AA132"/>
  <c r="B154"/>
  <c r="B156" s="1"/>
  <c r="B157"/>
  <c r="O160"/>
  <c r="O162" s="1"/>
  <c r="O159"/>
  <c r="AA158"/>
  <c r="AA178"/>
  <c r="O180"/>
  <c r="O182" s="1"/>
  <c r="O179"/>
  <c r="B196"/>
  <c r="B197" s="1"/>
  <c r="B199" s="1"/>
  <c r="B193"/>
  <c r="B195" s="1"/>
  <c r="K213"/>
  <c r="I213"/>
  <c r="N213" s="1"/>
  <c r="K217"/>
  <c r="I217"/>
  <c r="N217" s="1"/>
  <c r="O251"/>
  <c r="O253" s="1"/>
  <c r="O250"/>
  <c r="AA249"/>
  <c r="U40"/>
  <c r="AN40" s="1"/>
  <c r="L41"/>
  <c r="U41"/>
  <c r="AN41" s="1"/>
  <c r="AF41"/>
  <c r="K42"/>
  <c r="AM42" s="1"/>
  <c r="AE42"/>
  <c r="K43"/>
  <c r="AM43" s="1"/>
  <c r="V43"/>
  <c r="BA21" s="1"/>
  <c r="AE43"/>
  <c r="U44"/>
  <c r="AN44" s="1"/>
  <c r="L45"/>
  <c r="AZ24" s="1"/>
  <c r="U45"/>
  <c r="AN45" s="1"/>
  <c r="AF45"/>
  <c r="BB24" s="1"/>
  <c r="K46"/>
  <c r="AM46" s="1"/>
  <c r="AE46"/>
  <c r="AO46" s="1"/>
  <c r="K47"/>
  <c r="AM47" s="1"/>
  <c r="AE47"/>
  <c r="U58"/>
  <c r="AJ62" s="1"/>
  <c r="AP62" s="1"/>
  <c r="U62"/>
  <c r="AN62" s="1"/>
  <c r="AD277"/>
  <c r="I76"/>
  <c r="I78"/>
  <c r="I79"/>
  <c r="I80"/>
  <c r="I81"/>
  <c r="I83"/>
  <c r="I84"/>
  <c r="I89"/>
  <c r="O102"/>
  <c r="O103" s="1"/>
  <c r="O139"/>
  <c r="O140" s="1"/>
  <c r="O170"/>
  <c r="O196"/>
  <c r="O197" s="1"/>
  <c r="C207"/>
  <c r="I211"/>
  <c r="N211" s="1"/>
  <c r="K215"/>
  <c r="K219"/>
  <c r="Z219" s="1"/>
  <c r="I220"/>
  <c r="N220" s="1"/>
  <c r="AD240"/>
  <c r="AD242" s="1"/>
  <c r="V42" i="13"/>
  <c r="BA20" s="1"/>
  <c r="K46"/>
  <c r="AM46" s="1"/>
  <c r="L44"/>
  <c r="AZ22" s="1"/>
  <c r="L42"/>
  <c r="AZ20" s="1"/>
  <c r="K22"/>
  <c r="AE45"/>
  <c r="AE47"/>
  <c r="U46"/>
  <c r="AN46" s="1"/>
  <c r="U47"/>
  <c r="AN47" s="1"/>
  <c r="K45"/>
  <c r="AM45" s="1"/>
  <c r="K47"/>
  <c r="AM47" s="1"/>
  <c r="AE25"/>
  <c r="AK47" s="1"/>
  <c r="AE12"/>
  <c r="AK34" s="1"/>
  <c r="U25"/>
  <c r="AJ47" s="1"/>
  <c r="K25"/>
  <c r="W5"/>
  <c r="AG5" s="1"/>
  <c r="C27" s="1"/>
  <c r="AV13"/>
  <c r="AY13"/>
  <c r="AL35"/>
  <c r="AV15"/>
  <c r="AY15"/>
  <c r="AL37"/>
  <c r="AV17"/>
  <c r="AY17"/>
  <c r="AL39"/>
  <c r="AV19"/>
  <c r="AL41"/>
  <c r="AY19"/>
  <c r="AI47"/>
  <c r="AT47"/>
  <c r="AT25" s="1"/>
  <c r="AL47"/>
  <c r="AY25"/>
  <c r="AW27"/>
  <c r="AM27"/>
  <c r="AN27" s="1"/>
  <c r="AO27" s="1"/>
  <c r="AY7"/>
  <c r="AV11"/>
  <c r="AY11"/>
  <c r="AL33"/>
  <c r="AL34"/>
  <c r="AY12"/>
  <c r="AL36"/>
  <c r="AY14"/>
  <c r="AL38"/>
  <c r="AY16"/>
  <c r="AL40"/>
  <c r="AY18"/>
  <c r="AL42"/>
  <c r="AY20"/>
  <c r="AV21"/>
  <c r="AL43"/>
  <c r="AY21"/>
  <c r="AI44"/>
  <c r="AI40"/>
  <c r="AL44"/>
  <c r="AY22"/>
  <c r="AV23"/>
  <c r="AL45"/>
  <c r="AY23"/>
  <c r="AL46"/>
  <c r="AY24"/>
  <c r="AO45"/>
  <c r="I73"/>
  <c r="K73"/>
  <c r="I74"/>
  <c r="K74"/>
  <c r="I75"/>
  <c r="K75"/>
  <c r="I85"/>
  <c r="K85"/>
  <c r="O97"/>
  <c r="O99" s="1"/>
  <c r="O96"/>
  <c r="AA95"/>
  <c r="B117"/>
  <c r="B119" s="1"/>
  <c r="B120"/>
  <c r="B121" s="1"/>
  <c r="B123" s="1"/>
  <c r="B139"/>
  <c r="B136"/>
  <c r="B138" s="1"/>
  <c r="AA150"/>
  <c r="O152"/>
  <c r="O154" s="1"/>
  <c r="O151"/>
  <c r="B177"/>
  <c r="B178" s="1"/>
  <c r="B180" s="1"/>
  <c r="B174"/>
  <c r="B176" s="1"/>
  <c r="O191"/>
  <c r="O193" s="1"/>
  <c r="O190"/>
  <c r="AA189"/>
  <c r="I210"/>
  <c r="N210" s="1"/>
  <c r="K210"/>
  <c r="I212"/>
  <c r="N212" s="1"/>
  <c r="K212"/>
  <c r="K214"/>
  <c r="I214"/>
  <c r="N214" s="1"/>
  <c r="K216"/>
  <c r="I216"/>
  <c r="N216" s="1"/>
  <c r="K224"/>
  <c r="I224"/>
  <c r="N224" s="1"/>
  <c r="B256"/>
  <c r="B253"/>
  <c r="B255" s="1"/>
  <c r="AA257"/>
  <c r="O259"/>
  <c r="O261" s="1"/>
  <c r="O258"/>
  <c r="AX7"/>
  <c r="K11"/>
  <c r="U11"/>
  <c r="AJ33" s="1"/>
  <c r="AE11"/>
  <c r="AK33" s="1"/>
  <c r="L12"/>
  <c r="K12" s="1"/>
  <c r="V12"/>
  <c r="AW12" s="1"/>
  <c r="K13"/>
  <c r="U13"/>
  <c r="AJ35" s="1"/>
  <c r="AE13"/>
  <c r="AK35" s="1"/>
  <c r="L14"/>
  <c r="V14"/>
  <c r="AW14" s="1"/>
  <c r="AF14"/>
  <c r="AX14" s="1"/>
  <c r="K15"/>
  <c r="U15"/>
  <c r="AJ37" s="1"/>
  <c r="AE15"/>
  <c r="AK37" s="1"/>
  <c r="L16"/>
  <c r="V16"/>
  <c r="AW16" s="1"/>
  <c r="AF16"/>
  <c r="AX16" s="1"/>
  <c r="K17"/>
  <c r="U17"/>
  <c r="AJ39" s="1"/>
  <c r="AE17"/>
  <c r="AK39" s="1"/>
  <c r="L18"/>
  <c r="V18"/>
  <c r="AW18" s="1"/>
  <c r="AF18"/>
  <c r="AX18" s="1"/>
  <c r="K19"/>
  <c r="U19"/>
  <c r="AE19"/>
  <c r="L20"/>
  <c r="V20"/>
  <c r="AW20" s="1"/>
  <c r="AF20"/>
  <c r="AX20" s="1"/>
  <c r="K21"/>
  <c r="U21"/>
  <c r="AJ43" s="1"/>
  <c r="AE21"/>
  <c r="AK43" s="1"/>
  <c r="V22"/>
  <c r="AW22" s="1"/>
  <c r="AF22"/>
  <c r="AX22" s="1"/>
  <c r="K23"/>
  <c r="U23"/>
  <c r="AJ45" s="1"/>
  <c r="AE23"/>
  <c r="AK45" s="1"/>
  <c r="L24"/>
  <c r="V24"/>
  <c r="AW24" s="1"/>
  <c r="AF24"/>
  <c r="AX24" s="1"/>
  <c r="AP25"/>
  <c r="BE25" s="1"/>
  <c r="BF25"/>
  <c r="L33"/>
  <c r="AZ11" s="1"/>
  <c r="V33"/>
  <c r="BA11" s="1"/>
  <c r="AF33"/>
  <c r="BB11" s="1"/>
  <c r="K34"/>
  <c r="AM34" s="1"/>
  <c r="U34"/>
  <c r="AN34" s="1"/>
  <c r="AE34"/>
  <c r="L35"/>
  <c r="AZ13" s="1"/>
  <c r="V35"/>
  <c r="BA13" s="1"/>
  <c r="AF35"/>
  <c r="BB13" s="1"/>
  <c r="K36"/>
  <c r="AM36" s="1"/>
  <c r="U36"/>
  <c r="AN36" s="1"/>
  <c r="AE36"/>
  <c r="L37"/>
  <c r="AZ15" s="1"/>
  <c r="V37"/>
  <c r="BA15" s="1"/>
  <c r="AF37"/>
  <c r="BB15" s="1"/>
  <c r="K38"/>
  <c r="AM38" s="1"/>
  <c r="U38"/>
  <c r="AN38" s="1"/>
  <c r="AE38"/>
  <c r="L39"/>
  <c r="AZ17" s="1"/>
  <c r="V39"/>
  <c r="BA17" s="1"/>
  <c r="AF39"/>
  <c r="BB17" s="1"/>
  <c r="AK174"/>
  <c r="X240"/>
  <c r="AO47"/>
  <c r="U86"/>
  <c r="W86" s="1"/>
  <c r="AM62"/>
  <c r="AT62"/>
  <c r="AT58" s="1"/>
  <c r="I71"/>
  <c r="C71"/>
  <c r="I77"/>
  <c r="K77"/>
  <c r="I82"/>
  <c r="K82"/>
  <c r="B102"/>
  <c r="B103" s="1"/>
  <c r="B105" s="1"/>
  <c r="B99"/>
  <c r="B101" s="1"/>
  <c r="O114"/>
  <c r="AA113"/>
  <c r="O115"/>
  <c r="O117" s="1"/>
  <c r="O123"/>
  <c r="O125" s="1"/>
  <c r="O122"/>
  <c r="AA121"/>
  <c r="O134"/>
  <c r="O136" s="1"/>
  <c r="O133"/>
  <c r="AA132"/>
  <c r="B154"/>
  <c r="B156" s="1"/>
  <c r="B157"/>
  <c r="B158" s="1"/>
  <c r="B160" s="1"/>
  <c r="O160"/>
  <c r="O162" s="1"/>
  <c r="O159"/>
  <c r="AA158"/>
  <c r="AA178"/>
  <c r="O180"/>
  <c r="O182" s="1"/>
  <c r="O179"/>
  <c r="B196"/>
  <c r="B193"/>
  <c r="B195" s="1"/>
  <c r="K213"/>
  <c r="I213"/>
  <c r="N213" s="1"/>
  <c r="K217"/>
  <c r="I217"/>
  <c r="N217" s="1"/>
  <c r="O251"/>
  <c r="O253" s="1"/>
  <c r="O250"/>
  <c r="AA249"/>
  <c r="AR25"/>
  <c r="AD277"/>
  <c r="K40"/>
  <c r="AM40" s="1"/>
  <c r="U40"/>
  <c r="AN40" s="1"/>
  <c r="AE40"/>
  <c r="L41"/>
  <c r="V41"/>
  <c r="AF41"/>
  <c r="AE42"/>
  <c r="L43"/>
  <c r="AZ21" s="1"/>
  <c r="V43"/>
  <c r="BA21" s="1"/>
  <c r="AF43"/>
  <c r="BB21" s="1"/>
  <c r="U44"/>
  <c r="AN44" s="1"/>
  <c r="AE44"/>
  <c r="V45"/>
  <c r="BA24" s="1"/>
  <c r="AE46"/>
  <c r="AO46" s="1"/>
  <c r="AF58"/>
  <c r="AX58" s="1"/>
  <c r="I76"/>
  <c r="I78"/>
  <c r="I79"/>
  <c r="I80"/>
  <c r="I81"/>
  <c r="I83"/>
  <c r="I84"/>
  <c r="I89"/>
  <c r="O102"/>
  <c r="O103" s="1"/>
  <c r="O139"/>
  <c r="O140" s="1"/>
  <c r="O170"/>
  <c r="O196"/>
  <c r="O197" s="1"/>
  <c r="C207"/>
  <c r="I211"/>
  <c r="N211" s="1"/>
  <c r="K215"/>
  <c r="K219"/>
  <c r="Z219" s="1"/>
  <c r="I220"/>
  <c r="N220" s="1"/>
  <c r="AD240"/>
  <c r="AD242" s="1"/>
  <c r="AD274" i="12"/>
  <c r="X274"/>
  <c r="U274"/>
  <c r="R274"/>
  <c r="AD273"/>
  <c r="X273"/>
  <c r="U273"/>
  <c r="R273"/>
  <c r="AD272"/>
  <c r="X272"/>
  <c r="U272"/>
  <c r="R272"/>
  <c r="AD271"/>
  <c r="X271"/>
  <c r="U271"/>
  <c r="R271"/>
  <c r="AD270"/>
  <c r="X270"/>
  <c r="U270"/>
  <c r="R270"/>
  <c r="AD269"/>
  <c r="X269"/>
  <c r="U269"/>
  <c r="R269"/>
  <c r="AD268"/>
  <c r="AD275" s="1"/>
  <c r="X268"/>
  <c r="X275" s="1"/>
  <c r="U268"/>
  <c r="R268"/>
  <c r="O256"/>
  <c r="O257" s="1"/>
  <c r="O248"/>
  <c r="O249" s="1"/>
  <c r="B248"/>
  <c r="B249" s="1"/>
  <c r="B251" s="1"/>
  <c r="B247"/>
  <c r="M242"/>
  <c r="X238"/>
  <c r="U238"/>
  <c r="R238"/>
  <c r="U237"/>
  <c r="X237" s="1"/>
  <c r="R237"/>
  <c r="X236"/>
  <c r="U236"/>
  <c r="R236"/>
  <c r="U235"/>
  <c r="X235" s="1"/>
  <c r="R235"/>
  <c r="X234"/>
  <c r="U234"/>
  <c r="R234"/>
  <c r="U233"/>
  <c r="X233" s="1"/>
  <c r="R233"/>
  <c r="AI232"/>
  <c r="AD232"/>
  <c r="X232"/>
  <c r="U232"/>
  <c r="R232"/>
  <c r="AD231"/>
  <c r="AI231" s="1"/>
  <c r="U231"/>
  <c r="X231" s="1"/>
  <c r="X240" s="1"/>
  <c r="R231"/>
  <c r="X224"/>
  <c r="U224"/>
  <c r="W224" s="1"/>
  <c r="C224"/>
  <c r="E224" s="1"/>
  <c r="X223"/>
  <c r="W223"/>
  <c r="U223"/>
  <c r="G223"/>
  <c r="K223" s="1"/>
  <c r="E223"/>
  <c r="I223" s="1"/>
  <c r="N223" s="1"/>
  <c r="AF222"/>
  <c r="X222"/>
  <c r="W222"/>
  <c r="U222"/>
  <c r="K222"/>
  <c r="I222"/>
  <c r="N222" s="1"/>
  <c r="E222"/>
  <c r="C222"/>
  <c r="X221"/>
  <c r="U221"/>
  <c r="W221" s="1"/>
  <c r="I221"/>
  <c r="N221" s="1"/>
  <c r="G221"/>
  <c r="K221" s="1"/>
  <c r="E221"/>
  <c r="C221"/>
  <c r="X220"/>
  <c r="U220"/>
  <c r="W220" s="1"/>
  <c r="E220"/>
  <c r="K220" s="1"/>
  <c r="C220"/>
  <c r="G220" s="1"/>
  <c r="X219"/>
  <c r="W219"/>
  <c r="U219"/>
  <c r="E219"/>
  <c r="I219" s="1"/>
  <c r="N219" s="1"/>
  <c r="C219"/>
  <c r="X218"/>
  <c r="U218"/>
  <c r="W218" s="1"/>
  <c r="N218"/>
  <c r="K218"/>
  <c r="X217"/>
  <c r="U217"/>
  <c r="W217" s="1"/>
  <c r="C217"/>
  <c r="E217" s="1"/>
  <c r="X216"/>
  <c r="W216"/>
  <c r="U216"/>
  <c r="S216"/>
  <c r="C216"/>
  <c r="E216" s="1"/>
  <c r="X215"/>
  <c r="W215"/>
  <c r="U215"/>
  <c r="E215"/>
  <c r="I215" s="1"/>
  <c r="N215" s="1"/>
  <c r="C215"/>
  <c r="X214"/>
  <c r="U214"/>
  <c r="W214" s="1"/>
  <c r="C214"/>
  <c r="E214" s="1"/>
  <c r="X213"/>
  <c r="W213"/>
  <c r="U213"/>
  <c r="S213"/>
  <c r="C213"/>
  <c r="E213" s="1"/>
  <c r="X212"/>
  <c r="U212"/>
  <c r="W212" s="1"/>
  <c r="C212"/>
  <c r="E212" s="1"/>
  <c r="X211"/>
  <c r="W211"/>
  <c r="U211"/>
  <c r="E211"/>
  <c r="K211" s="1"/>
  <c r="C211"/>
  <c r="X210"/>
  <c r="U210"/>
  <c r="W210" s="1"/>
  <c r="C210"/>
  <c r="E210" s="1"/>
  <c r="K208"/>
  <c r="I208"/>
  <c r="N208" s="1"/>
  <c r="E208"/>
  <c r="C208"/>
  <c r="E207"/>
  <c r="I207" s="1"/>
  <c r="N207" s="1"/>
  <c r="O188"/>
  <c r="O189" s="1"/>
  <c r="B187"/>
  <c r="B188" s="1"/>
  <c r="B189" s="1"/>
  <c r="B191" s="1"/>
  <c r="B186"/>
  <c r="AG173"/>
  <c r="AJ173" s="1"/>
  <c r="AG172"/>
  <c r="AJ172" s="1"/>
  <c r="AG171"/>
  <c r="AJ171" s="1"/>
  <c r="AJ170"/>
  <c r="AK174" s="1"/>
  <c r="AG170"/>
  <c r="AJ169"/>
  <c r="O169"/>
  <c r="O177" s="1"/>
  <c r="O178" s="1"/>
  <c r="B168"/>
  <c r="B169" s="1"/>
  <c r="B170" s="1"/>
  <c r="B172" s="1"/>
  <c r="O157"/>
  <c r="O158" s="1"/>
  <c r="O149"/>
  <c r="O150" s="1"/>
  <c r="B149"/>
  <c r="B150" s="1"/>
  <c r="B152" s="1"/>
  <c r="B148"/>
  <c r="O131"/>
  <c r="O132" s="1"/>
  <c r="B130"/>
  <c r="B131" s="1"/>
  <c r="B132" s="1"/>
  <c r="B134" s="1"/>
  <c r="O120"/>
  <c r="O121" s="1"/>
  <c r="AI117"/>
  <c r="AE117"/>
  <c r="AI113"/>
  <c r="AI114" s="1"/>
  <c r="AL113" s="1"/>
  <c r="AL112" s="1"/>
  <c r="AO112" s="1"/>
  <c r="AO113" s="1"/>
  <c r="O112"/>
  <c r="O113" s="1"/>
  <c r="B112"/>
  <c r="B113" s="1"/>
  <c r="B115" s="1"/>
  <c r="B111"/>
  <c r="O94"/>
  <c r="O95" s="1"/>
  <c r="B93"/>
  <c r="B94" s="1"/>
  <c r="B95" s="1"/>
  <c r="B97" s="1"/>
  <c r="X89"/>
  <c r="W89"/>
  <c r="U89"/>
  <c r="E89"/>
  <c r="K89" s="1"/>
  <c r="C89"/>
  <c r="X88"/>
  <c r="U88"/>
  <c r="W88" s="1"/>
  <c r="K88"/>
  <c r="I88"/>
  <c r="N88" s="1"/>
  <c r="C88"/>
  <c r="E88" s="1"/>
  <c r="X86"/>
  <c r="K86"/>
  <c r="I86"/>
  <c r="N86" s="1"/>
  <c r="E86"/>
  <c r="C86"/>
  <c r="X85"/>
  <c r="C85"/>
  <c r="E85" s="1"/>
  <c r="X84"/>
  <c r="E84"/>
  <c r="K84" s="1"/>
  <c r="X83"/>
  <c r="E83"/>
  <c r="K83" s="1"/>
  <c r="C83"/>
  <c r="X82"/>
  <c r="C82"/>
  <c r="E82" s="1"/>
  <c r="X81"/>
  <c r="E81"/>
  <c r="K81" s="1"/>
  <c r="C81"/>
  <c r="X80"/>
  <c r="E80"/>
  <c r="K80" s="1"/>
  <c r="C80"/>
  <c r="X79"/>
  <c r="E79"/>
  <c r="K79" s="1"/>
  <c r="C79"/>
  <c r="X78"/>
  <c r="E78"/>
  <c r="K78" s="1"/>
  <c r="C78"/>
  <c r="X77"/>
  <c r="C77"/>
  <c r="E77" s="1"/>
  <c r="X76"/>
  <c r="E76"/>
  <c r="K76" s="1"/>
  <c r="C76"/>
  <c r="X75"/>
  <c r="C75"/>
  <c r="E75" s="1"/>
  <c r="X74"/>
  <c r="C74"/>
  <c r="E74" s="1"/>
  <c r="X73"/>
  <c r="C73"/>
  <c r="E73" s="1"/>
  <c r="K70"/>
  <c r="K71" s="1"/>
  <c r="E71" s="1"/>
  <c r="I70"/>
  <c r="N70" s="1"/>
  <c r="E70"/>
  <c r="C70"/>
  <c r="AF62"/>
  <c r="BB58" s="1"/>
  <c r="AC62"/>
  <c r="AE62" s="1"/>
  <c r="AO62" s="1"/>
  <c r="Z62"/>
  <c r="V62"/>
  <c r="S62"/>
  <c r="P62"/>
  <c r="L62"/>
  <c r="AZ58" s="1"/>
  <c r="I62"/>
  <c r="K62" s="1"/>
  <c r="F62"/>
  <c r="BA58"/>
  <c r="AM58"/>
  <c r="AL62" s="1"/>
  <c r="AJ58"/>
  <c r="AO58" s="1"/>
  <c r="AY58" s="1"/>
  <c r="AF58"/>
  <c r="AX58" s="1"/>
  <c r="AC58"/>
  <c r="AE58" s="1"/>
  <c r="AK62" s="1"/>
  <c r="Z58"/>
  <c r="V58"/>
  <c r="AW58" s="1"/>
  <c r="S58"/>
  <c r="P58"/>
  <c r="L58"/>
  <c r="AV58" s="1"/>
  <c r="I58"/>
  <c r="K58" s="1"/>
  <c r="AI62" s="1"/>
  <c r="F58"/>
  <c r="B58"/>
  <c r="B62" s="1"/>
  <c r="C56"/>
  <c r="M56" s="1"/>
  <c r="W56" s="1"/>
  <c r="AG56" s="1"/>
  <c r="AW49"/>
  <c r="AF47"/>
  <c r="AC47"/>
  <c r="Z47"/>
  <c r="V47"/>
  <c r="S47"/>
  <c r="P47"/>
  <c r="L47"/>
  <c r="I47"/>
  <c r="F47"/>
  <c r="B47"/>
  <c r="AC46"/>
  <c r="Z46"/>
  <c r="AF46" s="1"/>
  <c r="S46"/>
  <c r="P46"/>
  <c r="V46" s="1"/>
  <c r="I46"/>
  <c r="F46"/>
  <c r="L46" s="1"/>
  <c r="AC45"/>
  <c r="Z45"/>
  <c r="S45"/>
  <c r="P45"/>
  <c r="V45" s="1"/>
  <c r="BA24" s="1"/>
  <c r="I45"/>
  <c r="F45"/>
  <c r="AC44"/>
  <c r="Z44"/>
  <c r="AF44" s="1"/>
  <c r="BB22" s="1"/>
  <c r="S44"/>
  <c r="P44"/>
  <c r="V44" s="1"/>
  <c r="I44"/>
  <c r="F44"/>
  <c r="L44" s="1"/>
  <c r="AC43"/>
  <c r="Z43"/>
  <c r="AF43" s="1"/>
  <c r="BB21" s="1"/>
  <c r="S43"/>
  <c r="P43"/>
  <c r="I43"/>
  <c r="F43"/>
  <c r="L43" s="1"/>
  <c r="AZ21" s="1"/>
  <c r="AC42"/>
  <c r="Z42"/>
  <c r="AF42" s="1"/>
  <c r="S42"/>
  <c r="P42"/>
  <c r="V42" s="1"/>
  <c r="I42"/>
  <c r="F42"/>
  <c r="L42" s="1"/>
  <c r="AC41"/>
  <c r="Z41"/>
  <c r="AF41" s="1"/>
  <c r="S41"/>
  <c r="P41"/>
  <c r="V41" s="1"/>
  <c r="I41"/>
  <c r="F41"/>
  <c r="L41" s="1"/>
  <c r="AC40"/>
  <c r="Z40"/>
  <c r="AF40" s="1"/>
  <c r="S40"/>
  <c r="P40"/>
  <c r="V40" s="1"/>
  <c r="I40"/>
  <c r="F40"/>
  <c r="L40" s="1"/>
  <c r="AC39"/>
  <c r="Z39"/>
  <c r="AF39" s="1"/>
  <c r="BB17" s="1"/>
  <c r="S39"/>
  <c r="P39"/>
  <c r="V39" s="1"/>
  <c r="BA17" s="1"/>
  <c r="I39"/>
  <c r="F39"/>
  <c r="L39" s="1"/>
  <c r="AZ17" s="1"/>
  <c r="AC38"/>
  <c r="Z38"/>
  <c r="S38"/>
  <c r="P38"/>
  <c r="I38"/>
  <c r="F38"/>
  <c r="AC37"/>
  <c r="Z37"/>
  <c r="AF37" s="1"/>
  <c r="BB15" s="1"/>
  <c r="S37"/>
  <c r="P37"/>
  <c r="V37" s="1"/>
  <c r="BA15" s="1"/>
  <c r="I37"/>
  <c r="F37"/>
  <c r="L37" s="1"/>
  <c r="AZ15" s="1"/>
  <c r="AC36"/>
  <c r="Z36"/>
  <c r="S36"/>
  <c r="P36"/>
  <c r="I36"/>
  <c r="F36"/>
  <c r="AC35"/>
  <c r="Z35"/>
  <c r="AF35" s="1"/>
  <c r="BB13" s="1"/>
  <c r="S35"/>
  <c r="P35"/>
  <c r="V35" s="1"/>
  <c r="BA13" s="1"/>
  <c r="I35"/>
  <c r="F35"/>
  <c r="L35" s="1"/>
  <c r="AZ13" s="1"/>
  <c r="AC34"/>
  <c r="Z34"/>
  <c r="S34"/>
  <c r="P34"/>
  <c r="I34"/>
  <c r="F34"/>
  <c r="AC33"/>
  <c r="Z33"/>
  <c r="AF33" s="1"/>
  <c r="BB11" s="1"/>
  <c r="S33"/>
  <c r="P33"/>
  <c r="V33" s="1"/>
  <c r="BA11" s="1"/>
  <c r="I33"/>
  <c r="F33"/>
  <c r="L33" s="1"/>
  <c r="AZ11" s="1"/>
  <c r="AI27"/>
  <c r="AJ27" s="1"/>
  <c r="AK27" s="1"/>
  <c r="AL27" s="1"/>
  <c r="BD25"/>
  <c r="BB25"/>
  <c r="BA25"/>
  <c r="AZ25"/>
  <c r="AM25"/>
  <c r="AJ25"/>
  <c r="AO25" s="1"/>
  <c r="AC25"/>
  <c r="Z25"/>
  <c r="AF25" s="1"/>
  <c r="AX25" s="1"/>
  <c r="V25"/>
  <c r="AW25" s="1"/>
  <c r="S25"/>
  <c r="P25"/>
  <c r="U25" s="1"/>
  <c r="AJ47" s="1"/>
  <c r="L25"/>
  <c r="I25"/>
  <c r="F25"/>
  <c r="K25" s="1"/>
  <c r="AM24"/>
  <c r="AJ24"/>
  <c r="AO24" s="1"/>
  <c r="AC24"/>
  <c r="Z24"/>
  <c r="AF24" s="1"/>
  <c r="AX24" s="1"/>
  <c r="S24"/>
  <c r="P24"/>
  <c r="V24" s="1"/>
  <c r="AW24" s="1"/>
  <c r="I24"/>
  <c r="F24"/>
  <c r="L24" s="1"/>
  <c r="B24"/>
  <c r="B46" s="1"/>
  <c r="BB23"/>
  <c r="BA23"/>
  <c r="AZ23"/>
  <c r="AM23"/>
  <c r="AJ23"/>
  <c r="AO23" s="1"/>
  <c r="AC23"/>
  <c r="Z23"/>
  <c r="S23"/>
  <c r="P23"/>
  <c r="I23"/>
  <c r="F23"/>
  <c r="B23"/>
  <c r="B45" s="1"/>
  <c r="BA22"/>
  <c r="AZ22"/>
  <c r="AM22"/>
  <c r="AJ22"/>
  <c r="AO22" s="1"/>
  <c r="AC22"/>
  <c r="Z22"/>
  <c r="AF22" s="1"/>
  <c r="AX22" s="1"/>
  <c r="S22"/>
  <c r="P22"/>
  <c r="V22" s="1"/>
  <c r="AW22" s="1"/>
  <c r="I22"/>
  <c r="F22"/>
  <c r="L22" s="1"/>
  <c r="B22"/>
  <c r="B44" s="1"/>
  <c r="AM21"/>
  <c r="AJ21"/>
  <c r="AO21" s="1"/>
  <c r="AC21"/>
  <c r="Z21"/>
  <c r="S21"/>
  <c r="P21"/>
  <c r="I21"/>
  <c r="F21"/>
  <c r="B21"/>
  <c r="B43" s="1"/>
  <c r="BB20"/>
  <c r="BA20"/>
  <c r="AZ20"/>
  <c r="AM20"/>
  <c r="AJ20"/>
  <c r="AO20" s="1"/>
  <c r="AC20"/>
  <c r="Z20"/>
  <c r="AF20" s="1"/>
  <c r="AX20" s="1"/>
  <c r="S20"/>
  <c r="P20"/>
  <c r="V20" s="1"/>
  <c r="AW20" s="1"/>
  <c r="I20"/>
  <c r="F20"/>
  <c r="L20" s="1"/>
  <c r="B20"/>
  <c r="B42" s="1"/>
  <c r="AM19"/>
  <c r="AJ19"/>
  <c r="AO19" s="1"/>
  <c r="AC19"/>
  <c r="Z19"/>
  <c r="S19"/>
  <c r="P19"/>
  <c r="I19"/>
  <c r="F19"/>
  <c r="B19"/>
  <c r="B41" s="1"/>
  <c r="AM18"/>
  <c r="AJ18"/>
  <c r="AO18" s="1"/>
  <c r="AC18"/>
  <c r="Z18"/>
  <c r="AF18" s="1"/>
  <c r="AX18" s="1"/>
  <c r="S18"/>
  <c r="P18"/>
  <c r="V18" s="1"/>
  <c r="AW18" s="1"/>
  <c r="I18"/>
  <c r="F18"/>
  <c r="L18" s="1"/>
  <c r="B18"/>
  <c r="B40" s="1"/>
  <c r="AM17"/>
  <c r="AJ17"/>
  <c r="AO17" s="1"/>
  <c r="AC17"/>
  <c r="Z17"/>
  <c r="S17"/>
  <c r="P17"/>
  <c r="I17"/>
  <c r="F17"/>
  <c r="B17"/>
  <c r="B39" s="1"/>
  <c r="AM16"/>
  <c r="AJ16"/>
  <c r="AO16" s="1"/>
  <c r="AC16"/>
  <c r="Z16"/>
  <c r="AF16" s="1"/>
  <c r="AX16" s="1"/>
  <c r="S16"/>
  <c r="P16"/>
  <c r="V16" s="1"/>
  <c r="AW16" s="1"/>
  <c r="I16"/>
  <c r="F16"/>
  <c r="L16" s="1"/>
  <c r="B16"/>
  <c r="B38" s="1"/>
  <c r="AM15"/>
  <c r="AJ15"/>
  <c r="AO15" s="1"/>
  <c r="AC15"/>
  <c r="Z15"/>
  <c r="S15"/>
  <c r="P15"/>
  <c r="I15"/>
  <c r="F15"/>
  <c r="B15"/>
  <c r="B37" s="1"/>
  <c r="AM14"/>
  <c r="AJ14"/>
  <c r="AO14" s="1"/>
  <c r="AC14"/>
  <c r="Z14"/>
  <c r="AF14" s="1"/>
  <c r="AX14" s="1"/>
  <c r="S14"/>
  <c r="P14"/>
  <c r="V14" s="1"/>
  <c r="AW14" s="1"/>
  <c r="I14"/>
  <c r="F14"/>
  <c r="L14" s="1"/>
  <c r="B14"/>
  <c r="B36" s="1"/>
  <c r="AM13"/>
  <c r="AJ13"/>
  <c r="AO13" s="1"/>
  <c r="AC13"/>
  <c r="Z13"/>
  <c r="S13"/>
  <c r="P13"/>
  <c r="V13" s="1"/>
  <c r="AW13" s="1"/>
  <c r="I13"/>
  <c r="F13"/>
  <c r="B13"/>
  <c r="B35" s="1"/>
  <c r="AM12"/>
  <c r="AJ12"/>
  <c r="AO12" s="1"/>
  <c r="AC12"/>
  <c r="Z12"/>
  <c r="AF12" s="1"/>
  <c r="AX12" s="1"/>
  <c r="S12"/>
  <c r="P12"/>
  <c r="V12" s="1"/>
  <c r="AW12" s="1"/>
  <c r="I12"/>
  <c r="F12"/>
  <c r="L12" s="1"/>
  <c r="B12"/>
  <c r="B34" s="1"/>
  <c r="AM11"/>
  <c r="AJ11"/>
  <c r="AO11" s="1"/>
  <c r="AC11"/>
  <c r="Z11"/>
  <c r="AF11" s="1"/>
  <c r="AX11" s="1"/>
  <c r="S11"/>
  <c r="P11"/>
  <c r="I11"/>
  <c r="F11"/>
  <c r="B11"/>
  <c r="B33" s="1"/>
  <c r="AV7"/>
  <c r="M5"/>
  <c r="W5" s="1"/>
  <c r="AP24" i="11"/>
  <c r="AP15"/>
  <c r="AP18"/>
  <c r="U37" i="14" l="1"/>
  <c r="AN37" s="1"/>
  <c r="K37"/>
  <c r="AM37" s="1"/>
  <c r="AP18"/>
  <c r="U14"/>
  <c r="AJ36" s="1"/>
  <c r="K14"/>
  <c r="AI36" s="1"/>
  <c r="AE36"/>
  <c r="U38"/>
  <c r="AN38" s="1"/>
  <c r="K45"/>
  <c r="AM45" s="1"/>
  <c r="K36"/>
  <c r="AM36" s="1"/>
  <c r="AE13"/>
  <c r="AK35" s="1"/>
  <c r="AE19"/>
  <c r="AE17"/>
  <c r="AK39" s="1"/>
  <c r="AR25"/>
  <c r="AA197"/>
  <c r="O199"/>
  <c r="O201" s="1"/>
  <c r="O198"/>
  <c r="AA140"/>
  <c r="O142"/>
  <c r="O144" s="1"/>
  <c r="O141"/>
  <c r="N89"/>
  <c r="BD58"/>
  <c r="N83"/>
  <c r="BD21"/>
  <c r="N80"/>
  <c r="BD18"/>
  <c r="N78"/>
  <c r="BD16"/>
  <c r="U82"/>
  <c r="W82" s="1"/>
  <c r="AO42"/>
  <c r="BB19"/>
  <c r="BB18"/>
  <c r="AZ19"/>
  <c r="AZ18"/>
  <c r="AO35"/>
  <c r="AO33"/>
  <c r="AT46"/>
  <c r="AI46"/>
  <c r="AP46" s="1"/>
  <c r="AK44"/>
  <c r="AK40"/>
  <c r="AT44"/>
  <c r="AT22" s="1"/>
  <c r="AI44"/>
  <c r="AI40"/>
  <c r="AT42"/>
  <c r="AT20" s="1"/>
  <c r="AI42"/>
  <c r="AI41"/>
  <c r="AT40"/>
  <c r="AT18" s="1"/>
  <c r="AI38"/>
  <c r="AI34"/>
  <c r="N85"/>
  <c r="BD24"/>
  <c r="BD23"/>
  <c r="N75"/>
  <c r="BD13"/>
  <c r="N74"/>
  <c r="BD12"/>
  <c r="N73"/>
  <c r="BD11"/>
  <c r="AI39"/>
  <c r="AI35"/>
  <c r="C27"/>
  <c r="AY7"/>
  <c r="AO36"/>
  <c r="AA170"/>
  <c r="O172"/>
  <c r="O174" s="1"/>
  <c r="O171"/>
  <c r="AA103"/>
  <c r="O105"/>
  <c r="O107" s="1"/>
  <c r="O104"/>
  <c r="N84"/>
  <c r="BD22"/>
  <c r="N81"/>
  <c r="BD19"/>
  <c r="N79"/>
  <c r="BD17"/>
  <c r="N76"/>
  <c r="BD14"/>
  <c r="AO47"/>
  <c r="U86"/>
  <c r="W86" s="1"/>
  <c r="AO43"/>
  <c r="N82"/>
  <c r="BD20"/>
  <c r="N77"/>
  <c r="BD15"/>
  <c r="Q224"/>
  <c r="Q221"/>
  <c r="Q220"/>
  <c r="Q218"/>
  <c r="Q217"/>
  <c r="Q216"/>
  <c r="Q214"/>
  <c r="Q213"/>
  <c r="Q211"/>
  <c r="Q89"/>
  <c r="AR62" s="1"/>
  <c r="Q86"/>
  <c r="AR47" s="1"/>
  <c r="Q84"/>
  <c r="AR44" s="1"/>
  <c r="Q83"/>
  <c r="AR43" s="1"/>
  <c r="Q81"/>
  <c r="AR41" s="1"/>
  <c r="Q80"/>
  <c r="Q79"/>
  <c r="Q78"/>
  <c r="Q76"/>
  <c r="AR36" s="1"/>
  <c r="N71"/>
  <c r="Q223"/>
  <c r="Q222"/>
  <c r="Q219"/>
  <c r="Q215"/>
  <c r="Q212"/>
  <c r="Q210"/>
  <c r="Q208"/>
  <c r="Q207"/>
  <c r="Q88"/>
  <c r="Q85"/>
  <c r="Q82"/>
  <c r="AR42" s="1"/>
  <c r="Q77"/>
  <c r="AR37" s="1"/>
  <c r="Q75"/>
  <c r="AR35" s="1"/>
  <c r="Q74"/>
  <c r="Q73"/>
  <c r="Q71"/>
  <c r="Q70"/>
  <c r="U84"/>
  <c r="W84" s="1"/>
  <c r="AO44"/>
  <c r="U80"/>
  <c r="W80" s="1"/>
  <c r="AO40"/>
  <c r="AO39"/>
  <c r="AV23"/>
  <c r="AP23"/>
  <c r="AJ44"/>
  <c r="AJ40"/>
  <c r="AV19"/>
  <c r="AP19"/>
  <c r="AV17"/>
  <c r="AP17"/>
  <c r="AV15"/>
  <c r="AP15"/>
  <c r="AV13"/>
  <c r="AP13"/>
  <c r="AV11"/>
  <c r="AZ28" s="1"/>
  <c r="BD30" s="1"/>
  <c r="AP11"/>
  <c r="K41"/>
  <c r="AM41" s="1"/>
  <c r="AE21"/>
  <c r="AK43" s="1"/>
  <c r="U11"/>
  <c r="AJ33" s="1"/>
  <c r="U34"/>
  <c r="AN34" s="1"/>
  <c r="U23"/>
  <c r="AJ45" s="1"/>
  <c r="U15"/>
  <c r="AJ37" s="1"/>
  <c r="B158"/>
  <c r="B160" s="1"/>
  <c r="B103"/>
  <c r="B105" s="1"/>
  <c r="AE45"/>
  <c r="U43"/>
  <c r="AN43" s="1"/>
  <c r="AE41"/>
  <c r="AP21"/>
  <c r="B257"/>
  <c r="B259" s="1"/>
  <c r="B140"/>
  <c r="B142" s="1"/>
  <c r="AT62"/>
  <c r="AT58" s="1"/>
  <c r="AE38"/>
  <c r="K38"/>
  <c r="AM38" s="1"/>
  <c r="U21"/>
  <c r="U17"/>
  <c r="AJ39" s="1"/>
  <c r="AP14"/>
  <c r="U13"/>
  <c r="AJ35" s="1"/>
  <c r="AE11"/>
  <c r="AK33" s="1"/>
  <c r="K11"/>
  <c r="AP16"/>
  <c r="AP12"/>
  <c r="U36"/>
  <c r="AN36" s="1"/>
  <c r="AP36" s="1"/>
  <c r="AE34"/>
  <c r="K34"/>
  <c r="AM34" s="1"/>
  <c r="AE23"/>
  <c r="AK45" s="1"/>
  <c r="K23"/>
  <c r="U19"/>
  <c r="AT41" s="1"/>
  <c r="AT19" s="1"/>
  <c r="AE15"/>
  <c r="K15"/>
  <c r="AP47"/>
  <c r="AT47"/>
  <c r="AT25" s="1"/>
  <c r="U42" i="13"/>
  <c r="AN42" s="1"/>
  <c r="K44"/>
  <c r="AM44" s="1"/>
  <c r="K42"/>
  <c r="AM42" s="1"/>
  <c r="AI34"/>
  <c r="AA197"/>
  <c r="O199"/>
  <c r="O201" s="1"/>
  <c r="O198"/>
  <c r="AA140"/>
  <c r="O142"/>
  <c r="O144" s="1"/>
  <c r="O141"/>
  <c r="N89"/>
  <c r="BD58"/>
  <c r="N83"/>
  <c r="BD21"/>
  <c r="N80"/>
  <c r="BD18"/>
  <c r="N78"/>
  <c r="BD16"/>
  <c r="AO44"/>
  <c r="BB18"/>
  <c r="BB19"/>
  <c r="AZ18"/>
  <c r="AZ19"/>
  <c r="AO38"/>
  <c r="AO36"/>
  <c r="AO34"/>
  <c r="AV24"/>
  <c r="AP24"/>
  <c r="AV20"/>
  <c r="AP20"/>
  <c r="AV18"/>
  <c r="AP18"/>
  <c r="AV16"/>
  <c r="AP16"/>
  <c r="AV14"/>
  <c r="AP14"/>
  <c r="AI33"/>
  <c r="AP58"/>
  <c r="B197"/>
  <c r="B199" s="1"/>
  <c r="AE58"/>
  <c r="AK62" s="1"/>
  <c r="AP62" s="1"/>
  <c r="U45"/>
  <c r="U43"/>
  <c r="AN43" s="1"/>
  <c r="AE41"/>
  <c r="K41"/>
  <c r="AM41" s="1"/>
  <c r="AP22"/>
  <c r="B257"/>
  <c r="B259" s="1"/>
  <c r="B140"/>
  <c r="B142" s="1"/>
  <c r="AP23"/>
  <c r="AE39"/>
  <c r="K39"/>
  <c r="AM39" s="1"/>
  <c r="U37"/>
  <c r="AN37" s="1"/>
  <c r="AE35"/>
  <c r="K35"/>
  <c r="AM35" s="1"/>
  <c r="U33"/>
  <c r="AN33" s="1"/>
  <c r="AE24"/>
  <c r="AK46" s="1"/>
  <c r="K24"/>
  <c r="U22"/>
  <c r="U20"/>
  <c r="AJ42" s="1"/>
  <c r="AE18"/>
  <c r="AK41" s="1"/>
  <c r="K18"/>
  <c r="U16"/>
  <c r="AJ38" s="1"/>
  <c r="AE14"/>
  <c r="AK36" s="1"/>
  <c r="K14"/>
  <c r="AP47"/>
  <c r="AP19"/>
  <c r="AP17"/>
  <c r="AP15"/>
  <c r="AP13"/>
  <c r="AA170"/>
  <c r="O172"/>
  <c r="O174" s="1"/>
  <c r="O171"/>
  <c r="AA103"/>
  <c r="O105"/>
  <c r="O107" s="1"/>
  <c r="O104"/>
  <c r="N84"/>
  <c r="BD22"/>
  <c r="N81"/>
  <c r="BD19"/>
  <c r="N79"/>
  <c r="BD17"/>
  <c r="N76"/>
  <c r="BD14"/>
  <c r="AO42"/>
  <c r="BA19"/>
  <c r="BA18"/>
  <c r="AO40"/>
  <c r="N82"/>
  <c r="BD20"/>
  <c r="N77"/>
  <c r="BD15"/>
  <c r="Q224"/>
  <c r="Q221"/>
  <c r="Q220"/>
  <c r="Q218"/>
  <c r="Q217"/>
  <c r="Q216"/>
  <c r="Q214"/>
  <c r="Q213"/>
  <c r="Q211"/>
  <c r="Q89"/>
  <c r="AR62" s="1"/>
  <c r="Q86"/>
  <c r="AR47" s="1"/>
  <c r="Q84"/>
  <c r="AR44" s="1"/>
  <c r="Q83"/>
  <c r="AR43" s="1"/>
  <c r="Q81"/>
  <c r="AR41" s="1"/>
  <c r="Q80"/>
  <c r="Q79"/>
  <c r="Q78"/>
  <c r="Q76"/>
  <c r="AR36" s="1"/>
  <c r="N71"/>
  <c r="Q223"/>
  <c r="Q222"/>
  <c r="Q219"/>
  <c r="Q215"/>
  <c r="Q212"/>
  <c r="Q210"/>
  <c r="Q208"/>
  <c r="Q207"/>
  <c r="Q88"/>
  <c r="Q85"/>
  <c r="Q82"/>
  <c r="AR42" s="1"/>
  <c r="Q77"/>
  <c r="AR37" s="1"/>
  <c r="Q75"/>
  <c r="AR35" s="1"/>
  <c r="Q74"/>
  <c r="Q73"/>
  <c r="Q71"/>
  <c r="Q70"/>
  <c r="AI45"/>
  <c r="AT45"/>
  <c r="AI43"/>
  <c r="AI39"/>
  <c r="AI37"/>
  <c r="AI35"/>
  <c r="AV12"/>
  <c r="AP12"/>
  <c r="N85"/>
  <c r="BD23"/>
  <c r="BD24"/>
  <c r="N75"/>
  <c r="BD13"/>
  <c r="N74"/>
  <c r="BD12"/>
  <c r="N73"/>
  <c r="BD11"/>
  <c r="C60"/>
  <c r="M60" s="1"/>
  <c r="W60" s="1"/>
  <c r="AZ7"/>
  <c r="M27"/>
  <c r="AE43"/>
  <c r="K43"/>
  <c r="AM43" s="1"/>
  <c r="U41"/>
  <c r="AN41" s="1"/>
  <c r="U12"/>
  <c r="AJ34" s="1"/>
  <c r="AP21"/>
  <c r="AP11"/>
  <c r="U39"/>
  <c r="AN39" s="1"/>
  <c r="AE37"/>
  <c r="K37"/>
  <c r="AM37" s="1"/>
  <c r="U35"/>
  <c r="AN35" s="1"/>
  <c r="AE33"/>
  <c r="K33"/>
  <c r="AM33" s="1"/>
  <c r="U24"/>
  <c r="AJ46" s="1"/>
  <c r="AE22"/>
  <c r="AE20"/>
  <c r="AK42" s="1"/>
  <c r="K20"/>
  <c r="U18"/>
  <c r="AJ41" s="1"/>
  <c r="AE16"/>
  <c r="AK38" s="1"/>
  <c r="K16"/>
  <c r="U14"/>
  <c r="AJ36" s="1"/>
  <c r="BB19" i="12"/>
  <c r="BB18"/>
  <c r="AE41"/>
  <c r="BA19"/>
  <c r="BA18"/>
  <c r="AZ19"/>
  <c r="AZ18"/>
  <c r="K41"/>
  <c r="AM41" s="1"/>
  <c r="U13"/>
  <c r="AJ35" s="1"/>
  <c r="U47"/>
  <c r="AN47" s="1"/>
  <c r="AE11"/>
  <c r="AK33" s="1"/>
  <c r="AP25"/>
  <c r="AV25"/>
  <c r="AV12"/>
  <c r="AY12"/>
  <c r="AL34"/>
  <c r="AL35"/>
  <c r="AY13"/>
  <c r="AL37"/>
  <c r="AY15"/>
  <c r="AL39"/>
  <c r="AY17"/>
  <c r="AP22"/>
  <c r="AV22"/>
  <c r="AL44"/>
  <c r="AY22"/>
  <c r="AL45"/>
  <c r="AY23"/>
  <c r="AP24"/>
  <c r="AV24"/>
  <c r="AL46"/>
  <c r="AY24"/>
  <c r="AX7"/>
  <c r="AG5"/>
  <c r="AL33"/>
  <c r="AY11"/>
  <c r="AV14"/>
  <c r="AY14"/>
  <c r="AL36"/>
  <c r="AV16"/>
  <c r="AY16"/>
  <c r="AL38"/>
  <c r="AP18"/>
  <c r="AV18"/>
  <c r="AL40"/>
  <c r="AY18"/>
  <c r="AL41"/>
  <c r="AY19"/>
  <c r="AP20"/>
  <c r="AV20"/>
  <c r="AL42"/>
  <c r="AY20"/>
  <c r="AL43"/>
  <c r="AY21"/>
  <c r="AI47"/>
  <c r="BE25"/>
  <c r="AR25"/>
  <c r="AY25"/>
  <c r="AL47"/>
  <c r="AM27"/>
  <c r="AN27" s="1"/>
  <c r="AO27" s="1"/>
  <c r="AW27"/>
  <c r="BF25"/>
  <c r="AO41"/>
  <c r="AM62"/>
  <c r="I73"/>
  <c r="K73"/>
  <c r="I74"/>
  <c r="K74"/>
  <c r="I75"/>
  <c r="K75"/>
  <c r="I85"/>
  <c r="K85"/>
  <c r="O97"/>
  <c r="O99" s="1"/>
  <c r="O96"/>
  <c r="AA95"/>
  <c r="B117"/>
  <c r="B119" s="1"/>
  <c r="B120"/>
  <c r="B121" s="1"/>
  <c r="B123" s="1"/>
  <c r="B139"/>
  <c r="B136"/>
  <c r="B138" s="1"/>
  <c r="AA150"/>
  <c r="O152"/>
  <c r="O154" s="1"/>
  <c r="O151"/>
  <c r="B177"/>
  <c r="B178" s="1"/>
  <c r="B180" s="1"/>
  <c r="B174"/>
  <c r="B176" s="1"/>
  <c r="O191"/>
  <c r="O193" s="1"/>
  <c r="O190"/>
  <c r="AA189"/>
  <c r="I210"/>
  <c r="N210" s="1"/>
  <c r="K210"/>
  <c r="I212"/>
  <c r="N212" s="1"/>
  <c r="K212"/>
  <c r="K214"/>
  <c r="I214"/>
  <c r="N214" s="1"/>
  <c r="K216"/>
  <c r="I216"/>
  <c r="N216" s="1"/>
  <c r="K224"/>
  <c r="I224"/>
  <c r="N224" s="1"/>
  <c r="B256"/>
  <c r="B253"/>
  <c r="B255" s="1"/>
  <c r="AA257"/>
  <c r="O259"/>
  <c r="O261" s="1"/>
  <c r="O258"/>
  <c r="L11"/>
  <c r="V11"/>
  <c r="AW11" s="1"/>
  <c r="K12"/>
  <c r="U12"/>
  <c r="AJ34" s="1"/>
  <c r="L13"/>
  <c r="AF13"/>
  <c r="AX13" s="1"/>
  <c r="K14"/>
  <c r="U14"/>
  <c r="AJ36" s="1"/>
  <c r="AE14"/>
  <c r="AK36" s="1"/>
  <c r="L15"/>
  <c r="V15"/>
  <c r="AW15" s="1"/>
  <c r="AF15"/>
  <c r="AX15" s="1"/>
  <c r="K16"/>
  <c r="U16"/>
  <c r="AJ38" s="1"/>
  <c r="AE16"/>
  <c r="AK38" s="1"/>
  <c r="L17"/>
  <c r="K17" s="1"/>
  <c r="V17"/>
  <c r="AW17" s="1"/>
  <c r="AF17"/>
  <c r="AX17" s="1"/>
  <c r="K18"/>
  <c r="U18"/>
  <c r="AJ41" s="1"/>
  <c r="AE18"/>
  <c r="AK41" s="1"/>
  <c r="L19"/>
  <c r="V19"/>
  <c r="AW19" s="1"/>
  <c r="AF19"/>
  <c r="AX19" s="1"/>
  <c r="K20"/>
  <c r="U20"/>
  <c r="AJ42" s="1"/>
  <c r="AE20"/>
  <c r="AK42" s="1"/>
  <c r="L21"/>
  <c r="V21"/>
  <c r="AW21" s="1"/>
  <c r="AF21"/>
  <c r="AX21" s="1"/>
  <c r="K22"/>
  <c r="U22"/>
  <c r="AE22"/>
  <c r="L23"/>
  <c r="V23"/>
  <c r="AW23" s="1"/>
  <c r="AF23"/>
  <c r="AX23" s="1"/>
  <c r="K24"/>
  <c r="U24"/>
  <c r="AJ46" s="1"/>
  <c r="AE24"/>
  <c r="AK46" s="1"/>
  <c r="AE25"/>
  <c r="AK47" s="1"/>
  <c r="K33"/>
  <c r="AM33" s="1"/>
  <c r="U33"/>
  <c r="AN33" s="1"/>
  <c r="AE33"/>
  <c r="L34"/>
  <c r="AZ12" s="1"/>
  <c r="V34"/>
  <c r="BA12" s="1"/>
  <c r="AF34"/>
  <c r="BB12" s="1"/>
  <c r="K35"/>
  <c r="AM35" s="1"/>
  <c r="U35"/>
  <c r="AN35" s="1"/>
  <c r="AE35"/>
  <c r="L36"/>
  <c r="AZ14" s="1"/>
  <c r="V36"/>
  <c r="BA14" s="1"/>
  <c r="AF36"/>
  <c r="BB14" s="1"/>
  <c r="K37"/>
  <c r="AM37" s="1"/>
  <c r="U37"/>
  <c r="AN37" s="1"/>
  <c r="AE37"/>
  <c r="L38"/>
  <c r="AZ16" s="1"/>
  <c r="V38"/>
  <c r="BA16" s="1"/>
  <c r="AF38"/>
  <c r="BB16" s="1"/>
  <c r="K39"/>
  <c r="AM39" s="1"/>
  <c r="U39"/>
  <c r="AN39" s="1"/>
  <c r="AE39"/>
  <c r="K40"/>
  <c r="AM40" s="1"/>
  <c r="AE40"/>
  <c r="U42"/>
  <c r="AN42" s="1"/>
  <c r="K44"/>
  <c r="AM44" s="1"/>
  <c r="AE44"/>
  <c r="U46"/>
  <c r="AN46" s="1"/>
  <c r="AP58"/>
  <c r="I71"/>
  <c r="C71"/>
  <c r="I77"/>
  <c r="K77"/>
  <c r="I82"/>
  <c r="K82"/>
  <c r="B102"/>
  <c r="B103" s="1"/>
  <c r="B105" s="1"/>
  <c r="B99"/>
  <c r="B101" s="1"/>
  <c r="O114"/>
  <c r="AA113"/>
  <c r="O115"/>
  <c r="O117" s="1"/>
  <c r="O123"/>
  <c r="O125" s="1"/>
  <c r="O122"/>
  <c r="AA121"/>
  <c r="O134"/>
  <c r="O136" s="1"/>
  <c r="O133"/>
  <c r="AA132"/>
  <c r="B154"/>
  <c r="B156" s="1"/>
  <c r="B157"/>
  <c r="B158" s="1"/>
  <c r="B160" s="1"/>
  <c r="O160"/>
  <c r="O162" s="1"/>
  <c r="O159"/>
  <c r="AA158"/>
  <c r="AA178"/>
  <c r="O180"/>
  <c r="O182" s="1"/>
  <c r="O179"/>
  <c r="B196"/>
  <c r="B193"/>
  <c r="B195" s="1"/>
  <c r="K213"/>
  <c r="I213"/>
  <c r="N213" s="1"/>
  <c r="K217"/>
  <c r="I217"/>
  <c r="N217" s="1"/>
  <c r="O251"/>
  <c r="O253" s="1"/>
  <c r="O250"/>
  <c r="AA249"/>
  <c r="AW7"/>
  <c r="AE12"/>
  <c r="AK34" s="1"/>
  <c r="U40"/>
  <c r="AN40" s="1"/>
  <c r="U41"/>
  <c r="AN41" s="1"/>
  <c r="K42"/>
  <c r="AM42" s="1"/>
  <c r="AE42"/>
  <c r="K43"/>
  <c r="AM43" s="1"/>
  <c r="V43"/>
  <c r="BA21" s="1"/>
  <c r="AE43"/>
  <c r="U44"/>
  <c r="AN44" s="1"/>
  <c r="L45"/>
  <c r="AZ24" s="1"/>
  <c r="U45"/>
  <c r="AN45" s="1"/>
  <c r="AF45"/>
  <c r="BB24" s="1"/>
  <c r="K46"/>
  <c r="AM46" s="1"/>
  <c r="AE46"/>
  <c r="AO46" s="1"/>
  <c r="K47"/>
  <c r="AM47" s="1"/>
  <c r="AE47"/>
  <c r="U58"/>
  <c r="AJ62" s="1"/>
  <c r="U62"/>
  <c r="AN62" s="1"/>
  <c r="AP62" s="1"/>
  <c r="AD277"/>
  <c r="I76"/>
  <c r="I78"/>
  <c r="I79"/>
  <c r="I80"/>
  <c r="I81"/>
  <c r="I83"/>
  <c r="I84"/>
  <c r="I89"/>
  <c r="O102"/>
  <c r="O103" s="1"/>
  <c r="O139"/>
  <c r="O140" s="1"/>
  <c r="O170"/>
  <c r="O196"/>
  <c r="O197" s="1"/>
  <c r="C207"/>
  <c r="I211"/>
  <c r="N211" s="1"/>
  <c r="K215"/>
  <c r="K219"/>
  <c r="Z219" s="1"/>
  <c r="I220"/>
  <c r="N220" s="1"/>
  <c r="AD240"/>
  <c r="AD242" s="1"/>
  <c r="B24" i="11"/>
  <c r="B46" s="1"/>
  <c r="AC46"/>
  <c r="Z46"/>
  <c r="AF46" s="1"/>
  <c r="S46"/>
  <c r="P46"/>
  <c r="V46" s="1"/>
  <c r="I46"/>
  <c r="F46"/>
  <c r="L46" s="1"/>
  <c r="AM24"/>
  <c r="AJ24"/>
  <c r="AC24"/>
  <c r="Z24"/>
  <c r="S24"/>
  <c r="P24"/>
  <c r="I24"/>
  <c r="F24"/>
  <c r="X88"/>
  <c r="U88"/>
  <c r="W88" s="1"/>
  <c r="K88"/>
  <c r="I88"/>
  <c r="C88"/>
  <c r="E88" s="1"/>
  <c r="AD274"/>
  <c r="U274"/>
  <c r="X274" s="1"/>
  <c r="R274"/>
  <c r="AD273"/>
  <c r="U273"/>
  <c r="X273" s="1"/>
  <c r="R273"/>
  <c r="AD272"/>
  <c r="U272"/>
  <c r="X272" s="1"/>
  <c r="R272"/>
  <c r="AD271"/>
  <c r="U271"/>
  <c r="X271" s="1"/>
  <c r="R271"/>
  <c r="AD270"/>
  <c r="U270"/>
  <c r="X270" s="1"/>
  <c r="R270"/>
  <c r="AD269"/>
  <c r="U269"/>
  <c r="X269" s="1"/>
  <c r="R269"/>
  <c r="AD268"/>
  <c r="U268"/>
  <c r="X268" s="1"/>
  <c r="R268"/>
  <c r="O248"/>
  <c r="O249" s="1"/>
  <c r="B247"/>
  <c r="B248" s="1"/>
  <c r="B249" s="1"/>
  <c r="B251" s="1"/>
  <c r="M242"/>
  <c r="U238"/>
  <c r="X238" s="1"/>
  <c r="R238"/>
  <c r="U237"/>
  <c r="X237" s="1"/>
  <c r="R237"/>
  <c r="U236"/>
  <c r="X236" s="1"/>
  <c r="R236"/>
  <c r="U235"/>
  <c r="X235" s="1"/>
  <c r="R235"/>
  <c r="U234"/>
  <c r="X234" s="1"/>
  <c r="R234"/>
  <c r="U233"/>
  <c r="X233" s="1"/>
  <c r="R233"/>
  <c r="AD232"/>
  <c r="AI232" s="1"/>
  <c r="U232"/>
  <c r="X232" s="1"/>
  <c r="R232"/>
  <c r="AD231"/>
  <c r="AI231" s="1"/>
  <c r="U231"/>
  <c r="X231" s="1"/>
  <c r="R231"/>
  <c r="X224"/>
  <c r="U224"/>
  <c r="W224" s="1"/>
  <c r="C224"/>
  <c r="E224" s="1"/>
  <c r="X223"/>
  <c r="U223"/>
  <c r="W223" s="1"/>
  <c r="G223"/>
  <c r="K223" s="1"/>
  <c r="E223"/>
  <c r="I223" s="1"/>
  <c r="N223" s="1"/>
  <c r="AF222"/>
  <c r="X222"/>
  <c r="U222"/>
  <c r="W222" s="1"/>
  <c r="K222"/>
  <c r="I222"/>
  <c r="N222" s="1"/>
  <c r="C222"/>
  <c r="E222" s="1"/>
  <c r="X221"/>
  <c r="U221"/>
  <c r="W221" s="1"/>
  <c r="G221"/>
  <c r="K221" s="1"/>
  <c r="X220"/>
  <c r="U220"/>
  <c r="W220" s="1"/>
  <c r="C220"/>
  <c r="G220" s="1"/>
  <c r="X219"/>
  <c r="U219"/>
  <c r="W219" s="1"/>
  <c r="C219"/>
  <c r="E219" s="1"/>
  <c r="I219" s="1"/>
  <c r="N219" s="1"/>
  <c r="X218"/>
  <c r="U218"/>
  <c r="W218" s="1"/>
  <c r="N218"/>
  <c r="K218"/>
  <c r="X217"/>
  <c r="U217"/>
  <c r="W217" s="1"/>
  <c r="C217"/>
  <c r="E217" s="1"/>
  <c r="X216"/>
  <c r="U216"/>
  <c r="W216" s="1"/>
  <c r="S216"/>
  <c r="C216"/>
  <c r="E216" s="1"/>
  <c r="X215"/>
  <c r="U215"/>
  <c r="W215" s="1"/>
  <c r="C215"/>
  <c r="E215" s="1"/>
  <c r="I215" s="1"/>
  <c r="N215" s="1"/>
  <c r="X214"/>
  <c r="U214"/>
  <c r="W214" s="1"/>
  <c r="C214"/>
  <c r="E214" s="1"/>
  <c r="X213"/>
  <c r="U213"/>
  <c r="W213" s="1"/>
  <c r="S213"/>
  <c r="C213"/>
  <c r="E213" s="1"/>
  <c r="X212"/>
  <c r="U212"/>
  <c r="W212" s="1"/>
  <c r="C212"/>
  <c r="E212" s="1"/>
  <c r="X211"/>
  <c r="U211"/>
  <c r="W211" s="1"/>
  <c r="C211"/>
  <c r="E211" s="1"/>
  <c r="K211" s="1"/>
  <c r="X210"/>
  <c r="U210"/>
  <c r="W210" s="1"/>
  <c r="C210"/>
  <c r="E210" s="1"/>
  <c r="K208"/>
  <c r="E208"/>
  <c r="I208" s="1"/>
  <c r="N208" s="1"/>
  <c r="E207"/>
  <c r="I207" s="1"/>
  <c r="N207" s="1"/>
  <c r="B186"/>
  <c r="O188" s="1"/>
  <c r="O189" s="1"/>
  <c r="AG173"/>
  <c r="AJ173" s="1"/>
  <c r="AG172"/>
  <c r="AJ172" s="1"/>
  <c r="AG171"/>
  <c r="AJ171" s="1"/>
  <c r="AG170"/>
  <c r="AJ170" s="1"/>
  <c r="AJ169"/>
  <c r="O169"/>
  <c r="O177" s="1"/>
  <c r="O178" s="1"/>
  <c r="B168"/>
  <c r="B169" s="1"/>
  <c r="B170" s="1"/>
  <c r="B172" s="1"/>
  <c r="O149"/>
  <c r="O150" s="1"/>
  <c r="B148"/>
  <c r="B149" s="1"/>
  <c r="B150" s="1"/>
  <c r="B152" s="1"/>
  <c r="O131"/>
  <c r="O132" s="1"/>
  <c r="B130"/>
  <c r="B131" s="1"/>
  <c r="B132" s="1"/>
  <c r="B134" s="1"/>
  <c r="AI117"/>
  <c r="AE117"/>
  <c r="AI113"/>
  <c r="AI114" s="1"/>
  <c r="AL113" s="1"/>
  <c r="AL112" s="1"/>
  <c r="AO112" s="1"/>
  <c r="AO113" s="1"/>
  <c r="O112"/>
  <c r="O113" s="1"/>
  <c r="B111"/>
  <c r="B112" s="1"/>
  <c r="B113" s="1"/>
  <c r="B115" s="1"/>
  <c r="O94"/>
  <c r="O95" s="1"/>
  <c r="B93"/>
  <c r="B94" s="1"/>
  <c r="B95" s="1"/>
  <c r="B97" s="1"/>
  <c r="X89"/>
  <c r="U89"/>
  <c r="W89" s="1"/>
  <c r="C89"/>
  <c r="E89" s="1"/>
  <c r="K89" s="1"/>
  <c r="X86"/>
  <c r="K86"/>
  <c r="I86"/>
  <c r="N86" s="1"/>
  <c r="C86"/>
  <c r="E86" s="1"/>
  <c r="X85"/>
  <c r="C85"/>
  <c r="E85" s="1"/>
  <c r="K85" s="1"/>
  <c r="X82"/>
  <c r="C82"/>
  <c r="E82" s="1"/>
  <c r="X84"/>
  <c r="E84"/>
  <c r="K84" s="1"/>
  <c r="X83"/>
  <c r="C83"/>
  <c r="E83" s="1"/>
  <c r="K83" s="1"/>
  <c r="X81"/>
  <c r="C81"/>
  <c r="E81" s="1"/>
  <c r="X80"/>
  <c r="C80"/>
  <c r="E80" s="1"/>
  <c r="X79"/>
  <c r="C79"/>
  <c r="E79" s="1"/>
  <c r="X78"/>
  <c r="C78"/>
  <c r="E78" s="1"/>
  <c r="X77"/>
  <c r="C77"/>
  <c r="E77" s="1"/>
  <c r="X76"/>
  <c r="C76"/>
  <c r="E76" s="1"/>
  <c r="K76" s="1"/>
  <c r="X75"/>
  <c r="C75"/>
  <c r="E75" s="1"/>
  <c r="X74"/>
  <c r="C74"/>
  <c r="E74" s="1"/>
  <c r="X73"/>
  <c r="C73"/>
  <c r="E73" s="1"/>
  <c r="K70"/>
  <c r="K71" s="1"/>
  <c r="E71" s="1"/>
  <c r="AF62"/>
  <c r="BB58" s="1"/>
  <c r="AC62"/>
  <c r="Z62"/>
  <c r="V62"/>
  <c r="S62"/>
  <c r="P62"/>
  <c r="L62"/>
  <c r="AZ58" s="1"/>
  <c r="I62"/>
  <c r="F62"/>
  <c r="BA58"/>
  <c r="AM58"/>
  <c r="AL62" s="1"/>
  <c r="AJ58"/>
  <c r="AC58"/>
  <c r="Z58"/>
  <c r="V58"/>
  <c r="AW58" s="1"/>
  <c r="S58"/>
  <c r="P58"/>
  <c r="L58"/>
  <c r="AV58" s="1"/>
  <c r="I58"/>
  <c r="F58"/>
  <c r="B58"/>
  <c r="B62" s="1"/>
  <c r="C56"/>
  <c r="M56" s="1"/>
  <c r="W56" s="1"/>
  <c r="AG56" s="1"/>
  <c r="AW49"/>
  <c r="AC47"/>
  <c r="Z47"/>
  <c r="S47"/>
  <c r="P47"/>
  <c r="I47"/>
  <c r="F47"/>
  <c r="AC45"/>
  <c r="AF45" s="1"/>
  <c r="BB24" s="1"/>
  <c r="Z45"/>
  <c r="S45"/>
  <c r="V45" s="1"/>
  <c r="BA24" s="1"/>
  <c r="P45"/>
  <c r="I45"/>
  <c r="F45"/>
  <c r="L45" s="1"/>
  <c r="AZ24" s="1"/>
  <c r="AC42"/>
  <c r="Z42"/>
  <c r="S42"/>
  <c r="P42"/>
  <c r="I42"/>
  <c r="F42"/>
  <c r="AC44"/>
  <c r="AF44" s="1"/>
  <c r="Z44"/>
  <c r="S44"/>
  <c r="P44"/>
  <c r="I44"/>
  <c r="L44" s="1"/>
  <c r="AZ22" s="1"/>
  <c r="F44"/>
  <c r="AC43"/>
  <c r="Z43"/>
  <c r="AF43" s="1"/>
  <c r="BB21" s="1"/>
  <c r="S43"/>
  <c r="P43"/>
  <c r="I43"/>
  <c r="F43"/>
  <c r="AC41"/>
  <c r="AF41" s="1"/>
  <c r="BB18" s="1"/>
  <c r="Z41"/>
  <c r="S41"/>
  <c r="V41" s="1"/>
  <c r="BA19" s="1"/>
  <c r="P41"/>
  <c r="I41"/>
  <c r="L41" s="1"/>
  <c r="F41"/>
  <c r="AC40"/>
  <c r="Z40"/>
  <c r="AF40" s="1"/>
  <c r="S40"/>
  <c r="P40"/>
  <c r="V40" s="1"/>
  <c r="I40"/>
  <c r="F40"/>
  <c r="L40" s="1"/>
  <c r="AC39"/>
  <c r="Z39"/>
  <c r="AF39" s="1"/>
  <c r="BB17" s="1"/>
  <c r="S39"/>
  <c r="P39"/>
  <c r="I39"/>
  <c r="L39" s="1"/>
  <c r="AZ17" s="1"/>
  <c r="F39"/>
  <c r="AC38"/>
  <c r="Z38"/>
  <c r="S38"/>
  <c r="P38"/>
  <c r="I38"/>
  <c r="F38"/>
  <c r="AC37"/>
  <c r="AF37" s="1"/>
  <c r="BB15" s="1"/>
  <c r="Z37"/>
  <c r="S37"/>
  <c r="P37"/>
  <c r="V37" s="1"/>
  <c r="BA15" s="1"/>
  <c r="I37"/>
  <c r="L37" s="1"/>
  <c r="AZ15" s="1"/>
  <c r="F37"/>
  <c r="AC36"/>
  <c r="Z36"/>
  <c r="S36"/>
  <c r="P36"/>
  <c r="I36"/>
  <c r="F36"/>
  <c r="AC35"/>
  <c r="AF35" s="1"/>
  <c r="BB13" s="1"/>
  <c r="Z35"/>
  <c r="S35"/>
  <c r="V35" s="1"/>
  <c r="BA13" s="1"/>
  <c r="P35"/>
  <c r="I35"/>
  <c r="L35" s="1"/>
  <c r="AZ13" s="1"/>
  <c r="F35"/>
  <c r="AC34"/>
  <c r="Z34"/>
  <c r="S34"/>
  <c r="P34"/>
  <c r="I34"/>
  <c r="F34"/>
  <c r="AC33"/>
  <c r="Z33"/>
  <c r="S33"/>
  <c r="V33" s="1"/>
  <c r="BA11" s="1"/>
  <c r="P33"/>
  <c r="I33"/>
  <c r="F33"/>
  <c r="AI27"/>
  <c r="AJ27" s="1"/>
  <c r="AK27" s="1"/>
  <c r="AL27" s="1"/>
  <c r="AM25"/>
  <c r="AJ25"/>
  <c r="AC25"/>
  <c r="Z25"/>
  <c r="S25"/>
  <c r="P25"/>
  <c r="I25"/>
  <c r="F25"/>
  <c r="B47"/>
  <c r="AM23"/>
  <c r="AJ23"/>
  <c r="AC23"/>
  <c r="Z23"/>
  <c r="S23"/>
  <c r="P23"/>
  <c r="I23"/>
  <c r="F23"/>
  <c r="B23"/>
  <c r="B45" s="1"/>
  <c r="AM20"/>
  <c r="AJ20"/>
  <c r="AC20"/>
  <c r="Z20"/>
  <c r="S20"/>
  <c r="P20"/>
  <c r="I20"/>
  <c r="F20"/>
  <c r="B20"/>
  <c r="B42" s="1"/>
  <c r="BB22"/>
  <c r="AM22"/>
  <c r="AJ22"/>
  <c r="AC22"/>
  <c r="Z22"/>
  <c r="S22"/>
  <c r="P22"/>
  <c r="I22"/>
  <c r="F22"/>
  <c r="B22"/>
  <c r="B44" s="1"/>
  <c r="AM21"/>
  <c r="AJ21"/>
  <c r="AC21"/>
  <c r="Z21"/>
  <c r="S21"/>
  <c r="P21"/>
  <c r="I21"/>
  <c r="F21"/>
  <c r="B21"/>
  <c r="B43" s="1"/>
  <c r="BB19"/>
  <c r="AM19"/>
  <c r="AJ19"/>
  <c r="AC19"/>
  <c r="Z19"/>
  <c r="S19"/>
  <c r="P19"/>
  <c r="I19"/>
  <c r="F19"/>
  <c r="B19"/>
  <c r="B41" s="1"/>
  <c r="BA18"/>
  <c r="AM18"/>
  <c r="AJ18"/>
  <c r="AC18"/>
  <c r="Z18"/>
  <c r="S18"/>
  <c r="P18"/>
  <c r="I18"/>
  <c r="F18"/>
  <c r="B18"/>
  <c r="B40" s="1"/>
  <c r="AM17"/>
  <c r="AJ17"/>
  <c r="AC17"/>
  <c r="Z17"/>
  <c r="S17"/>
  <c r="P17"/>
  <c r="I17"/>
  <c r="F17"/>
  <c r="B17"/>
  <c r="B39" s="1"/>
  <c r="AM16"/>
  <c r="AJ16"/>
  <c r="Z16"/>
  <c r="S16"/>
  <c r="P16"/>
  <c r="I16"/>
  <c r="F16"/>
  <c r="B16"/>
  <c r="B38" s="1"/>
  <c r="AM15"/>
  <c r="AJ15"/>
  <c r="AC15"/>
  <c r="Z15"/>
  <c r="S15"/>
  <c r="P15"/>
  <c r="I15"/>
  <c r="F15"/>
  <c r="B15"/>
  <c r="B37" s="1"/>
  <c r="AM14"/>
  <c r="AJ14"/>
  <c r="AC14"/>
  <c r="Z14"/>
  <c r="S14"/>
  <c r="P14"/>
  <c r="I14"/>
  <c r="F14"/>
  <c r="B14"/>
  <c r="B36" s="1"/>
  <c r="AM13"/>
  <c r="AJ13"/>
  <c r="AC13"/>
  <c r="Z13"/>
  <c r="S13"/>
  <c r="P13"/>
  <c r="I13"/>
  <c r="F13"/>
  <c r="B13"/>
  <c r="B35" s="1"/>
  <c r="AM12"/>
  <c r="AJ12"/>
  <c r="AC12"/>
  <c r="Z12"/>
  <c r="S12"/>
  <c r="P12"/>
  <c r="I12"/>
  <c r="F12"/>
  <c r="B12"/>
  <c r="B34" s="1"/>
  <c r="AM11"/>
  <c r="AJ11"/>
  <c r="AC11"/>
  <c r="Z11"/>
  <c r="S11"/>
  <c r="P11"/>
  <c r="I11"/>
  <c r="F11"/>
  <c r="B11"/>
  <c r="B33" s="1"/>
  <c r="AV7"/>
  <c r="M5"/>
  <c r="AW7" s="1"/>
  <c r="AD273" i="9"/>
  <c r="U273"/>
  <c r="X273" s="1"/>
  <c r="R273"/>
  <c r="AD272"/>
  <c r="U272"/>
  <c r="X272" s="1"/>
  <c r="R272"/>
  <c r="AD271"/>
  <c r="U271"/>
  <c r="X271" s="1"/>
  <c r="R271"/>
  <c r="AD270"/>
  <c r="U270"/>
  <c r="X270" s="1"/>
  <c r="R270"/>
  <c r="AD269"/>
  <c r="U269"/>
  <c r="X269" s="1"/>
  <c r="R269"/>
  <c r="AD268"/>
  <c r="U268"/>
  <c r="X268" s="1"/>
  <c r="R268"/>
  <c r="AD267"/>
  <c r="AD274" s="1"/>
  <c r="U267"/>
  <c r="X267" s="1"/>
  <c r="X274" s="1"/>
  <c r="AD276" s="1"/>
  <c r="R267"/>
  <c r="O247"/>
  <c r="O248" s="1"/>
  <c r="B246"/>
  <c r="B247" s="1"/>
  <c r="B248" s="1"/>
  <c r="B250" s="1"/>
  <c r="M241"/>
  <c r="U237"/>
  <c r="X237" s="1"/>
  <c r="R237"/>
  <c r="X236"/>
  <c r="U236"/>
  <c r="R236"/>
  <c r="U235"/>
  <c r="X235" s="1"/>
  <c r="R235"/>
  <c r="X234"/>
  <c r="U234"/>
  <c r="R234"/>
  <c r="U233"/>
  <c r="X233" s="1"/>
  <c r="R233"/>
  <c r="X232"/>
  <c r="U232"/>
  <c r="R232"/>
  <c r="AD231"/>
  <c r="AI231" s="1"/>
  <c r="U231"/>
  <c r="X231" s="1"/>
  <c r="R231"/>
  <c r="AI230"/>
  <c r="AD230"/>
  <c r="AD239" s="1"/>
  <c r="AD241" s="1"/>
  <c r="X230"/>
  <c r="X239" s="1"/>
  <c r="U230"/>
  <c r="R230"/>
  <c r="X223"/>
  <c r="U223"/>
  <c r="W223" s="1"/>
  <c r="C223"/>
  <c r="E223" s="1"/>
  <c r="X222"/>
  <c r="U222"/>
  <c r="W222" s="1"/>
  <c r="G222"/>
  <c r="K222" s="1"/>
  <c r="E222"/>
  <c r="I222" s="1"/>
  <c r="N222" s="1"/>
  <c r="AF221"/>
  <c r="X221"/>
  <c r="U221"/>
  <c r="W221" s="1"/>
  <c r="K221"/>
  <c r="I221"/>
  <c r="N221" s="1"/>
  <c r="C221"/>
  <c r="E221" s="1"/>
  <c r="X220"/>
  <c r="W220"/>
  <c r="U220"/>
  <c r="G220"/>
  <c r="K220" s="1"/>
  <c r="C220"/>
  <c r="E220" s="1"/>
  <c r="X219"/>
  <c r="W219"/>
  <c r="U219"/>
  <c r="C219"/>
  <c r="G219" s="1"/>
  <c r="X218"/>
  <c r="U218"/>
  <c r="W218" s="1"/>
  <c r="C218"/>
  <c r="E218" s="1"/>
  <c r="X217"/>
  <c r="U217"/>
  <c r="W217" s="1"/>
  <c r="N217"/>
  <c r="K217"/>
  <c r="X216"/>
  <c r="U216"/>
  <c r="W216" s="1"/>
  <c r="C216"/>
  <c r="E216" s="1"/>
  <c r="X215"/>
  <c r="W215"/>
  <c r="U215"/>
  <c r="S215"/>
  <c r="C215"/>
  <c r="E215" s="1"/>
  <c r="X214"/>
  <c r="W214"/>
  <c r="U214"/>
  <c r="C214"/>
  <c r="E214" s="1"/>
  <c r="X213"/>
  <c r="U213"/>
  <c r="W213" s="1"/>
  <c r="C213"/>
  <c r="E213" s="1"/>
  <c r="X212"/>
  <c r="W212"/>
  <c r="U212"/>
  <c r="S212"/>
  <c r="C212"/>
  <c r="E212" s="1"/>
  <c r="X211"/>
  <c r="U211"/>
  <c r="W211" s="1"/>
  <c r="C211"/>
  <c r="E211" s="1"/>
  <c r="X210"/>
  <c r="W210"/>
  <c r="U210"/>
  <c r="E210"/>
  <c r="K210" s="1"/>
  <c r="C210"/>
  <c r="X209"/>
  <c r="U209"/>
  <c r="W209" s="1"/>
  <c r="C209"/>
  <c r="E209" s="1"/>
  <c r="K207"/>
  <c r="I207"/>
  <c r="N207" s="1"/>
  <c r="E207"/>
  <c r="C207"/>
  <c r="E206"/>
  <c r="I206" s="1"/>
  <c r="N206" s="1"/>
  <c r="O187"/>
  <c r="O188" s="1"/>
  <c r="B186"/>
  <c r="B187" s="1"/>
  <c r="B188" s="1"/>
  <c r="B190" s="1"/>
  <c r="B185"/>
  <c r="AG172"/>
  <c r="AJ172" s="1"/>
  <c r="AG171"/>
  <c r="AJ171" s="1"/>
  <c r="AG170"/>
  <c r="AJ170" s="1"/>
  <c r="AJ169"/>
  <c r="AG169"/>
  <c r="AJ168"/>
  <c r="O168"/>
  <c r="O176" s="1"/>
  <c r="O177" s="1"/>
  <c r="B167"/>
  <c r="B168" s="1"/>
  <c r="B169" s="1"/>
  <c r="B171" s="1"/>
  <c r="O156"/>
  <c r="O157" s="1"/>
  <c r="O148"/>
  <c r="O149" s="1"/>
  <c r="B148"/>
  <c r="B149" s="1"/>
  <c r="B151" s="1"/>
  <c r="B147"/>
  <c r="O130"/>
  <c r="O131" s="1"/>
  <c r="B129"/>
  <c r="B130" s="1"/>
  <c r="B131" s="1"/>
  <c r="B133" s="1"/>
  <c r="O119"/>
  <c r="O120" s="1"/>
  <c r="AI116"/>
  <c r="AE116"/>
  <c r="AI112"/>
  <c r="AI113" s="1"/>
  <c r="AL112" s="1"/>
  <c r="AL111" s="1"/>
  <c r="AO111" s="1"/>
  <c r="AO112" s="1"/>
  <c r="O111"/>
  <c r="O112" s="1"/>
  <c r="B111"/>
  <c r="B112" s="1"/>
  <c r="B114" s="1"/>
  <c r="B110"/>
  <c r="O93"/>
  <c r="O94" s="1"/>
  <c r="B92"/>
  <c r="B93" s="1"/>
  <c r="B94" s="1"/>
  <c r="B96" s="1"/>
  <c r="X88"/>
  <c r="W88"/>
  <c r="U88"/>
  <c r="E88"/>
  <c r="K88" s="1"/>
  <c r="C88"/>
  <c r="X87"/>
  <c r="K87"/>
  <c r="I87"/>
  <c r="N87" s="1"/>
  <c r="C87"/>
  <c r="E87" s="1"/>
  <c r="X86"/>
  <c r="E86"/>
  <c r="K86" s="1"/>
  <c r="C86"/>
  <c r="X85"/>
  <c r="C85"/>
  <c r="E85" s="1"/>
  <c r="X84"/>
  <c r="E84"/>
  <c r="K84" s="1"/>
  <c r="X83"/>
  <c r="E83"/>
  <c r="K83" s="1"/>
  <c r="C83"/>
  <c r="X82"/>
  <c r="C82"/>
  <c r="E82" s="1"/>
  <c r="X81"/>
  <c r="C81"/>
  <c r="E81" s="1"/>
  <c r="X80"/>
  <c r="C80"/>
  <c r="E80" s="1"/>
  <c r="X79"/>
  <c r="C79"/>
  <c r="E79" s="1"/>
  <c r="X78"/>
  <c r="K78"/>
  <c r="I78"/>
  <c r="N78" s="1"/>
  <c r="E78"/>
  <c r="C78"/>
  <c r="X77"/>
  <c r="C77"/>
  <c r="E77" s="1"/>
  <c r="X76"/>
  <c r="E76"/>
  <c r="K76" s="1"/>
  <c r="C76"/>
  <c r="X75"/>
  <c r="C75"/>
  <c r="E75" s="1"/>
  <c r="X74"/>
  <c r="C74"/>
  <c r="E74" s="1"/>
  <c r="X73"/>
  <c r="C73"/>
  <c r="E73" s="1"/>
  <c r="K70"/>
  <c r="K71" s="1"/>
  <c r="E71" s="1"/>
  <c r="I70"/>
  <c r="N70" s="1"/>
  <c r="E70"/>
  <c r="C70"/>
  <c r="AF62"/>
  <c r="AC62"/>
  <c r="Z62"/>
  <c r="AE62" s="1"/>
  <c r="AO62" s="1"/>
  <c r="V62"/>
  <c r="S62"/>
  <c r="P62"/>
  <c r="U62" s="1"/>
  <c r="AN62" s="1"/>
  <c r="L62"/>
  <c r="I62"/>
  <c r="F62"/>
  <c r="K62" s="1"/>
  <c r="BB58"/>
  <c r="BA58"/>
  <c r="AZ58"/>
  <c r="AV58"/>
  <c r="AM58"/>
  <c r="AL62" s="1"/>
  <c r="AJ58"/>
  <c r="AO58" s="1"/>
  <c r="AY58" s="1"/>
  <c r="AC58"/>
  <c r="Z58"/>
  <c r="V58"/>
  <c r="AW58" s="1"/>
  <c r="S58"/>
  <c r="P58"/>
  <c r="U58" s="1"/>
  <c r="AJ62" s="1"/>
  <c r="L58"/>
  <c r="I58"/>
  <c r="F58"/>
  <c r="K58" s="1"/>
  <c r="AI62" s="1"/>
  <c r="B58"/>
  <c r="B62" s="1"/>
  <c r="C56"/>
  <c r="M56" s="1"/>
  <c r="W56" s="1"/>
  <c r="AG56" s="1"/>
  <c r="AW49"/>
  <c r="AC47"/>
  <c r="Z47"/>
  <c r="S47"/>
  <c r="P47"/>
  <c r="I47"/>
  <c r="F47"/>
  <c r="AC46"/>
  <c r="AF46" s="1"/>
  <c r="Z46"/>
  <c r="S46"/>
  <c r="V46" s="1"/>
  <c r="P46"/>
  <c r="I46"/>
  <c r="L46" s="1"/>
  <c r="F46"/>
  <c r="AC45"/>
  <c r="Z45"/>
  <c r="S45"/>
  <c r="P45"/>
  <c r="I45"/>
  <c r="F45"/>
  <c r="AC44"/>
  <c r="Z44"/>
  <c r="AF44" s="1"/>
  <c r="BB22" s="1"/>
  <c r="S44"/>
  <c r="V44" s="1"/>
  <c r="BA22" s="1"/>
  <c r="P44"/>
  <c r="I44"/>
  <c r="F44"/>
  <c r="L44" s="1"/>
  <c r="AZ22" s="1"/>
  <c r="AC43"/>
  <c r="Z43"/>
  <c r="AF43" s="1"/>
  <c r="S43"/>
  <c r="P43"/>
  <c r="V43" s="1"/>
  <c r="I43"/>
  <c r="F43"/>
  <c r="L43" s="1"/>
  <c r="AC42"/>
  <c r="AF42" s="1"/>
  <c r="Z42"/>
  <c r="S42"/>
  <c r="P42"/>
  <c r="V42" s="1"/>
  <c r="I42"/>
  <c r="F42"/>
  <c r="AC41"/>
  <c r="Z41"/>
  <c r="S41"/>
  <c r="P41"/>
  <c r="I41"/>
  <c r="F41"/>
  <c r="AC40"/>
  <c r="Z40"/>
  <c r="S40"/>
  <c r="V40" s="1"/>
  <c r="BA18" s="1"/>
  <c r="P40"/>
  <c r="I40"/>
  <c r="L40" s="1"/>
  <c r="AZ18" s="1"/>
  <c r="F40"/>
  <c r="AC39"/>
  <c r="Z39"/>
  <c r="S39"/>
  <c r="P39"/>
  <c r="I39"/>
  <c r="F39"/>
  <c r="AC38"/>
  <c r="Z38"/>
  <c r="S38"/>
  <c r="P38"/>
  <c r="I38"/>
  <c r="F38"/>
  <c r="AC37"/>
  <c r="Z37"/>
  <c r="S37"/>
  <c r="V37" s="1"/>
  <c r="BA15" s="1"/>
  <c r="P37"/>
  <c r="I37"/>
  <c r="F37"/>
  <c r="L37" s="1"/>
  <c r="AZ15" s="1"/>
  <c r="AC36"/>
  <c r="Z36"/>
  <c r="S36"/>
  <c r="P36"/>
  <c r="I36"/>
  <c r="F36"/>
  <c r="AC35"/>
  <c r="AF35" s="1"/>
  <c r="BB13" s="1"/>
  <c r="Z35"/>
  <c r="S35"/>
  <c r="V35" s="1"/>
  <c r="BA13" s="1"/>
  <c r="P35"/>
  <c r="I35"/>
  <c r="L35" s="1"/>
  <c r="AZ13" s="1"/>
  <c r="F35"/>
  <c r="AC34"/>
  <c r="Z34"/>
  <c r="S34"/>
  <c r="P34"/>
  <c r="I34"/>
  <c r="F34"/>
  <c r="AC33"/>
  <c r="AF33" s="1"/>
  <c r="BB11" s="1"/>
  <c r="Z33"/>
  <c r="S33"/>
  <c r="V33" s="1"/>
  <c r="BA11" s="1"/>
  <c r="P33"/>
  <c r="I33"/>
  <c r="L33" s="1"/>
  <c r="AZ11" s="1"/>
  <c r="F33"/>
  <c r="AI27"/>
  <c r="AJ27" s="1"/>
  <c r="AK27" s="1"/>
  <c r="AL27" s="1"/>
  <c r="BD25"/>
  <c r="AM25"/>
  <c r="AJ25"/>
  <c r="AO25" s="1"/>
  <c r="AC25"/>
  <c r="AF25" s="1"/>
  <c r="AX25" s="1"/>
  <c r="Z25"/>
  <c r="S25"/>
  <c r="P25"/>
  <c r="I25"/>
  <c r="F25"/>
  <c r="B25"/>
  <c r="B47" s="1"/>
  <c r="AM24"/>
  <c r="AJ24"/>
  <c r="AO24" s="1"/>
  <c r="AC24"/>
  <c r="Z24"/>
  <c r="S24"/>
  <c r="P24"/>
  <c r="I24"/>
  <c r="F24"/>
  <c r="B24"/>
  <c r="B46" s="1"/>
  <c r="AM23"/>
  <c r="AJ23"/>
  <c r="AO23" s="1"/>
  <c r="AC23"/>
  <c r="Z23"/>
  <c r="S23"/>
  <c r="P23"/>
  <c r="I23"/>
  <c r="F23"/>
  <c r="B23"/>
  <c r="B45" s="1"/>
  <c r="AM22"/>
  <c r="AJ22"/>
  <c r="AO22" s="1"/>
  <c r="AC22"/>
  <c r="Z22"/>
  <c r="S22"/>
  <c r="P22"/>
  <c r="I22"/>
  <c r="F22"/>
  <c r="B22"/>
  <c r="B44" s="1"/>
  <c r="BB21"/>
  <c r="BA21"/>
  <c r="AZ21"/>
  <c r="AM21"/>
  <c r="AJ21"/>
  <c r="AO21" s="1"/>
  <c r="AC21"/>
  <c r="AF21" s="1"/>
  <c r="AX21" s="1"/>
  <c r="Z21"/>
  <c r="S21"/>
  <c r="V21" s="1"/>
  <c r="AW21" s="1"/>
  <c r="P21"/>
  <c r="I21"/>
  <c r="F21"/>
  <c r="B21"/>
  <c r="B43" s="1"/>
  <c r="AM20"/>
  <c r="AJ20"/>
  <c r="AO20" s="1"/>
  <c r="AC20"/>
  <c r="Z20"/>
  <c r="S20"/>
  <c r="P20"/>
  <c r="I20"/>
  <c r="F20"/>
  <c r="B20"/>
  <c r="B42" s="1"/>
  <c r="AM19"/>
  <c r="AJ19"/>
  <c r="AO19" s="1"/>
  <c r="AC19"/>
  <c r="AF19" s="1"/>
  <c r="AX19" s="1"/>
  <c r="Z19"/>
  <c r="S19"/>
  <c r="P19"/>
  <c r="I19"/>
  <c r="F19"/>
  <c r="B19"/>
  <c r="B41" s="1"/>
  <c r="AM18"/>
  <c r="AJ18"/>
  <c r="AO18" s="1"/>
  <c r="AC18"/>
  <c r="Z18"/>
  <c r="S18"/>
  <c r="P18"/>
  <c r="I18"/>
  <c r="F18"/>
  <c r="B18"/>
  <c r="B40" s="1"/>
  <c r="AM17"/>
  <c r="AJ17"/>
  <c r="AO17" s="1"/>
  <c r="AC17"/>
  <c r="AF17" s="1"/>
  <c r="AX17" s="1"/>
  <c r="Z17"/>
  <c r="S17"/>
  <c r="P17"/>
  <c r="I17"/>
  <c r="F17"/>
  <c r="B17"/>
  <c r="B39" s="1"/>
  <c r="BD16"/>
  <c r="AT16"/>
  <c r="AM16"/>
  <c r="AJ16"/>
  <c r="AO16" s="1"/>
  <c r="AC16"/>
  <c r="Z16"/>
  <c r="S16"/>
  <c r="P16"/>
  <c r="I16"/>
  <c r="F16"/>
  <c r="B16"/>
  <c r="B38" s="1"/>
  <c r="AM15"/>
  <c r="AJ15"/>
  <c r="AO15" s="1"/>
  <c r="AC15"/>
  <c r="Z15"/>
  <c r="S15"/>
  <c r="P15"/>
  <c r="I15"/>
  <c r="F15"/>
  <c r="B15"/>
  <c r="B37" s="1"/>
  <c r="AM14"/>
  <c r="AJ14"/>
  <c r="AO14" s="1"/>
  <c r="AC14"/>
  <c r="Z14"/>
  <c r="S14"/>
  <c r="P14"/>
  <c r="I14"/>
  <c r="F14"/>
  <c r="B14"/>
  <c r="B36" s="1"/>
  <c r="AM13"/>
  <c r="AJ13"/>
  <c r="AO13" s="1"/>
  <c r="AC13"/>
  <c r="Z13"/>
  <c r="AF13" s="1"/>
  <c r="AX13" s="1"/>
  <c r="S13"/>
  <c r="P13"/>
  <c r="I13"/>
  <c r="F13"/>
  <c r="B13"/>
  <c r="B35" s="1"/>
  <c r="AM12"/>
  <c r="AJ12"/>
  <c r="AO12" s="1"/>
  <c r="AC12"/>
  <c r="Z12"/>
  <c r="S12"/>
  <c r="P12"/>
  <c r="I12"/>
  <c r="F12"/>
  <c r="B12"/>
  <c r="B34" s="1"/>
  <c r="AM11"/>
  <c r="AJ11"/>
  <c r="AO11" s="1"/>
  <c r="AC11"/>
  <c r="AF11" s="1"/>
  <c r="AX11" s="1"/>
  <c r="Z11"/>
  <c r="S11"/>
  <c r="P11"/>
  <c r="I11"/>
  <c r="F11"/>
  <c r="B11"/>
  <c r="B33" s="1"/>
  <c r="AV7"/>
  <c r="M5"/>
  <c r="AW7" s="1"/>
  <c r="AR46" i="8"/>
  <c r="AR45"/>
  <c r="AR44"/>
  <c r="AR43"/>
  <c r="AR42"/>
  <c r="AR41"/>
  <c r="AR39"/>
  <c r="AR38"/>
  <c r="AR37"/>
  <c r="AR36"/>
  <c r="X88"/>
  <c r="X87"/>
  <c r="X86"/>
  <c r="X85"/>
  <c r="X84"/>
  <c r="X83"/>
  <c r="X82"/>
  <c r="X81"/>
  <c r="X80"/>
  <c r="AR40" s="1"/>
  <c r="X79"/>
  <c r="X78"/>
  <c r="X77"/>
  <c r="U88"/>
  <c r="AD273"/>
  <c r="U273"/>
  <c r="X273" s="1"/>
  <c r="R273"/>
  <c r="AD272"/>
  <c r="U272"/>
  <c r="X272" s="1"/>
  <c r="R272"/>
  <c r="AD271"/>
  <c r="U271"/>
  <c r="X271" s="1"/>
  <c r="R271"/>
  <c r="AD270"/>
  <c r="U270"/>
  <c r="X270" s="1"/>
  <c r="R270"/>
  <c r="AD269"/>
  <c r="U269"/>
  <c r="X269" s="1"/>
  <c r="R269"/>
  <c r="AD268"/>
  <c r="U268"/>
  <c r="X268" s="1"/>
  <c r="R268"/>
  <c r="AD267"/>
  <c r="AD274" s="1"/>
  <c r="U267"/>
  <c r="X267" s="1"/>
  <c r="R267"/>
  <c r="O247"/>
  <c r="O248" s="1"/>
  <c r="B246"/>
  <c r="B247" s="1"/>
  <c r="B248" s="1"/>
  <c r="B250" s="1"/>
  <c r="M241"/>
  <c r="U237"/>
  <c r="X237" s="1"/>
  <c r="R237"/>
  <c r="U236"/>
  <c r="X236" s="1"/>
  <c r="R236"/>
  <c r="U235"/>
  <c r="X235" s="1"/>
  <c r="R235"/>
  <c r="U234"/>
  <c r="X234" s="1"/>
  <c r="R234"/>
  <c r="U233"/>
  <c r="X233" s="1"/>
  <c r="R233"/>
  <c r="U232"/>
  <c r="X232" s="1"/>
  <c r="R232"/>
  <c r="AD231"/>
  <c r="AI231" s="1"/>
  <c r="U231"/>
  <c r="X231" s="1"/>
  <c r="R231"/>
  <c r="AD230"/>
  <c r="AI230" s="1"/>
  <c r="U230"/>
  <c r="X230" s="1"/>
  <c r="X239" s="1"/>
  <c r="R230"/>
  <c r="X223"/>
  <c r="U223"/>
  <c r="W223" s="1"/>
  <c r="C223"/>
  <c r="E223" s="1"/>
  <c r="X222"/>
  <c r="W222"/>
  <c r="U222"/>
  <c r="G222"/>
  <c r="K222" s="1"/>
  <c r="E222"/>
  <c r="I222" s="1"/>
  <c r="N222" s="1"/>
  <c r="AF221"/>
  <c r="X221"/>
  <c r="U221"/>
  <c r="W221" s="1"/>
  <c r="K221"/>
  <c r="I221"/>
  <c r="N221" s="1"/>
  <c r="C221"/>
  <c r="E221" s="1"/>
  <c r="X220"/>
  <c r="U220"/>
  <c r="W220" s="1"/>
  <c r="I220"/>
  <c r="N220" s="1"/>
  <c r="G220"/>
  <c r="K220" s="1"/>
  <c r="E220"/>
  <c r="C220"/>
  <c r="X219"/>
  <c r="U219"/>
  <c r="W219" s="1"/>
  <c r="E219"/>
  <c r="K219" s="1"/>
  <c r="C219"/>
  <c r="G219" s="1"/>
  <c r="X218"/>
  <c r="U218"/>
  <c r="W218" s="1"/>
  <c r="C218"/>
  <c r="E218" s="1"/>
  <c r="X217"/>
  <c r="U217"/>
  <c r="W217" s="1"/>
  <c r="N217"/>
  <c r="K217"/>
  <c r="X216"/>
  <c r="U216"/>
  <c r="W216" s="1"/>
  <c r="C216"/>
  <c r="E216" s="1"/>
  <c r="X215"/>
  <c r="U215"/>
  <c r="W215" s="1"/>
  <c r="S215"/>
  <c r="C215"/>
  <c r="E215" s="1"/>
  <c r="X214"/>
  <c r="U214"/>
  <c r="W214" s="1"/>
  <c r="C214"/>
  <c r="E214" s="1"/>
  <c r="I214" s="1"/>
  <c r="N214" s="1"/>
  <c r="X213"/>
  <c r="U213"/>
  <c r="W213" s="1"/>
  <c r="C213"/>
  <c r="E213" s="1"/>
  <c r="X212"/>
  <c r="U212"/>
  <c r="W212" s="1"/>
  <c r="S212"/>
  <c r="C212"/>
  <c r="E212" s="1"/>
  <c r="X211"/>
  <c r="U211"/>
  <c r="W211" s="1"/>
  <c r="C211"/>
  <c r="E211" s="1"/>
  <c r="X210"/>
  <c r="W210"/>
  <c r="U210"/>
  <c r="E210"/>
  <c r="K210" s="1"/>
  <c r="C210"/>
  <c r="X209"/>
  <c r="U209"/>
  <c r="W209" s="1"/>
  <c r="C209"/>
  <c r="E209" s="1"/>
  <c r="K207"/>
  <c r="I207"/>
  <c r="N207" s="1"/>
  <c r="E207"/>
  <c r="C207"/>
  <c r="E206"/>
  <c r="I206" s="1"/>
  <c r="N206" s="1"/>
  <c r="B185"/>
  <c r="O187" s="1"/>
  <c r="O188" s="1"/>
  <c r="AG172"/>
  <c r="AJ172" s="1"/>
  <c r="AG171"/>
  <c r="AJ171" s="1"/>
  <c r="AG170"/>
  <c r="AJ170" s="1"/>
  <c r="AJ169"/>
  <c r="AG169"/>
  <c r="AJ168"/>
  <c r="O168"/>
  <c r="O176" s="1"/>
  <c r="O177" s="1"/>
  <c r="B167"/>
  <c r="B168" s="1"/>
  <c r="B169" s="1"/>
  <c r="B171" s="1"/>
  <c r="O148"/>
  <c r="O149" s="1"/>
  <c r="B147"/>
  <c r="B148" s="1"/>
  <c r="B149" s="1"/>
  <c r="B151" s="1"/>
  <c r="O130"/>
  <c r="O131" s="1"/>
  <c r="B129"/>
  <c r="B130" s="1"/>
  <c r="B131" s="1"/>
  <c r="B133" s="1"/>
  <c r="AI116"/>
  <c r="AE116"/>
  <c r="AI112"/>
  <c r="AI113" s="1"/>
  <c r="AL112" s="1"/>
  <c r="AL111" s="1"/>
  <c r="AO111" s="1"/>
  <c r="AO112" s="1"/>
  <c r="O111"/>
  <c r="O112" s="1"/>
  <c r="B110"/>
  <c r="B111" s="1"/>
  <c r="B112" s="1"/>
  <c r="B114" s="1"/>
  <c r="O93"/>
  <c r="O94" s="1"/>
  <c r="B92"/>
  <c r="B93" s="1"/>
  <c r="B94" s="1"/>
  <c r="B96" s="1"/>
  <c r="W88"/>
  <c r="C88"/>
  <c r="E88" s="1"/>
  <c r="K88" s="1"/>
  <c r="K87"/>
  <c r="I87"/>
  <c r="N87" s="1"/>
  <c r="C87"/>
  <c r="E87" s="1"/>
  <c r="C86"/>
  <c r="E86" s="1"/>
  <c r="K86" s="1"/>
  <c r="C85"/>
  <c r="E85" s="1"/>
  <c r="C77"/>
  <c r="E77" s="1"/>
  <c r="K77" s="1"/>
  <c r="E84"/>
  <c r="K84" s="1"/>
  <c r="C83"/>
  <c r="E83" s="1"/>
  <c r="K83" s="1"/>
  <c r="C82"/>
  <c r="E82" s="1"/>
  <c r="C81"/>
  <c r="E81" s="1"/>
  <c r="C80"/>
  <c r="E80" s="1"/>
  <c r="C79"/>
  <c r="E79" s="1"/>
  <c r="K78"/>
  <c r="I78"/>
  <c r="N78" s="1"/>
  <c r="C78"/>
  <c r="E78" s="1"/>
  <c r="X76"/>
  <c r="C76"/>
  <c r="E76" s="1"/>
  <c r="K76" s="1"/>
  <c r="X75"/>
  <c r="C75"/>
  <c r="E75" s="1"/>
  <c r="X74"/>
  <c r="C74"/>
  <c r="E74" s="1"/>
  <c r="X73"/>
  <c r="C73"/>
  <c r="E73" s="1"/>
  <c r="K70"/>
  <c r="K71" s="1"/>
  <c r="E71" s="1"/>
  <c r="AF62"/>
  <c r="BB58" s="1"/>
  <c r="AC62"/>
  <c r="Z62"/>
  <c r="V62"/>
  <c r="S62"/>
  <c r="P62"/>
  <c r="L62"/>
  <c r="AZ58" s="1"/>
  <c r="I62"/>
  <c r="F62"/>
  <c r="BA58"/>
  <c r="AM58"/>
  <c r="AL62" s="1"/>
  <c r="AJ58"/>
  <c r="AC58"/>
  <c r="Z58"/>
  <c r="V58"/>
  <c r="AW58" s="1"/>
  <c r="S58"/>
  <c r="P58"/>
  <c r="L58"/>
  <c r="AV58" s="1"/>
  <c r="I58"/>
  <c r="F58"/>
  <c r="B58"/>
  <c r="B62" s="1"/>
  <c r="C56"/>
  <c r="M56" s="1"/>
  <c r="W56" s="1"/>
  <c r="AG56" s="1"/>
  <c r="AW49"/>
  <c r="AC47"/>
  <c r="Z47"/>
  <c r="S47"/>
  <c r="P47"/>
  <c r="I47"/>
  <c r="F47"/>
  <c r="L47" s="1"/>
  <c r="AC46"/>
  <c r="AF46" s="1"/>
  <c r="Z46"/>
  <c r="S46"/>
  <c r="V46" s="1"/>
  <c r="P46"/>
  <c r="I46"/>
  <c r="F46"/>
  <c r="L46" s="1"/>
  <c r="AC45"/>
  <c r="Z45"/>
  <c r="S45"/>
  <c r="P45"/>
  <c r="I45"/>
  <c r="F45"/>
  <c r="AC37"/>
  <c r="AF37" s="1"/>
  <c r="Z37"/>
  <c r="S37"/>
  <c r="P37"/>
  <c r="I37"/>
  <c r="L37" s="1"/>
  <c r="F37"/>
  <c r="AC44"/>
  <c r="Z44"/>
  <c r="AF44" s="1"/>
  <c r="BB22" s="1"/>
  <c r="S44"/>
  <c r="P44"/>
  <c r="V44" s="1"/>
  <c r="BA22" s="1"/>
  <c r="I44"/>
  <c r="F44"/>
  <c r="L44" s="1"/>
  <c r="AZ22" s="1"/>
  <c r="AC43"/>
  <c r="AF43" s="1"/>
  <c r="Z43"/>
  <c r="S43"/>
  <c r="V43" s="1"/>
  <c r="P43"/>
  <c r="I43"/>
  <c r="F43"/>
  <c r="L43" s="1"/>
  <c r="AZ21" s="1"/>
  <c r="AC42"/>
  <c r="Z42"/>
  <c r="S42"/>
  <c r="P42"/>
  <c r="I42"/>
  <c r="F42"/>
  <c r="AC41"/>
  <c r="AF41" s="1"/>
  <c r="Z41"/>
  <c r="S41"/>
  <c r="V41" s="1"/>
  <c r="P41"/>
  <c r="I41"/>
  <c r="F41"/>
  <c r="AC40"/>
  <c r="Z40"/>
  <c r="S40"/>
  <c r="P40"/>
  <c r="I40"/>
  <c r="F40"/>
  <c r="AC39"/>
  <c r="AF39" s="1"/>
  <c r="BB17" s="1"/>
  <c r="Z39"/>
  <c r="S39"/>
  <c r="P39"/>
  <c r="V39" s="1"/>
  <c r="BA17" s="1"/>
  <c r="I39"/>
  <c r="L39" s="1"/>
  <c r="AZ17" s="1"/>
  <c r="F39"/>
  <c r="AC38"/>
  <c r="AF38" s="1"/>
  <c r="BB16" s="1"/>
  <c r="Z38"/>
  <c r="S38"/>
  <c r="V38" s="1"/>
  <c r="BA16" s="1"/>
  <c r="P38"/>
  <c r="I38"/>
  <c r="L38" s="1"/>
  <c r="AZ16" s="1"/>
  <c r="F38"/>
  <c r="AC36"/>
  <c r="Z36"/>
  <c r="S36"/>
  <c r="P36"/>
  <c r="I36"/>
  <c r="F36"/>
  <c r="L36" s="1"/>
  <c r="AZ14" s="1"/>
  <c r="AC35"/>
  <c r="AF35" s="1"/>
  <c r="BB13" s="1"/>
  <c r="Z35"/>
  <c r="S35"/>
  <c r="V35" s="1"/>
  <c r="BA13" s="1"/>
  <c r="P35"/>
  <c r="I35"/>
  <c r="L35" s="1"/>
  <c r="AZ13" s="1"/>
  <c r="F35"/>
  <c r="AC34"/>
  <c r="Z34"/>
  <c r="S34"/>
  <c r="P34"/>
  <c r="I34"/>
  <c r="F34"/>
  <c r="AC33"/>
  <c r="AF33" s="1"/>
  <c r="BB11" s="1"/>
  <c r="Z33"/>
  <c r="S33"/>
  <c r="V33" s="1"/>
  <c r="BA11" s="1"/>
  <c r="P33"/>
  <c r="I33"/>
  <c r="L33" s="1"/>
  <c r="AZ11" s="1"/>
  <c r="F33"/>
  <c r="AI27"/>
  <c r="AJ27" s="1"/>
  <c r="AK27" s="1"/>
  <c r="AL27" s="1"/>
  <c r="BD25"/>
  <c r="AM25"/>
  <c r="AJ25"/>
  <c r="AC25"/>
  <c r="Z25"/>
  <c r="AF25" s="1"/>
  <c r="AX25" s="1"/>
  <c r="S25"/>
  <c r="P25"/>
  <c r="V25" s="1"/>
  <c r="AW25" s="1"/>
  <c r="I25"/>
  <c r="F25"/>
  <c r="B25"/>
  <c r="B47" s="1"/>
  <c r="AM24"/>
  <c r="AJ24"/>
  <c r="AC24"/>
  <c r="Z24"/>
  <c r="S24"/>
  <c r="P24"/>
  <c r="I24"/>
  <c r="F24"/>
  <c r="B24"/>
  <c r="B46" s="1"/>
  <c r="AM23"/>
  <c r="AJ23"/>
  <c r="AC23"/>
  <c r="Z23"/>
  <c r="S23"/>
  <c r="V23" s="1"/>
  <c r="AW23" s="1"/>
  <c r="P23"/>
  <c r="I23"/>
  <c r="F23"/>
  <c r="B23"/>
  <c r="B45" s="1"/>
  <c r="BB15"/>
  <c r="AZ15"/>
  <c r="AM15"/>
  <c r="AJ15"/>
  <c r="AC15"/>
  <c r="Z15"/>
  <c r="S15"/>
  <c r="P15"/>
  <c r="I15"/>
  <c r="F15"/>
  <c r="B15"/>
  <c r="B37" s="1"/>
  <c r="AM22"/>
  <c r="AJ22"/>
  <c r="AC22"/>
  <c r="Z22"/>
  <c r="S22"/>
  <c r="V22" s="1"/>
  <c r="AW22" s="1"/>
  <c r="P22"/>
  <c r="I22"/>
  <c r="L22" s="1"/>
  <c r="F22"/>
  <c r="B22"/>
  <c r="B44" s="1"/>
  <c r="BB21"/>
  <c r="BA21"/>
  <c r="AM21"/>
  <c r="AJ21"/>
  <c r="AC21"/>
  <c r="Z21"/>
  <c r="S21"/>
  <c r="P21"/>
  <c r="I21"/>
  <c r="F21"/>
  <c r="B21"/>
  <c r="B43" s="1"/>
  <c r="AM20"/>
  <c r="AJ20"/>
  <c r="AO20" s="1"/>
  <c r="AC20"/>
  <c r="Z20"/>
  <c r="S20"/>
  <c r="V20" s="1"/>
  <c r="AW20" s="1"/>
  <c r="P20"/>
  <c r="I20"/>
  <c r="F20"/>
  <c r="B20"/>
  <c r="B42" s="1"/>
  <c r="AM19"/>
  <c r="AJ19"/>
  <c r="AC19"/>
  <c r="Z19"/>
  <c r="S19"/>
  <c r="P19"/>
  <c r="I19"/>
  <c r="F19"/>
  <c r="B19"/>
  <c r="B41" s="1"/>
  <c r="AM18"/>
  <c r="AJ18"/>
  <c r="AO18" s="1"/>
  <c r="AC18"/>
  <c r="Z18"/>
  <c r="S18"/>
  <c r="V18" s="1"/>
  <c r="AW18" s="1"/>
  <c r="P18"/>
  <c r="I18"/>
  <c r="F18"/>
  <c r="B18"/>
  <c r="B40" s="1"/>
  <c r="AM17"/>
  <c r="AJ17"/>
  <c r="AO17" s="1"/>
  <c r="AC17"/>
  <c r="Z17"/>
  <c r="S17"/>
  <c r="P17"/>
  <c r="I17"/>
  <c r="F17"/>
  <c r="B17"/>
  <c r="B39" s="1"/>
  <c r="BD16"/>
  <c r="AT16"/>
  <c r="AM16"/>
  <c r="AJ16"/>
  <c r="AC16"/>
  <c r="Z16"/>
  <c r="S16"/>
  <c r="V16" s="1"/>
  <c r="AW16" s="1"/>
  <c r="P16"/>
  <c r="I16"/>
  <c r="F16"/>
  <c r="B16"/>
  <c r="B38" s="1"/>
  <c r="AM14"/>
  <c r="AJ14"/>
  <c r="AC14"/>
  <c r="Z14"/>
  <c r="S14"/>
  <c r="P14"/>
  <c r="I14"/>
  <c r="F14"/>
  <c r="B14"/>
  <c r="B36" s="1"/>
  <c r="AM13"/>
  <c r="AJ13"/>
  <c r="AO13" s="1"/>
  <c r="AC13"/>
  <c r="Z13"/>
  <c r="S13"/>
  <c r="V13" s="1"/>
  <c r="AW13" s="1"/>
  <c r="P13"/>
  <c r="I13"/>
  <c r="F13"/>
  <c r="B13"/>
  <c r="B35" s="1"/>
  <c r="AM12"/>
  <c r="AJ12"/>
  <c r="AC12"/>
  <c r="Z12"/>
  <c r="S12"/>
  <c r="P12"/>
  <c r="I12"/>
  <c r="F12"/>
  <c r="B12"/>
  <c r="B34" s="1"/>
  <c r="AM11"/>
  <c r="AJ11"/>
  <c r="AC11"/>
  <c r="Z11"/>
  <c r="S11"/>
  <c r="P11"/>
  <c r="I11"/>
  <c r="F11"/>
  <c r="L11" s="1"/>
  <c r="B11"/>
  <c r="B33" s="1"/>
  <c r="AV7"/>
  <c r="M5"/>
  <c r="AW7" s="1"/>
  <c r="I89" i="7"/>
  <c r="K89"/>
  <c r="C89"/>
  <c r="E89" s="1"/>
  <c r="BD24"/>
  <c r="B24"/>
  <c r="B46" s="1"/>
  <c r="X88"/>
  <c r="U88"/>
  <c r="W88" s="1"/>
  <c r="C88"/>
  <c r="E88" s="1"/>
  <c r="AR46"/>
  <c r="AJ46"/>
  <c r="AI46"/>
  <c r="AC46"/>
  <c r="Z46"/>
  <c r="AF46" s="1"/>
  <c r="S46"/>
  <c r="P46"/>
  <c r="V46" s="1"/>
  <c r="L46"/>
  <c r="I46"/>
  <c r="K46" s="1"/>
  <c r="F46"/>
  <c r="AM24"/>
  <c r="AJ24"/>
  <c r="AO24" s="1"/>
  <c r="AY24" s="1"/>
  <c r="AC24"/>
  <c r="Z24"/>
  <c r="S24"/>
  <c r="P24"/>
  <c r="I24"/>
  <c r="F24"/>
  <c r="X77"/>
  <c r="K77"/>
  <c r="I77"/>
  <c r="C77"/>
  <c r="E77" s="1"/>
  <c r="AP42" i="14" l="1"/>
  <c r="AK37"/>
  <c r="U77"/>
  <c r="W77" s="1"/>
  <c r="AI45"/>
  <c r="AT45"/>
  <c r="AT33"/>
  <c r="AI33"/>
  <c r="AP33" s="1"/>
  <c r="AO41"/>
  <c r="U81"/>
  <c r="W81" s="1"/>
  <c r="U85"/>
  <c r="W85" s="1"/>
  <c r="AO45"/>
  <c r="AR34"/>
  <c r="Y74"/>
  <c r="AR45"/>
  <c r="AR46"/>
  <c r="Y78"/>
  <c r="AR38"/>
  <c r="Y80"/>
  <c r="AR40"/>
  <c r="C60"/>
  <c r="M60" s="1"/>
  <c r="W60" s="1"/>
  <c r="M27"/>
  <c r="AZ7"/>
  <c r="BF24"/>
  <c r="BE24"/>
  <c r="AR24"/>
  <c r="U79"/>
  <c r="W79" s="1"/>
  <c r="U76"/>
  <c r="W76" s="1"/>
  <c r="AT35"/>
  <c r="AT13" s="1"/>
  <c r="AT39"/>
  <c r="AT17" s="1"/>
  <c r="AT34"/>
  <c r="AT12" s="1"/>
  <c r="AT38"/>
  <c r="AT16" s="1"/>
  <c r="AP40"/>
  <c r="U73"/>
  <c r="W73" s="1"/>
  <c r="U75"/>
  <c r="W75" s="1"/>
  <c r="AT37"/>
  <c r="AT15" s="1"/>
  <c r="AI37"/>
  <c r="AP37" s="1"/>
  <c r="U74"/>
  <c r="W74" s="1"/>
  <c r="AO34"/>
  <c r="AJ43"/>
  <c r="AP43" s="1"/>
  <c r="AT43"/>
  <c r="AT21" s="1"/>
  <c r="U78"/>
  <c r="W78" s="1"/>
  <c r="AO38"/>
  <c r="AR33"/>
  <c r="Y73"/>
  <c r="Y79"/>
  <c r="AR39"/>
  <c r="BE15"/>
  <c r="AR15"/>
  <c r="BF15"/>
  <c r="BF20"/>
  <c r="BE20"/>
  <c r="AR20"/>
  <c r="BF14"/>
  <c r="BE14"/>
  <c r="AR14"/>
  <c r="BE17"/>
  <c r="AR17"/>
  <c r="BF17"/>
  <c r="BE19"/>
  <c r="AR19"/>
  <c r="BF19"/>
  <c r="BF22"/>
  <c r="BE22"/>
  <c r="AR22"/>
  <c r="BE11"/>
  <c r="AR11"/>
  <c r="BF11"/>
  <c r="BF12"/>
  <c r="BE12"/>
  <c r="AR12"/>
  <c r="BE13"/>
  <c r="AR13"/>
  <c r="BF13"/>
  <c r="BE23"/>
  <c r="AR23"/>
  <c r="BF23"/>
  <c r="BF16"/>
  <c r="BE16"/>
  <c r="AR16"/>
  <c r="BF18"/>
  <c r="BE18"/>
  <c r="AR18"/>
  <c r="BE21"/>
  <c r="AR21"/>
  <c r="BF21"/>
  <c r="BE58"/>
  <c r="AR58"/>
  <c r="BF58"/>
  <c r="AT36"/>
  <c r="AT14" s="1"/>
  <c r="AR48"/>
  <c r="U83"/>
  <c r="W83" s="1"/>
  <c r="AP35"/>
  <c r="AP39"/>
  <c r="AP34"/>
  <c r="AP38"/>
  <c r="AP41"/>
  <c r="AP44"/>
  <c r="AT41" i="13"/>
  <c r="AT19" s="1"/>
  <c r="AZ28"/>
  <c r="BD30" s="1"/>
  <c r="AR48"/>
  <c r="AT42"/>
  <c r="AT20" s="1"/>
  <c r="AI42"/>
  <c r="AP42" s="1"/>
  <c r="AK44"/>
  <c r="AK40"/>
  <c r="U77"/>
  <c r="W77" s="1"/>
  <c r="AO37"/>
  <c r="W27"/>
  <c r="BA7"/>
  <c r="BF23"/>
  <c r="BE23"/>
  <c r="AR23"/>
  <c r="AT23"/>
  <c r="AT24"/>
  <c r="AR33"/>
  <c r="Y73"/>
  <c r="Y79"/>
  <c r="AR39"/>
  <c r="BF15"/>
  <c r="BE15"/>
  <c r="AR15"/>
  <c r="BE20"/>
  <c r="AR20"/>
  <c r="BF20"/>
  <c r="BE14"/>
  <c r="AR14"/>
  <c r="BF14"/>
  <c r="BF17"/>
  <c r="BE17"/>
  <c r="AR17"/>
  <c r="BF19"/>
  <c r="BE19"/>
  <c r="AR19"/>
  <c r="BE22"/>
  <c r="AR22"/>
  <c r="BF22"/>
  <c r="AI41"/>
  <c r="AT40"/>
  <c r="AT18" s="1"/>
  <c r="AT46"/>
  <c r="AI46"/>
  <c r="AP46" s="1"/>
  <c r="U75"/>
  <c r="W75" s="1"/>
  <c r="AO35"/>
  <c r="AT35"/>
  <c r="AT13" s="1"/>
  <c r="AT37"/>
  <c r="AT15" s="1"/>
  <c r="AT39"/>
  <c r="AT17" s="1"/>
  <c r="AT43"/>
  <c r="AT21" s="1"/>
  <c r="U74"/>
  <c r="W74" s="1"/>
  <c r="U76"/>
  <c r="W76" s="1"/>
  <c r="U78"/>
  <c r="W78" s="1"/>
  <c r="U84"/>
  <c r="W84" s="1"/>
  <c r="AT34"/>
  <c r="AT12" s="1"/>
  <c r="AT38"/>
  <c r="AT16" s="1"/>
  <c r="AI38"/>
  <c r="AP38" s="1"/>
  <c r="U73"/>
  <c r="W73" s="1"/>
  <c r="AO33"/>
  <c r="AP33" s="1"/>
  <c r="AO43"/>
  <c r="U83"/>
  <c r="W83" s="1"/>
  <c r="BF11"/>
  <c r="BE11"/>
  <c r="AR11"/>
  <c r="BE12"/>
  <c r="AR12"/>
  <c r="BF12"/>
  <c r="BF13"/>
  <c r="BE13"/>
  <c r="AR13"/>
  <c r="BE24"/>
  <c r="AR24"/>
  <c r="BF24"/>
  <c r="AR34"/>
  <c r="Y74"/>
  <c r="AR45"/>
  <c r="AR46"/>
  <c r="Y78"/>
  <c r="AR38"/>
  <c r="Y80"/>
  <c r="AR40"/>
  <c r="AT36"/>
  <c r="AT14" s="1"/>
  <c r="AI36"/>
  <c r="AP36" s="1"/>
  <c r="AJ44"/>
  <c r="AP44" s="1"/>
  <c r="AJ40"/>
  <c r="AP40" s="1"/>
  <c r="AT44"/>
  <c r="AT22" s="1"/>
  <c r="AO39"/>
  <c r="U79"/>
  <c r="W79" s="1"/>
  <c r="AO41"/>
  <c r="U81"/>
  <c r="W81" s="1"/>
  <c r="AN45"/>
  <c r="U85"/>
  <c r="W85" s="1"/>
  <c r="BE16"/>
  <c r="AR16"/>
  <c r="BF16"/>
  <c r="BE18"/>
  <c r="AR18"/>
  <c r="BF18"/>
  <c r="BF21"/>
  <c r="BE21"/>
  <c r="AR21"/>
  <c r="BE58"/>
  <c r="AR58"/>
  <c r="BF58"/>
  <c r="AP35"/>
  <c r="AP37"/>
  <c r="AP39"/>
  <c r="AP43"/>
  <c r="AP45"/>
  <c r="U80"/>
  <c r="W80" s="1"/>
  <c r="U82"/>
  <c r="W82" s="1"/>
  <c r="AT33"/>
  <c r="AP34"/>
  <c r="AE36" i="12"/>
  <c r="U43"/>
  <c r="AN43" s="1"/>
  <c r="K36"/>
  <c r="AM36" s="1"/>
  <c r="AE17"/>
  <c r="AK39" s="1"/>
  <c r="AE13"/>
  <c r="AK35" s="1"/>
  <c r="AA170"/>
  <c r="O172"/>
  <c r="O174" s="1"/>
  <c r="O171"/>
  <c r="AA103"/>
  <c r="O105"/>
  <c r="O107" s="1"/>
  <c r="O104"/>
  <c r="N84"/>
  <c r="BD22"/>
  <c r="N81"/>
  <c r="BD19"/>
  <c r="N79"/>
  <c r="BD17"/>
  <c r="N76"/>
  <c r="BD14"/>
  <c r="AO47"/>
  <c r="U86"/>
  <c r="W86" s="1"/>
  <c r="AO43"/>
  <c r="N82"/>
  <c r="BD20"/>
  <c r="N77"/>
  <c r="BD15"/>
  <c r="Q224"/>
  <c r="Q221"/>
  <c r="Q220"/>
  <c r="Q218"/>
  <c r="Q217"/>
  <c r="Q216"/>
  <c r="Q214"/>
  <c r="Q213"/>
  <c r="Q211"/>
  <c r="Q89"/>
  <c r="AR62" s="1"/>
  <c r="Q86"/>
  <c r="AR47" s="1"/>
  <c r="Q84"/>
  <c r="AR44" s="1"/>
  <c r="Q83"/>
  <c r="AR43" s="1"/>
  <c r="Q81"/>
  <c r="AR41" s="1"/>
  <c r="Q80"/>
  <c r="Q79"/>
  <c r="Q78"/>
  <c r="Q76"/>
  <c r="AR36" s="1"/>
  <c r="N71"/>
  <c r="Q223"/>
  <c r="Q222"/>
  <c r="Q219"/>
  <c r="Q215"/>
  <c r="Q212"/>
  <c r="Q210"/>
  <c r="Q208"/>
  <c r="Q207"/>
  <c r="Q88"/>
  <c r="Q85"/>
  <c r="Q82"/>
  <c r="AR42" s="1"/>
  <c r="Q77"/>
  <c r="AR37" s="1"/>
  <c r="Q75"/>
  <c r="AR35" s="1"/>
  <c r="Q74"/>
  <c r="Q73"/>
  <c r="Q71"/>
  <c r="Q70"/>
  <c r="U84"/>
  <c r="W84" s="1"/>
  <c r="AO44"/>
  <c r="U80"/>
  <c r="W80" s="1"/>
  <c r="AO40"/>
  <c r="AO39"/>
  <c r="AO37"/>
  <c r="AO35"/>
  <c r="AO33"/>
  <c r="AT46"/>
  <c r="AI46"/>
  <c r="AP46" s="1"/>
  <c r="AK44"/>
  <c r="AK40"/>
  <c r="AT44"/>
  <c r="AT22" s="1"/>
  <c r="AI44"/>
  <c r="AI40"/>
  <c r="AT42"/>
  <c r="AT20" s="1"/>
  <c r="AI42"/>
  <c r="AI41"/>
  <c r="AP41" s="1"/>
  <c r="AT40"/>
  <c r="AT18" s="1"/>
  <c r="AI38"/>
  <c r="AI36"/>
  <c r="AV13"/>
  <c r="AP13"/>
  <c r="AI34"/>
  <c r="AV11"/>
  <c r="AP11"/>
  <c r="N85"/>
  <c r="BD24"/>
  <c r="BD23"/>
  <c r="N75"/>
  <c r="BD13"/>
  <c r="N74"/>
  <c r="BD12"/>
  <c r="N73"/>
  <c r="BD11"/>
  <c r="AO36"/>
  <c r="AI39"/>
  <c r="AA197"/>
  <c r="O199"/>
  <c r="O201" s="1"/>
  <c r="O198"/>
  <c r="AA140"/>
  <c r="O142"/>
  <c r="O144" s="1"/>
  <c r="O141"/>
  <c r="N89"/>
  <c r="BD58"/>
  <c r="N83"/>
  <c r="BD21"/>
  <c r="N80"/>
  <c r="BD18"/>
  <c r="N78"/>
  <c r="BD16"/>
  <c r="U82"/>
  <c r="W82" s="1"/>
  <c r="AO42"/>
  <c r="AV23"/>
  <c r="AP23"/>
  <c r="AJ44"/>
  <c r="AJ40"/>
  <c r="AV21"/>
  <c r="AP21"/>
  <c r="AV19"/>
  <c r="AP19"/>
  <c r="AV17"/>
  <c r="AP17"/>
  <c r="AV15"/>
  <c r="AP15"/>
  <c r="AE45"/>
  <c r="U38"/>
  <c r="AN38" s="1"/>
  <c r="U34"/>
  <c r="AN34" s="1"/>
  <c r="U23"/>
  <c r="AJ45" s="1"/>
  <c r="U15"/>
  <c r="AJ37" s="1"/>
  <c r="B197"/>
  <c r="B199" s="1"/>
  <c r="K45"/>
  <c r="AM45" s="1"/>
  <c r="B257"/>
  <c r="B259" s="1"/>
  <c r="B140"/>
  <c r="B142" s="1"/>
  <c r="AT62"/>
  <c r="AT58" s="1"/>
  <c r="AE38"/>
  <c r="K38"/>
  <c r="AM38" s="1"/>
  <c r="U36"/>
  <c r="AN36" s="1"/>
  <c r="AE34"/>
  <c r="K34"/>
  <c r="AM34" s="1"/>
  <c r="AE23"/>
  <c r="AK45" s="1"/>
  <c r="K23"/>
  <c r="U17"/>
  <c r="AJ39" s="1"/>
  <c r="AE15"/>
  <c r="AK37" s="1"/>
  <c r="K15"/>
  <c r="K11"/>
  <c r="AP47"/>
  <c r="AP16"/>
  <c r="AP14"/>
  <c r="U21"/>
  <c r="AJ43" s="1"/>
  <c r="AE19"/>
  <c r="K19"/>
  <c r="U11"/>
  <c r="AJ33" s="1"/>
  <c r="AP12"/>
  <c r="AY7"/>
  <c r="C27"/>
  <c r="AT47"/>
  <c r="AT25" s="1"/>
  <c r="AE21"/>
  <c r="AK43" s="1"/>
  <c r="K21"/>
  <c r="U19"/>
  <c r="K13"/>
  <c r="AF33" i="11"/>
  <c r="BB11" s="1"/>
  <c r="V44"/>
  <c r="BA22" s="1"/>
  <c r="V39"/>
  <c r="BA17" s="1"/>
  <c r="L33"/>
  <c r="AZ11" s="1"/>
  <c r="BD25"/>
  <c r="AO24"/>
  <c r="AY24" s="1"/>
  <c r="U46"/>
  <c r="AN46" s="1"/>
  <c r="AL46"/>
  <c r="AO18"/>
  <c r="AL40" s="1"/>
  <c r="AO21"/>
  <c r="AO22"/>
  <c r="AL44" s="1"/>
  <c r="C208"/>
  <c r="O256"/>
  <c r="O257" s="1"/>
  <c r="O259" s="1"/>
  <c r="O261" s="1"/>
  <c r="X275"/>
  <c r="K46"/>
  <c r="AE46"/>
  <c r="AO46" s="1"/>
  <c r="AM46"/>
  <c r="L24"/>
  <c r="V24"/>
  <c r="AW24" s="1"/>
  <c r="AF24"/>
  <c r="AX24" s="1"/>
  <c r="L11"/>
  <c r="AV11" s="1"/>
  <c r="V11"/>
  <c r="AW11" s="1"/>
  <c r="AO12"/>
  <c r="AY12" s="1"/>
  <c r="AO14"/>
  <c r="AO20"/>
  <c r="AY20" s="1"/>
  <c r="AO25"/>
  <c r="K62"/>
  <c r="AM62" s="1"/>
  <c r="AE62"/>
  <c r="AO62" s="1"/>
  <c r="AO16"/>
  <c r="AL38" s="1"/>
  <c r="AO19"/>
  <c r="E70"/>
  <c r="I70" s="1"/>
  <c r="N70" s="1"/>
  <c r="AD275"/>
  <c r="AD277" s="1"/>
  <c r="L18"/>
  <c r="AV18" s="1"/>
  <c r="K58"/>
  <c r="AI62" s="1"/>
  <c r="AO58"/>
  <c r="AY58" s="1"/>
  <c r="L13"/>
  <c r="V13"/>
  <c r="AW13" s="1"/>
  <c r="C221"/>
  <c r="E221" s="1"/>
  <c r="V18"/>
  <c r="AW18" s="1"/>
  <c r="V21"/>
  <c r="AW21" s="1"/>
  <c r="L20"/>
  <c r="AV20" s="1"/>
  <c r="V20"/>
  <c r="AW20" s="1"/>
  <c r="AO23"/>
  <c r="AY23" s="1"/>
  <c r="AE43"/>
  <c r="U58"/>
  <c r="AJ62" s="1"/>
  <c r="U62"/>
  <c r="AN62" s="1"/>
  <c r="C70"/>
  <c r="O120"/>
  <c r="O121" s="1"/>
  <c r="O157"/>
  <c r="O158" s="1"/>
  <c r="O159" s="1"/>
  <c r="B187"/>
  <c r="B188" s="1"/>
  <c r="B189" s="1"/>
  <c r="B191" s="1"/>
  <c r="AF11"/>
  <c r="AX11" s="1"/>
  <c r="AO11"/>
  <c r="AO13"/>
  <c r="AY13" s="1"/>
  <c r="AO15"/>
  <c r="AO17"/>
  <c r="AY17" s="1"/>
  <c r="E220"/>
  <c r="K220" s="1"/>
  <c r="I221"/>
  <c r="N221" s="1"/>
  <c r="X240"/>
  <c r="AF16"/>
  <c r="AX16" s="1"/>
  <c r="AF15"/>
  <c r="AX15" s="1"/>
  <c r="AF13"/>
  <c r="AX13" s="1"/>
  <c r="V25"/>
  <c r="AW25" s="1"/>
  <c r="V16"/>
  <c r="AW16" s="1"/>
  <c r="V15"/>
  <c r="AW15" s="1"/>
  <c r="L25"/>
  <c r="AV25" s="1"/>
  <c r="L21"/>
  <c r="AV21" s="1"/>
  <c r="L16"/>
  <c r="AV16" s="1"/>
  <c r="N88"/>
  <c r="L15"/>
  <c r="AV15" s="1"/>
  <c r="U37"/>
  <c r="AN37" s="1"/>
  <c r="K45"/>
  <c r="AM45" s="1"/>
  <c r="AF18"/>
  <c r="AX18" s="1"/>
  <c r="AF21"/>
  <c r="AX21" s="1"/>
  <c r="AF20"/>
  <c r="AX20" s="1"/>
  <c r="AF25"/>
  <c r="AX25" s="1"/>
  <c r="AV13"/>
  <c r="AL36"/>
  <c r="AY14"/>
  <c r="AL39"/>
  <c r="AY18"/>
  <c r="AL43"/>
  <c r="AY21"/>
  <c r="AY22"/>
  <c r="AL47"/>
  <c r="AY25"/>
  <c r="AZ19"/>
  <c r="AZ18"/>
  <c r="AP11"/>
  <c r="AL33"/>
  <c r="AY11"/>
  <c r="AL37"/>
  <c r="AY15"/>
  <c r="AY16"/>
  <c r="AL41"/>
  <c r="AY19"/>
  <c r="AL45"/>
  <c r="AM27"/>
  <c r="AN27" s="1"/>
  <c r="AO27" s="1"/>
  <c r="AW27"/>
  <c r="I73"/>
  <c r="K73"/>
  <c r="I74"/>
  <c r="K74"/>
  <c r="I75"/>
  <c r="K75"/>
  <c r="I78"/>
  <c r="K78"/>
  <c r="I79"/>
  <c r="K79"/>
  <c r="I80"/>
  <c r="K80"/>
  <c r="I81"/>
  <c r="K81"/>
  <c r="O97"/>
  <c r="O99" s="1"/>
  <c r="O96"/>
  <c r="AA95"/>
  <c r="B117"/>
  <c r="B119" s="1"/>
  <c r="B120"/>
  <c r="B139"/>
  <c r="B136"/>
  <c r="B138" s="1"/>
  <c r="AA150"/>
  <c r="O152"/>
  <c r="O154" s="1"/>
  <c r="O151"/>
  <c r="B177"/>
  <c r="B174"/>
  <c r="B176" s="1"/>
  <c r="O191"/>
  <c r="O193" s="1"/>
  <c r="O190"/>
  <c r="AA189"/>
  <c r="I210"/>
  <c r="N210" s="1"/>
  <c r="K210"/>
  <c r="I212"/>
  <c r="N212" s="1"/>
  <c r="K212"/>
  <c r="K214"/>
  <c r="I214"/>
  <c r="N214" s="1"/>
  <c r="K216"/>
  <c r="I216"/>
  <c r="N216" s="1"/>
  <c r="K224"/>
  <c r="I224"/>
  <c r="N224" s="1"/>
  <c r="B256"/>
  <c r="B253"/>
  <c r="B255" s="1"/>
  <c r="AA257"/>
  <c r="O258"/>
  <c r="W5"/>
  <c r="U11"/>
  <c r="AJ33" s="1"/>
  <c r="L12"/>
  <c r="K12" s="1"/>
  <c r="V12"/>
  <c r="AW12" s="1"/>
  <c r="AF12"/>
  <c r="AX12" s="1"/>
  <c r="K13"/>
  <c r="L14"/>
  <c r="V14"/>
  <c r="AW14" s="1"/>
  <c r="AF14"/>
  <c r="AX14" s="1"/>
  <c r="U15"/>
  <c r="AJ37" s="1"/>
  <c r="L17"/>
  <c r="K17" s="1"/>
  <c r="V17"/>
  <c r="AW17" s="1"/>
  <c r="AF17"/>
  <c r="AX17" s="1"/>
  <c r="L19"/>
  <c r="K19" s="1"/>
  <c r="V19"/>
  <c r="AW19" s="1"/>
  <c r="AF19"/>
  <c r="AX19" s="1"/>
  <c r="K21"/>
  <c r="U21"/>
  <c r="AJ43" s="1"/>
  <c r="L22"/>
  <c r="V22"/>
  <c r="AW22" s="1"/>
  <c r="AF22"/>
  <c r="AX22" s="1"/>
  <c r="U20"/>
  <c r="AJ42" s="1"/>
  <c r="L23"/>
  <c r="V23"/>
  <c r="AW23" s="1"/>
  <c r="AF23"/>
  <c r="AX23" s="1"/>
  <c r="U25"/>
  <c r="AJ47" s="1"/>
  <c r="AE25"/>
  <c r="AK47" s="1"/>
  <c r="K33"/>
  <c r="AM33" s="1"/>
  <c r="U33"/>
  <c r="AN33" s="1"/>
  <c r="AE33"/>
  <c r="L34"/>
  <c r="AZ12" s="1"/>
  <c r="V34"/>
  <c r="BA12" s="1"/>
  <c r="AF34"/>
  <c r="BB12" s="1"/>
  <c r="K35"/>
  <c r="AM35" s="1"/>
  <c r="U35"/>
  <c r="AN35" s="1"/>
  <c r="AE35"/>
  <c r="L36"/>
  <c r="AZ14" s="1"/>
  <c r="V36"/>
  <c r="BA14" s="1"/>
  <c r="AF36"/>
  <c r="BB14" s="1"/>
  <c r="K37"/>
  <c r="AM37" s="1"/>
  <c r="AE37"/>
  <c r="L38"/>
  <c r="AZ16" s="1"/>
  <c r="V38"/>
  <c r="BA16" s="1"/>
  <c r="AF38"/>
  <c r="BB16" s="1"/>
  <c r="K39"/>
  <c r="AM39" s="1"/>
  <c r="AE39"/>
  <c r="U40"/>
  <c r="AN40" s="1"/>
  <c r="AK174"/>
  <c r="AO43"/>
  <c r="AT62"/>
  <c r="AT58" s="1"/>
  <c r="I71"/>
  <c r="Q88" s="1"/>
  <c r="C71"/>
  <c r="I77"/>
  <c r="K77"/>
  <c r="I82"/>
  <c r="K82"/>
  <c r="B102"/>
  <c r="B99"/>
  <c r="B101" s="1"/>
  <c r="O114"/>
  <c r="AA113"/>
  <c r="O115"/>
  <c r="O117" s="1"/>
  <c r="O123"/>
  <c r="O125" s="1"/>
  <c r="O122"/>
  <c r="AA121"/>
  <c r="O134"/>
  <c r="O136" s="1"/>
  <c r="O133"/>
  <c r="AA132"/>
  <c r="B154"/>
  <c r="B156" s="1"/>
  <c r="B157"/>
  <c r="O160"/>
  <c r="O162" s="1"/>
  <c r="AA158"/>
  <c r="AA178"/>
  <c r="O180"/>
  <c r="O182" s="1"/>
  <c r="O179"/>
  <c r="B196"/>
  <c r="B193"/>
  <c r="B195" s="1"/>
  <c r="K213"/>
  <c r="I213"/>
  <c r="N213" s="1"/>
  <c r="K217"/>
  <c r="I217"/>
  <c r="N217" s="1"/>
  <c r="O251"/>
  <c r="O253" s="1"/>
  <c r="O250"/>
  <c r="AA249"/>
  <c r="U39"/>
  <c r="AN39" s="1"/>
  <c r="K40"/>
  <c r="AM40" s="1"/>
  <c r="AE40"/>
  <c r="K41"/>
  <c r="AM41" s="1"/>
  <c r="U41"/>
  <c r="AN41" s="1"/>
  <c r="AE41"/>
  <c r="L43"/>
  <c r="AZ21" s="1"/>
  <c r="V43"/>
  <c r="BA21" s="1"/>
  <c r="K44"/>
  <c r="AM44" s="1"/>
  <c r="U44"/>
  <c r="AN44" s="1"/>
  <c r="AE44"/>
  <c r="L42"/>
  <c r="AZ20" s="1"/>
  <c r="V42"/>
  <c r="BA20" s="1"/>
  <c r="AF42"/>
  <c r="BB20" s="1"/>
  <c r="U45"/>
  <c r="AN45" s="1"/>
  <c r="AE45"/>
  <c r="L47"/>
  <c r="V47"/>
  <c r="U47" s="1"/>
  <c r="AN47" s="1"/>
  <c r="AF47"/>
  <c r="AF58"/>
  <c r="AX58" s="1"/>
  <c r="I76"/>
  <c r="I83"/>
  <c r="I84"/>
  <c r="I85"/>
  <c r="BD24" s="1"/>
  <c r="BF24" s="1"/>
  <c r="I89"/>
  <c r="O102"/>
  <c r="O103" s="1"/>
  <c r="O139"/>
  <c r="O140" s="1"/>
  <c r="O170"/>
  <c r="O196"/>
  <c r="O197" s="1"/>
  <c r="C207"/>
  <c r="I211"/>
  <c r="N211" s="1"/>
  <c r="K215"/>
  <c r="K219"/>
  <c r="Z219" s="1"/>
  <c r="I220"/>
  <c r="N220" s="1"/>
  <c r="AD240"/>
  <c r="AD242" s="1"/>
  <c r="AF40" i="9"/>
  <c r="BB18" s="1"/>
  <c r="AF37"/>
  <c r="BB15" s="1"/>
  <c r="BA20"/>
  <c r="BA19"/>
  <c r="U42"/>
  <c r="AN42" s="1"/>
  <c r="L42"/>
  <c r="AZ20" s="1"/>
  <c r="V23"/>
  <c r="AW23" s="1"/>
  <c r="V19"/>
  <c r="AW19" s="1"/>
  <c r="V15"/>
  <c r="AW15" s="1"/>
  <c r="L11"/>
  <c r="V25"/>
  <c r="AW25" s="1"/>
  <c r="V22"/>
  <c r="AW22" s="1"/>
  <c r="V17"/>
  <c r="AW17" s="1"/>
  <c r="V13"/>
  <c r="AW13" s="1"/>
  <c r="V11"/>
  <c r="AW11" s="1"/>
  <c r="L25"/>
  <c r="AV25" s="1"/>
  <c r="L24"/>
  <c r="AV24" s="1"/>
  <c r="L23"/>
  <c r="AV23" s="1"/>
  <c r="L22"/>
  <c r="AV22" s="1"/>
  <c r="L21"/>
  <c r="AV21" s="1"/>
  <c r="L19"/>
  <c r="L17"/>
  <c r="AV17" s="1"/>
  <c r="L15"/>
  <c r="L13"/>
  <c r="AP13" s="1"/>
  <c r="K37"/>
  <c r="AM37" s="1"/>
  <c r="AF15"/>
  <c r="AX15" s="1"/>
  <c r="AF23"/>
  <c r="AX23" s="1"/>
  <c r="AE13"/>
  <c r="AK35" s="1"/>
  <c r="AL34"/>
  <c r="AY12"/>
  <c r="AL35"/>
  <c r="AY13"/>
  <c r="AL37"/>
  <c r="AY15"/>
  <c r="AL38"/>
  <c r="AY16"/>
  <c r="AL40"/>
  <c r="AY18"/>
  <c r="AV19"/>
  <c r="AP21"/>
  <c r="AM27"/>
  <c r="AN27" s="1"/>
  <c r="AO27" s="1"/>
  <c r="AW27"/>
  <c r="BB20"/>
  <c r="BB19"/>
  <c r="AL33"/>
  <c r="AY11"/>
  <c r="AL36"/>
  <c r="AY14"/>
  <c r="AY17"/>
  <c r="AL39"/>
  <c r="AY19"/>
  <c r="AL41"/>
  <c r="AL42"/>
  <c r="AY20"/>
  <c r="AL43"/>
  <c r="AY21"/>
  <c r="AL44"/>
  <c r="AY22"/>
  <c r="AL45"/>
  <c r="AY23"/>
  <c r="AL46"/>
  <c r="AY24"/>
  <c r="AL47"/>
  <c r="AY25"/>
  <c r="AZ19"/>
  <c r="BF16"/>
  <c r="BF25"/>
  <c r="I73"/>
  <c r="K73"/>
  <c r="I74"/>
  <c r="K74"/>
  <c r="I75"/>
  <c r="K75"/>
  <c r="I79"/>
  <c r="K79"/>
  <c r="I80"/>
  <c r="K80"/>
  <c r="I81"/>
  <c r="K81"/>
  <c r="I82"/>
  <c r="K82"/>
  <c r="O96"/>
  <c r="O98" s="1"/>
  <c r="O95"/>
  <c r="AA94"/>
  <c r="B116"/>
  <c r="B118" s="1"/>
  <c r="B119"/>
  <c r="B120" s="1"/>
  <c r="B122" s="1"/>
  <c r="B138"/>
  <c r="B135"/>
  <c r="B137" s="1"/>
  <c r="AA149"/>
  <c r="O151"/>
  <c r="O153" s="1"/>
  <c r="O150"/>
  <c r="B176"/>
  <c r="B177" s="1"/>
  <c r="B179" s="1"/>
  <c r="B173"/>
  <c r="B175" s="1"/>
  <c r="O190"/>
  <c r="O192" s="1"/>
  <c r="O189"/>
  <c r="AA188"/>
  <c r="I209"/>
  <c r="N209" s="1"/>
  <c r="K209"/>
  <c r="I211"/>
  <c r="N211" s="1"/>
  <c r="K211"/>
  <c r="K213"/>
  <c r="I213"/>
  <c r="N213" s="1"/>
  <c r="K216"/>
  <c r="I216"/>
  <c r="N216" s="1"/>
  <c r="B255"/>
  <c r="B252"/>
  <c r="B254" s="1"/>
  <c r="W5"/>
  <c r="K11"/>
  <c r="U11"/>
  <c r="AJ33" s="1"/>
  <c r="AE11"/>
  <c r="AK33" s="1"/>
  <c r="L12"/>
  <c r="K12" s="1"/>
  <c r="V12"/>
  <c r="AW12" s="1"/>
  <c r="AF12"/>
  <c r="AX12" s="1"/>
  <c r="K13"/>
  <c r="U13"/>
  <c r="AJ35" s="1"/>
  <c r="L14"/>
  <c r="V14"/>
  <c r="AW14" s="1"/>
  <c r="AF14"/>
  <c r="AX14" s="1"/>
  <c r="K15"/>
  <c r="U15"/>
  <c r="AJ37" s="1"/>
  <c r="AE15"/>
  <c r="AK37" s="1"/>
  <c r="L16"/>
  <c r="V16"/>
  <c r="AW16" s="1"/>
  <c r="AF16"/>
  <c r="AX16" s="1"/>
  <c r="K17"/>
  <c r="U17"/>
  <c r="AJ39" s="1"/>
  <c r="AE17"/>
  <c r="AK39" s="1"/>
  <c r="L18"/>
  <c r="V18"/>
  <c r="AW18" s="1"/>
  <c r="AF18"/>
  <c r="AX18" s="1"/>
  <c r="K19"/>
  <c r="U19"/>
  <c r="AJ42" s="1"/>
  <c r="AE19"/>
  <c r="AK42" s="1"/>
  <c r="L20"/>
  <c r="V20"/>
  <c r="AW20" s="1"/>
  <c r="AF20"/>
  <c r="AX20" s="1"/>
  <c r="K21"/>
  <c r="U21"/>
  <c r="AJ43" s="1"/>
  <c r="AE21"/>
  <c r="AK43" s="1"/>
  <c r="AF22"/>
  <c r="AX22" s="1"/>
  <c r="K23"/>
  <c r="U23"/>
  <c r="AJ45" s="1"/>
  <c r="AE23"/>
  <c r="AK45" s="1"/>
  <c r="V24"/>
  <c r="AW24" s="1"/>
  <c r="AF24"/>
  <c r="AX24" s="1"/>
  <c r="K25"/>
  <c r="U25"/>
  <c r="AJ47" s="1"/>
  <c r="AE25"/>
  <c r="AK47" s="1"/>
  <c r="K33"/>
  <c r="AM33" s="1"/>
  <c r="U33"/>
  <c r="AN33" s="1"/>
  <c r="AE33"/>
  <c r="L34"/>
  <c r="AZ12" s="1"/>
  <c r="V34"/>
  <c r="BA12" s="1"/>
  <c r="AF34"/>
  <c r="BB12" s="1"/>
  <c r="K35"/>
  <c r="AM35" s="1"/>
  <c r="U35"/>
  <c r="AN35" s="1"/>
  <c r="AE35"/>
  <c r="L36"/>
  <c r="AZ14" s="1"/>
  <c r="V36"/>
  <c r="BA14" s="1"/>
  <c r="AF36"/>
  <c r="BB14" s="1"/>
  <c r="U37"/>
  <c r="AN37" s="1"/>
  <c r="AE37"/>
  <c r="L38"/>
  <c r="AZ16" s="1"/>
  <c r="V38"/>
  <c r="BA16" s="1"/>
  <c r="AF38"/>
  <c r="BB16" s="1"/>
  <c r="L39"/>
  <c r="AZ17" s="1"/>
  <c r="V39"/>
  <c r="BA17" s="1"/>
  <c r="AF39"/>
  <c r="BB17" s="1"/>
  <c r="K40"/>
  <c r="AM40" s="1"/>
  <c r="U40"/>
  <c r="AN40" s="1"/>
  <c r="AE40"/>
  <c r="L41"/>
  <c r="V41"/>
  <c r="U41" s="1"/>
  <c r="AN41" s="1"/>
  <c r="AF41"/>
  <c r="AE41" s="1"/>
  <c r="K42"/>
  <c r="AM42" s="1"/>
  <c r="AE42"/>
  <c r="K43"/>
  <c r="AM43" s="1"/>
  <c r="AE43"/>
  <c r="K44"/>
  <c r="AM44" s="1"/>
  <c r="AE44"/>
  <c r="AK173"/>
  <c r="AM62"/>
  <c r="AT62"/>
  <c r="AT58" s="1"/>
  <c r="I71"/>
  <c r="C71"/>
  <c r="I77"/>
  <c r="K77"/>
  <c r="I85"/>
  <c r="K85"/>
  <c r="B101"/>
  <c r="B102" s="1"/>
  <c r="B104" s="1"/>
  <c r="B98"/>
  <c r="B100" s="1"/>
  <c r="O113"/>
  <c r="AA112"/>
  <c r="O114"/>
  <c r="O116" s="1"/>
  <c r="O122"/>
  <c r="O124" s="1"/>
  <c r="O121"/>
  <c r="AA120"/>
  <c r="O133"/>
  <c r="O135" s="1"/>
  <c r="O132"/>
  <c r="AA131"/>
  <c r="B153"/>
  <c r="B155" s="1"/>
  <c r="B156"/>
  <c r="B157" s="1"/>
  <c r="B159" s="1"/>
  <c r="O159"/>
  <c r="O161" s="1"/>
  <c r="O158"/>
  <c r="AA157"/>
  <c r="AA177"/>
  <c r="O179"/>
  <c r="O181" s="1"/>
  <c r="O178"/>
  <c r="B195"/>
  <c r="B192"/>
  <c r="B194" s="1"/>
  <c r="K212"/>
  <c r="I212"/>
  <c r="N212" s="1"/>
  <c r="I214"/>
  <c r="N214" s="1"/>
  <c r="K214"/>
  <c r="K215"/>
  <c r="I215"/>
  <c r="N215" s="1"/>
  <c r="I218"/>
  <c r="N218" s="1"/>
  <c r="K218"/>
  <c r="Z218" s="1"/>
  <c r="K223"/>
  <c r="I223"/>
  <c r="N223" s="1"/>
  <c r="O250"/>
  <c r="O252" s="1"/>
  <c r="O249"/>
  <c r="AA248"/>
  <c r="U43"/>
  <c r="AN43" s="1"/>
  <c r="U44"/>
  <c r="AN44" s="1"/>
  <c r="AE58"/>
  <c r="AK62" s="1"/>
  <c r="AP62" s="1"/>
  <c r="L45"/>
  <c r="AZ23" s="1"/>
  <c r="V45"/>
  <c r="BA23" s="1"/>
  <c r="AF45"/>
  <c r="BB23" s="1"/>
  <c r="K46"/>
  <c r="AM46" s="1"/>
  <c r="U46"/>
  <c r="AN46" s="1"/>
  <c r="AE46"/>
  <c r="L47"/>
  <c r="V47"/>
  <c r="U47" s="1"/>
  <c r="AN47" s="1"/>
  <c r="AF47"/>
  <c r="AF58"/>
  <c r="AX58" s="1"/>
  <c r="I76"/>
  <c r="I83"/>
  <c r="I84"/>
  <c r="I86"/>
  <c r="I88"/>
  <c r="O101"/>
  <c r="O102" s="1"/>
  <c r="O138"/>
  <c r="O139" s="1"/>
  <c r="O169"/>
  <c r="O195"/>
  <c r="O196" s="1"/>
  <c r="C206"/>
  <c r="I210"/>
  <c r="N210" s="1"/>
  <c r="E219"/>
  <c r="I220"/>
  <c r="N220" s="1"/>
  <c r="O255"/>
  <c r="O256" s="1"/>
  <c r="V37" i="8"/>
  <c r="BA15" s="1"/>
  <c r="AZ25"/>
  <c r="AZ24"/>
  <c r="L41"/>
  <c r="AO11"/>
  <c r="K62"/>
  <c r="AE62"/>
  <c r="AO62" s="1"/>
  <c r="AO23"/>
  <c r="E70"/>
  <c r="I70" s="1"/>
  <c r="N70" s="1"/>
  <c r="AO15"/>
  <c r="AO25"/>
  <c r="K43"/>
  <c r="AM43" s="1"/>
  <c r="K44"/>
  <c r="AE44"/>
  <c r="K46"/>
  <c r="AM46" s="1"/>
  <c r="K58"/>
  <c r="AI62" s="1"/>
  <c r="AO58"/>
  <c r="AY58" s="1"/>
  <c r="I84"/>
  <c r="X274"/>
  <c r="AF11"/>
  <c r="AX11" s="1"/>
  <c r="AO12"/>
  <c r="L13"/>
  <c r="AF13"/>
  <c r="AX13" s="1"/>
  <c r="AO14"/>
  <c r="AO16"/>
  <c r="AF18"/>
  <c r="AX18" s="1"/>
  <c r="AO19"/>
  <c r="AF20"/>
  <c r="AX20" s="1"/>
  <c r="AO21"/>
  <c r="AO22"/>
  <c r="L23"/>
  <c r="AF23"/>
  <c r="AX23" s="1"/>
  <c r="AO24"/>
  <c r="L25"/>
  <c r="U39"/>
  <c r="AN39" s="1"/>
  <c r="U44"/>
  <c r="AN44" s="1"/>
  <c r="U58"/>
  <c r="AJ62" s="1"/>
  <c r="U62"/>
  <c r="AN62" s="1"/>
  <c r="C70"/>
  <c r="O119"/>
  <c r="O120" s="1"/>
  <c r="O156"/>
  <c r="O157" s="1"/>
  <c r="B186"/>
  <c r="B187" s="1"/>
  <c r="B188" s="1"/>
  <c r="B190" s="1"/>
  <c r="AK173"/>
  <c r="L20"/>
  <c r="L18"/>
  <c r="L16"/>
  <c r="K36"/>
  <c r="AM36" s="1"/>
  <c r="K47"/>
  <c r="AM47" s="1"/>
  <c r="AF16"/>
  <c r="AX16" s="1"/>
  <c r="AF22"/>
  <c r="AX22" s="1"/>
  <c r="AE25"/>
  <c r="AK47" s="1"/>
  <c r="U25"/>
  <c r="K11"/>
  <c r="K25"/>
  <c r="AL34"/>
  <c r="AY12"/>
  <c r="AP13"/>
  <c r="AV13"/>
  <c r="AI33"/>
  <c r="AL33"/>
  <c r="AY11"/>
  <c r="AL35"/>
  <c r="AY13"/>
  <c r="AV16"/>
  <c r="AL39"/>
  <c r="AY17"/>
  <c r="AY18"/>
  <c r="AL40"/>
  <c r="AL42"/>
  <c r="AY20"/>
  <c r="AP22"/>
  <c r="AV22"/>
  <c r="AL37"/>
  <c r="AY15"/>
  <c r="AL45"/>
  <c r="AY23"/>
  <c r="AI47"/>
  <c r="AL47"/>
  <c r="AY25"/>
  <c r="AM27"/>
  <c r="AN27" s="1"/>
  <c r="AW27"/>
  <c r="AL36"/>
  <c r="AY14"/>
  <c r="AL38"/>
  <c r="AY16"/>
  <c r="BF16" s="1"/>
  <c r="AV18"/>
  <c r="AL41"/>
  <c r="AY19"/>
  <c r="AV20"/>
  <c r="AL43"/>
  <c r="AY21"/>
  <c r="AL44"/>
  <c r="AY22"/>
  <c r="AV23"/>
  <c r="AL46"/>
  <c r="AY24"/>
  <c r="BF25"/>
  <c r="AO44"/>
  <c r="I73"/>
  <c r="K73"/>
  <c r="I74"/>
  <c r="K74"/>
  <c r="I75"/>
  <c r="K75"/>
  <c r="I79"/>
  <c r="K79"/>
  <c r="I80"/>
  <c r="K80"/>
  <c r="I81"/>
  <c r="K81"/>
  <c r="B101"/>
  <c r="B98"/>
  <c r="B100" s="1"/>
  <c r="O113"/>
  <c r="AA112"/>
  <c r="O114"/>
  <c r="O116" s="1"/>
  <c r="O122"/>
  <c r="O124" s="1"/>
  <c r="O121"/>
  <c r="AA120"/>
  <c r="O133"/>
  <c r="O135" s="1"/>
  <c r="O132"/>
  <c r="AA131"/>
  <c r="B153"/>
  <c r="B155" s="1"/>
  <c r="B156"/>
  <c r="O159"/>
  <c r="O161" s="1"/>
  <c r="O158"/>
  <c r="AA157"/>
  <c r="AA177"/>
  <c r="O179"/>
  <c r="O181" s="1"/>
  <c r="O178"/>
  <c r="B195"/>
  <c r="B192"/>
  <c r="B194" s="1"/>
  <c r="K212"/>
  <c r="I212"/>
  <c r="N212" s="1"/>
  <c r="K216"/>
  <c r="I216"/>
  <c r="N216" s="1"/>
  <c r="O250"/>
  <c r="O252" s="1"/>
  <c r="O249"/>
  <c r="AA248"/>
  <c r="V11"/>
  <c r="AW11" s="1"/>
  <c r="W5"/>
  <c r="AE11"/>
  <c r="AK33" s="1"/>
  <c r="AV11"/>
  <c r="L12"/>
  <c r="K12" s="1"/>
  <c r="V12"/>
  <c r="AW12" s="1"/>
  <c r="AF12"/>
  <c r="AX12" s="1"/>
  <c r="K13"/>
  <c r="U13"/>
  <c r="AJ35" s="1"/>
  <c r="AE13"/>
  <c r="AK35" s="1"/>
  <c r="L14"/>
  <c r="K14" s="1"/>
  <c r="V14"/>
  <c r="AW14" s="1"/>
  <c r="AF14"/>
  <c r="AX14" s="1"/>
  <c r="K16"/>
  <c r="AI38" s="1"/>
  <c r="U16"/>
  <c r="AE16"/>
  <c r="AK38" s="1"/>
  <c r="L17"/>
  <c r="V17"/>
  <c r="AW17" s="1"/>
  <c r="AF17"/>
  <c r="AX17" s="1"/>
  <c r="K18"/>
  <c r="U18"/>
  <c r="AE18"/>
  <c r="AK40" s="1"/>
  <c r="L19"/>
  <c r="V19"/>
  <c r="AF19"/>
  <c r="AX19" s="1"/>
  <c r="K20"/>
  <c r="U20"/>
  <c r="AE20"/>
  <c r="L21"/>
  <c r="K21" s="1"/>
  <c r="V21"/>
  <c r="AW21" s="1"/>
  <c r="AF21"/>
  <c r="AX21" s="1"/>
  <c r="K22"/>
  <c r="U22"/>
  <c r="AE22"/>
  <c r="L15"/>
  <c r="V15"/>
  <c r="AW15" s="1"/>
  <c r="AF15"/>
  <c r="AX15" s="1"/>
  <c r="K23"/>
  <c r="U23"/>
  <c r="AE23"/>
  <c r="AK45" s="1"/>
  <c r="L24"/>
  <c r="V24"/>
  <c r="AF24"/>
  <c r="AX24" s="1"/>
  <c r="AV25"/>
  <c r="K33"/>
  <c r="AM33" s="1"/>
  <c r="U33"/>
  <c r="AN33" s="1"/>
  <c r="AE33"/>
  <c r="L34"/>
  <c r="AZ12" s="1"/>
  <c r="V34"/>
  <c r="BA12" s="1"/>
  <c r="AF34"/>
  <c r="BB12" s="1"/>
  <c r="K35"/>
  <c r="AM35" s="1"/>
  <c r="U35"/>
  <c r="AN35" s="1"/>
  <c r="AE35"/>
  <c r="V36"/>
  <c r="BA14" s="1"/>
  <c r="AF36"/>
  <c r="BB14" s="1"/>
  <c r="K38"/>
  <c r="AM38" s="1"/>
  <c r="U38"/>
  <c r="AN38" s="1"/>
  <c r="AE38"/>
  <c r="AO38" s="1"/>
  <c r="K39"/>
  <c r="AM39" s="1"/>
  <c r="AE39"/>
  <c r="AO39" s="1"/>
  <c r="L40"/>
  <c r="AZ18" s="1"/>
  <c r="V40"/>
  <c r="BA18" s="1"/>
  <c r="AF40"/>
  <c r="BB18" s="1"/>
  <c r="K41"/>
  <c r="AM41" s="1"/>
  <c r="U41"/>
  <c r="AN41" s="1"/>
  <c r="AE41"/>
  <c r="AO41" s="1"/>
  <c r="L42"/>
  <c r="V42"/>
  <c r="AF42"/>
  <c r="AE42" s="1"/>
  <c r="AO42" s="1"/>
  <c r="AM62"/>
  <c r="AT62"/>
  <c r="AT58" s="1"/>
  <c r="I71"/>
  <c r="C71"/>
  <c r="I82"/>
  <c r="K82"/>
  <c r="I85"/>
  <c r="K85"/>
  <c r="O96"/>
  <c r="O98" s="1"/>
  <c r="O95"/>
  <c r="AA94"/>
  <c r="B116"/>
  <c r="B118" s="1"/>
  <c r="B119"/>
  <c r="B138"/>
  <c r="B135"/>
  <c r="B137" s="1"/>
  <c r="AA149"/>
  <c r="O151"/>
  <c r="O153" s="1"/>
  <c r="O150"/>
  <c r="B176"/>
  <c r="B173"/>
  <c r="B175" s="1"/>
  <c r="O190"/>
  <c r="O192" s="1"/>
  <c r="O189"/>
  <c r="AA188"/>
  <c r="I209"/>
  <c r="N209" s="1"/>
  <c r="K209"/>
  <c r="I211"/>
  <c r="N211" s="1"/>
  <c r="K211"/>
  <c r="K213"/>
  <c r="I213"/>
  <c r="N213" s="1"/>
  <c r="K215"/>
  <c r="I215"/>
  <c r="N215" s="1"/>
  <c r="I218"/>
  <c r="N218" s="1"/>
  <c r="K218"/>
  <c r="Z218" s="1"/>
  <c r="K223"/>
  <c r="I223"/>
  <c r="N223" s="1"/>
  <c r="B255"/>
  <c r="B252"/>
  <c r="B254" s="1"/>
  <c r="AD276"/>
  <c r="U43"/>
  <c r="AN43" s="1"/>
  <c r="AE43"/>
  <c r="K37"/>
  <c r="AM37" s="1"/>
  <c r="U37"/>
  <c r="AN37" s="1"/>
  <c r="AE37"/>
  <c r="AO37" s="1"/>
  <c r="L45"/>
  <c r="AZ23" s="1"/>
  <c r="V45"/>
  <c r="BA23" s="1"/>
  <c r="AF45"/>
  <c r="BB23" s="1"/>
  <c r="U46"/>
  <c r="AN46" s="1"/>
  <c r="AE46"/>
  <c r="AO46" s="1"/>
  <c r="V47"/>
  <c r="AF47"/>
  <c r="AF58"/>
  <c r="AX58" s="1"/>
  <c r="I76"/>
  <c r="I83"/>
  <c r="I77"/>
  <c r="I86"/>
  <c r="I88"/>
  <c r="O101"/>
  <c r="O102" s="1"/>
  <c r="O138"/>
  <c r="O139" s="1"/>
  <c r="O169"/>
  <c r="O195"/>
  <c r="O196" s="1"/>
  <c r="C206"/>
  <c r="I210"/>
  <c r="N210" s="1"/>
  <c r="K214"/>
  <c r="I219"/>
  <c r="N219" s="1"/>
  <c r="AD239"/>
  <c r="AD241" s="1"/>
  <c r="O255"/>
  <c r="O256" s="1"/>
  <c r="AE46" i="7"/>
  <c r="AO46" s="1"/>
  <c r="U46"/>
  <c r="AN46" s="1"/>
  <c r="AL46"/>
  <c r="K88"/>
  <c r="I88"/>
  <c r="AM46"/>
  <c r="L24"/>
  <c r="V24"/>
  <c r="AW24" s="1"/>
  <c r="AF24"/>
  <c r="AX24" s="1"/>
  <c r="BF24"/>
  <c r="N77"/>
  <c r="AT48" i="14" l="1"/>
  <c r="AT11"/>
  <c r="AR1"/>
  <c r="AP45"/>
  <c r="W27"/>
  <c r="BA7"/>
  <c r="AT24"/>
  <c r="AT23"/>
  <c r="BF26"/>
  <c r="BE26"/>
  <c r="AT48" i="13"/>
  <c r="AR1" s="1"/>
  <c r="AT11"/>
  <c r="BB7"/>
  <c r="B1"/>
  <c r="B3" s="1"/>
  <c r="BF26"/>
  <c r="BE26"/>
  <c r="AP41"/>
  <c r="U81" i="12"/>
  <c r="W81" s="1"/>
  <c r="AT35"/>
  <c r="AT13" s="1"/>
  <c r="AI35"/>
  <c r="AP35" s="1"/>
  <c r="AI43"/>
  <c r="AP43" s="1"/>
  <c r="AT43"/>
  <c r="AT21" s="1"/>
  <c r="AT37"/>
  <c r="AT15" s="1"/>
  <c r="AI37"/>
  <c r="AP37" s="1"/>
  <c r="U74"/>
  <c r="W74" s="1"/>
  <c r="AO34"/>
  <c r="U85"/>
  <c r="W85" s="1"/>
  <c r="AO45"/>
  <c r="BF24"/>
  <c r="BE24"/>
  <c r="AR24"/>
  <c r="AR34"/>
  <c r="Y74"/>
  <c r="AR45"/>
  <c r="AR46"/>
  <c r="Y78"/>
  <c r="AR38"/>
  <c r="Y80"/>
  <c r="AR40"/>
  <c r="AT39"/>
  <c r="AT17" s="1"/>
  <c r="U76"/>
  <c r="W76" s="1"/>
  <c r="AR48"/>
  <c r="AT34"/>
  <c r="AT12" s="1"/>
  <c r="AT36"/>
  <c r="AT14" s="1"/>
  <c r="AT38"/>
  <c r="AT16" s="1"/>
  <c r="AP42"/>
  <c r="AP40"/>
  <c r="U73"/>
  <c r="W73" s="1"/>
  <c r="U75"/>
  <c r="W75" s="1"/>
  <c r="U77"/>
  <c r="W77" s="1"/>
  <c r="U79"/>
  <c r="W79" s="1"/>
  <c r="C60"/>
  <c r="M60" s="1"/>
  <c r="W60" s="1"/>
  <c r="M27"/>
  <c r="AZ7"/>
  <c r="AT33"/>
  <c r="AI33"/>
  <c r="AP33" s="1"/>
  <c r="AI45"/>
  <c r="AP45" s="1"/>
  <c r="AT45"/>
  <c r="U78"/>
  <c r="W78" s="1"/>
  <c r="AO38"/>
  <c r="BF16"/>
  <c r="BE16"/>
  <c r="AR16"/>
  <c r="BF18"/>
  <c r="BE18"/>
  <c r="AR18"/>
  <c r="BE21"/>
  <c r="AR21"/>
  <c r="BF21"/>
  <c r="BE58"/>
  <c r="AR58"/>
  <c r="BF58"/>
  <c r="BE11"/>
  <c r="AR11"/>
  <c r="BF11"/>
  <c r="BF12"/>
  <c r="BE12"/>
  <c r="AR12"/>
  <c r="BE13"/>
  <c r="AR13"/>
  <c r="BF13"/>
  <c r="BE23"/>
  <c r="AR23"/>
  <c r="BF23"/>
  <c r="AR33"/>
  <c r="Y73"/>
  <c r="Y79"/>
  <c r="AR39"/>
  <c r="BE15"/>
  <c r="AR15"/>
  <c r="BF15"/>
  <c r="BF20"/>
  <c r="BE20"/>
  <c r="AR20"/>
  <c r="BF14"/>
  <c r="BE14"/>
  <c r="AR14"/>
  <c r="BE17"/>
  <c r="AR17"/>
  <c r="BF17"/>
  <c r="BE19"/>
  <c r="AR19"/>
  <c r="BF19"/>
  <c r="BF22"/>
  <c r="BE22"/>
  <c r="AR22"/>
  <c r="AT41"/>
  <c r="AT19" s="1"/>
  <c r="AP39"/>
  <c r="AZ28"/>
  <c r="BD30" s="1"/>
  <c r="AP34"/>
  <c r="AP36"/>
  <c r="AP38"/>
  <c r="AP44"/>
  <c r="U83"/>
  <c r="W83" s="1"/>
  <c r="AP13" i="11"/>
  <c r="AE21"/>
  <c r="AK43" s="1"/>
  <c r="U18"/>
  <c r="AJ41" s="1"/>
  <c r="K16"/>
  <c r="K15"/>
  <c r="AE13"/>
  <c r="AK35" s="1"/>
  <c r="AL35"/>
  <c r="BF25"/>
  <c r="AL42"/>
  <c r="AL34"/>
  <c r="B178"/>
  <c r="B180" s="1"/>
  <c r="B121"/>
  <c r="B123" s="1"/>
  <c r="AV24"/>
  <c r="AE24"/>
  <c r="AK46" s="1"/>
  <c r="K24"/>
  <c r="U24"/>
  <c r="AJ46" s="1"/>
  <c r="K25"/>
  <c r="AE20"/>
  <c r="AK42" s="1"/>
  <c r="K20"/>
  <c r="AE18"/>
  <c r="AK41" s="1"/>
  <c r="K18"/>
  <c r="U16"/>
  <c r="AJ38" s="1"/>
  <c r="U13"/>
  <c r="AJ35" s="1"/>
  <c r="K11"/>
  <c r="AE11"/>
  <c r="AK33" s="1"/>
  <c r="B197"/>
  <c r="B199" s="1"/>
  <c r="AE58"/>
  <c r="AK62" s="1"/>
  <c r="AP62" s="1"/>
  <c r="AE16"/>
  <c r="AK38" s="1"/>
  <c r="AE15"/>
  <c r="AK37" s="1"/>
  <c r="U43"/>
  <c r="AN43" s="1"/>
  <c r="AI39"/>
  <c r="AI34"/>
  <c r="AA197"/>
  <c r="O199"/>
  <c r="O201" s="1"/>
  <c r="O198"/>
  <c r="AA140"/>
  <c r="O142"/>
  <c r="O144" s="1"/>
  <c r="O141"/>
  <c r="N89"/>
  <c r="BD58"/>
  <c r="N84"/>
  <c r="BD22"/>
  <c r="N76"/>
  <c r="BD14"/>
  <c r="BB23"/>
  <c r="BB25"/>
  <c r="AZ23"/>
  <c r="AZ25"/>
  <c r="AO44"/>
  <c r="U77"/>
  <c r="W77" s="1"/>
  <c r="AO37"/>
  <c r="AI47"/>
  <c r="AI42"/>
  <c r="AI43"/>
  <c r="AI41"/>
  <c r="AT40"/>
  <c r="AT18" s="1"/>
  <c r="AI38"/>
  <c r="AT37"/>
  <c r="AT15" s="1"/>
  <c r="AI37"/>
  <c r="AT35"/>
  <c r="AT13" s="1"/>
  <c r="AI35"/>
  <c r="AG5"/>
  <c r="AX7"/>
  <c r="N81"/>
  <c r="BD19"/>
  <c r="N80"/>
  <c r="BD18"/>
  <c r="N79"/>
  <c r="BD17"/>
  <c r="N78"/>
  <c r="BD16"/>
  <c r="N75"/>
  <c r="BD13"/>
  <c r="N74"/>
  <c r="BD12"/>
  <c r="N73"/>
  <c r="BD11"/>
  <c r="U42"/>
  <c r="AN42" s="1"/>
  <c r="U23"/>
  <c r="AJ45" s="1"/>
  <c r="AE19"/>
  <c r="AP25"/>
  <c r="AP20"/>
  <c r="AP21"/>
  <c r="U38"/>
  <c r="AN38" s="1"/>
  <c r="AE36"/>
  <c r="K36"/>
  <c r="AM36" s="1"/>
  <c r="U34"/>
  <c r="AN34" s="1"/>
  <c r="U22"/>
  <c r="AE17"/>
  <c r="AK39" s="1"/>
  <c r="U14"/>
  <c r="AJ36" s="1"/>
  <c r="AE12"/>
  <c r="AK34" s="1"/>
  <c r="AP16"/>
  <c r="AA170"/>
  <c r="O172"/>
  <c r="O174" s="1"/>
  <c r="O171"/>
  <c r="AA103"/>
  <c r="O105"/>
  <c r="O107" s="1"/>
  <c r="O104"/>
  <c r="N85"/>
  <c r="BD23"/>
  <c r="N83"/>
  <c r="BD21"/>
  <c r="BA25"/>
  <c r="BA23"/>
  <c r="AO45"/>
  <c r="AO41"/>
  <c r="U80"/>
  <c r="W80" s="1"/>
  <c r="AO40"/>
  <c r="N82"/>
  <c r="BD20"/>
  <c r="N77"/>
  <c r="BD15"/>
  <c r="Q224"/>
  <c r="Q221"/>
  <c r="Q220"/>
  <c r="Q218"/>
  <c r="Q217"/>
  <c r="Q216"/>
  <c r="Q214"/>
  <c r="Q213"/>
  <c r="Q211"/>
  <c r="Q89"/>
  <c r="AR62" s="1"/>
  <c r="Q85"/>
  <c r="Q84"/>
  <c r="AR44" s="1"/>
  <c r="Q83"/>
  <c r="AR43" s="1"/>
  <c r="Q76"/>
  <c r="AR36" s="1"/>
  <c r="N71"/>
  <c r="Q223"/>
  <c r="Q222"/>
  <c r="Q219"/>
  <c r="Q215"/>
  <c r="Q212"/>
  <c r="Q210"/>
  <c r="Q208"/>
  <c r="Q207"/>
  <c r="Q86"/>
  <c r="AR47" s="1"/>
  <c r="Q82"/>
  <c r="AR42" s="1"/>
  <c r="Q81"/>
  <c r="AR41" s="1"/>
  <c r="Q80"/>
  <c r="Q79"/>
  <c r="Q78"/>
  <c r="Q77"/>
  <c r="AR37" s="1"/>
  <c r="Q75"/>
  <c r="AR35" s="1"/>
  <c r="Q74"/>
  <c r="Q73"/>
  <c r="Q71"/>
  <c r="Q70"/>
  <c r="AO39"/>
  <c r="U75"/>
  <c r="W75" s="1"/>
  <c r="AO35"/>
  <c r="U73"/>
  <c r="W73" s="1"/>
  <c r="AO33"/>
  <c r="AV23"/>
  <c r="AP23"/>
  <c r="AV22"/>
  <c r="AP22"/>
  <c r="AV19"/>
  <c r="AP19"/>
  <c r="AV17"/>
  <c r="AP17"/>
  <c r="AV14"/>
  <c r="AP14"/>
  <c r="AV12"/>
  <c r="AP12"/>
  <c r="AT33"/>
  <c r="AI33"/>
  <c r="AP33" s="1"/>
  <c r="AP58"/>
  <c r="AE47"/>
  <c r="K47"/>
  <c r="AM47" s="1"/>
  <c r="K43"/>
  <c r="AM43" s="1"/>
  <c r="B158"/>
  <c r="B160" s="1"/>
  <c r="B103"/>
  <c r="B105" s="1"/>
  <c r="AE42"/>
  <c r="K42"/>
  <c r="AM42" s="1"/>
  <c r="B257"/>
  <c r="B259" s="1"/>
  <c r="B140"/>
  <c r="B142" s="1"/>
  <c r="AE23"/>
  <c r="AK45" s="1"/>
  <c r="K23"/>
  <c r="U19"/>
  <c r="AT41" s="1"/>
  <c r="AT19" s="1"/>
  <c r="AZ28"/>
  <c r="BD30" s="1"/>
  <c r="AE38"/>
  <c r="K38"/>
  <c r="AM38" s="1"/>
  <c r="U36"/>
  <c r="AN36" s="1"/>
  <c r="AE34"/>
  <c r="K34"/>
  <c r="AM34" s="1"/>
  <c r="AE22"/>
  <c r="K22"/>
  <c r="U17"/>
  <c r="AJ39" s="1"/>
  <c r="AE14"/>
  <c r="AK36" s="1"/>
  <c r="K14"/>
  <c r="U12"/>
  <c r="AJ34" s="1"/>
  <c r="AP15" i="9"/>
  <c r="AP11"/>
  <c r="AV11"/>
  <c r="U22"/>
  <c r="K24"/>
  <c r="AI46" s="1"/>
  <c r="K22"/>
  <c r="AV15"/>
  <c r="AV13"/>
  <c r="AP19"/>
  <c r="AI34"/>
  <c r="AO41"/>
  <c r="AA196"/>
  <c r="O198"/>
  <c r="O200" s="1"/>
  <c r="O197"/>
  <c r="AA139"/>
  <c r="O141"/>
  <c r="O143" s="1"/>
  <c r="O140"/>
  <c r="N88"/>
  <c r="BD58"/>
  <c r="N84"/>
  <c r="BD22"/>
  <c r="N76"/>
  <c r="BD14"/>
  <c r="BB24"/>
  <c r="BB25"/>
  <c r="AZ24"/>
  <c r="AZ25"/>
  <c r="N85"/>
  <c r="BD23"/>
  <c r="N77"/>
  <c r="BD15"/>
  <c r="Q223"/>
  <c r="Q220"/>
  <c r="Q217"/>
  <c r="Q216"/>
  <c r="Q215"/>
  <c r="Q213"/>
  <c r="Q212"/>
  <c r="Q210"/>
  <c r="Q88"/>
  <c r="AR62" s="1"/>
  <c r="Q86"/>
  <c r="AR46" s="1"/>
  <c r="Q84"/>
  <c r="AR44" s="1"/>
  <c r="Q83"/>
  <c r="AR43" s="1"/>
  <c r="Q78"/>
  <c r="AR38" s="1"/>
  <c r="Q76"/>
  <c r="AR36" s="1"/>
  <c r="N71"/>
  <c r="Q222"/>
  <c r="Q221"/>
  <c r="Q218"/>
  <c r="Q214"/>
  <c r="Q211"/>
  <c r="Q209"/>
  <c r="Q207"/>
  <c r="Q206"/>
  <c r="Q87"/>
  <c r="AR47" s="1"/>
  <c r="Q85"/>
  <c r="AR45" s="1"/>
  <c r="Q82"/>
  <c r="AR42" s="1"/>
  <c r="Q81"/>
  <c r="Q80"/>
  <c r="Q79"/>
  <c r="Q77"/>
  <c r="AR37" s="1"/>
  <c r="Q75"/>
  <c r="AR35" s="1"/>
  <c r="Q74"/>
  <c r="Q73"/>
  <c r="Q71"/>
  <c r="Q70"/>
  <c r="AO44"/>
  <c r="U83"/>
  <c r="W83" s="1"/>
  <c r="AO43"/>
  <c r="AO42"/>
  <c r="U77"/>
  <c r="W77" s="1"/>
  <c r="AO37"/>
  <c r="AI47"/>
  <c r="AV20"/>
  <c r="AP20"/>
  <c r="AV18"/>
  <c r="AP18"/>
  <c r="AV16"/>
  <c r="AP16"/>
  <c r="AV14"/>
  <c r="AP14"/>
  <c r="AT35"/>
  <c r="AT13" s="1"/>
  <c r="AI35"/>
  <c r="AT33"/>
  <c r="AI33"/>
  <c r="N82"/>
  <c r="BD20"/>
  <c r="N81"/>
  <c r="BD19"/>
  <c r="N80"/>
  <c r="BD18"/>
  <c r="N79"/>
  <c r="BD17"/>
  <c r="N75"/>
  <c r="BD13"/>
  <c r="N74"/>
  <c r="BD12"/>
  <c r="N73"/>
  <c r="BD11"/>
  <c r="AE45"/>
  <c r="K45"/>
  <c r="AM45" s="1"/>
  <c r="U36"/>
  <c r="AN36" s="1"/>
  <c r="AE34"/>
  <c r="K34"/>
  <c r="AM34" s="1"/>
  <c r="AE24"/>
  <c r="AK46" s="1"/>
  <c r="AE22"/>
  <c r="AE20"/>
  <c r="K20"/>
  <c r="AE14"/>
  <c r="AK36" s="1"/>
  <c r="K14"/>
  <c r="K41"/>
  <c r="AM41" s="1"/>
  <c r="U39"/>
  <c r="AN39" s="1"/>
  <c r="AE38"/>
  <c r="K38"/>
  <c r="AM38" s="1"/>
  <c r="AE18"/>
  <c r="AK40" s="1"/>
  <c r="K18"/>
  <c r="U16"/>
  <c r="AJ38" s="1"/>
  <c r="AE12"/>
  <c r="AK34" s="1"/>
  <c r="AP25"/>
  <c r="AP23"/>
  <c r="AP17"/>
  <c r="AA256"/>
  <c r="O258"/>
  <c r="O260" s="1"/>
  <c r="O257"/>
  <c r="K219"/>
  <c r="I219"/>
  <c r="N219" s="1"/>
  <c r="AA169"/>
  <c r="O171"/>
  <c r="O173" s="1"/>
  <c r="O170"/>
  <c r="AA102"/>
  <c r="O104"/>
  <c r="O106" s="1"/>
  <c r="O103"/>
  <c r="N86"/>
  <c r="BD24"/>
  <c r="N83"/>
  <c r="BD21"/>
  <c r="BA25"/>
  <c r="BA24"/>
  <c r="AO46"/>
  <c r="AO40"/>
  <c r="U75"/>
  <c r="W75" s="1"/>
  <c r="AO35"/>
  <c r="U73"/>
  <c r="W73" s="1"/>
  <c r="AO33"/>
  <c r="AI45"/>
  <c r="AT43"/>
  <c r="AT21" s="1"/>
  <c r="AI43"/>
  <c r="AP43" s="1"/>
  <c r="AI42"/>
  <c r="AP42" s="1"/>
  <c r="AT41"/>
  <c r="AT19" s="1"/>
  <c r="AI39"/>
  <c r="AT37"/>
  <c r="AT15" s="1"/>
  <c r="AI37"/>
  <c r="AP37" s="1"/>
  <c r="AV12"/>
  <c r="AP12"/>
  <c r="AG5"/>
  <c r="AX7"/>
  <c r="AP58"/>
  <c r="AE47"/>
  <c r="K47"/>
  <c r="AM47" s="1"/>
  <c r="U45"/>
  <c r="AN45" s="1"/>
  <c r="B196"/>
  <c r="B198" s="1"/>
  <c r="B256"/>
  <c r="B258" s="1"/>
  <c r="B139"/>
  <c r="B141" s="1"/>
  <c r="AE36"/>
  <c r="K36"/>
  <c r="AM36" s="1"/>
  <c r="U34"/>
  <c r="AN34" s="1"/>
  <c r="U24"/>
  <c r="AP22"/>
  <c r="U20"/>
  <c r="U14"/>
  <c r="AJ36" s="1"/>
  <c r="AE39"/>
  <c r="K39"/>
  <c r="AM39" s="1"/>
  <c r="U38"/>
  <c r="AN38" s="1"/>
  <c r="AP24"/>
  <c r="U18"/>
  <c r="AJ40" s="1"/>
  <c r="AE16"/>
  <c r="AK38" s="1"/>
  <c r="K16"/>
  <c r="AI38" s="1"/>
  <c r="U12"/>
  <c r="AJ34" s="1"/>
  <c r="AZ28"/>
  <c r="BD30" s="1"/>
  <c r="AM44" i="8"/>
  <c r="U84"/>
  <c r="W84" s="1"/>
  <c r="AJ47"/>
  <c r="AW24"/>
  <c r="AP24"/>
  <c r="AJ45"/>
  <c r="AW19"/>
  <c r="AP19"/>
  <c r="AJ40"/>
  <c r="AJ38"/>
  <c r="U78"/>
  <c r="B196"/>
  <c r="B198" s="1"/>
  <c r="N84"/>
  <c r="BD22"/>
  <c r="BF22" s="1"/>
  <c r="B177"/>
  <c r="B179" s="1"/>
  <c r="B120"/>
  <c r="B122" s="1"/>
  <c r="AP25"/>
  <c r="BE25" s="1"/>
  <c r="AP20"/>
  <c r="AP16"/>
  <c r="AI43"/>
  <c r="AI36"/>
  <c r="AI34"/>
  <c r="AR25"/>
  <c r="AA139"/>
  <c r="O141"/>
  <c r="O143" s="1"/>
  <c r="O140"/>
  <c r="N77"/>
  <c r="BD15"/>
  <c r="AA169"/>
  <c r="O171"/>
  <c r="O173" s="1"/>
  <c r="O170"/>
  <c r="AA102"/>
  <c r="O104"/>
  <c r="O106" s="1"/>
  <c r="O103"/>
  <c r="N86"/>
  <c r="BD24"/>
  <c r="N83"/>
  <c r="BD21"/>
  <c r="N76"/>
  <c r="BD14"/>
  <c r="BB24"/>
  <c r="BB25"/>
  <c r="AO43"/>
  <c r="BA20"/>
  <c r="BA19"/>
  <c r="AI45"/>
  <c r="AK44"/>
  <c r="AK41"/>
  <c r="AI44"/>
  <c r="AT44"/>
  <c r="AT22" s="1"/>
  <c r="AI41"/>
  <c r="AI40"/>
  <c r="AT35"/>
  <c r="AT13" s="1"/>
  <c r="AI35"/>
  <c r="AX7"/>
  <c r="AG5"/>
  <c r="AP58"/>
  <c r="AE47"/>
  <c r="AE45"/>
  <c r="AO45" s="1"/>
  <c r="K45"/>
  <c r="AM45" s="1"/>
  <c r="B256"/>
  <c r="B258" s="1"/>
  <c r="B139"/>
  <c r="B141" s="1"/>
  <c r="AP38"/>
  <c r="K42"/>
  <c r="AM42" s="1"/>
  <c r="U40"/>
  <c r="AN40" s="1"/>
  <c r="AE34"/>
  <c r="K34"/>
  <c r="AM34" s="1"/>
  <c r="U24"/>
  <c r="AE21"/>
  <c r="AK43" s="1"/>
  <c r="U19"/>
  <c r="AE14"/>
  <c r="AK36" s="1"/>
  <c r="AP11"/>
  <c r="AP23"/>
  <c r="AP18"/>
  <c r="U36"/>
  <c r="AN36" s="1"/>
  <c r="U15"/>
  <c r="U17"/>
  <c r="AA256"/>
  <c r="O258"/>
  <c r="O260" s="1"/>
  <c r="O257"/>
  <c r="AA196"/>
  <c r="O198"/>
  <c r="O200" s="1"/>
  <c r="O197"/>
  <c r="N88"/>
  <c r="BD58"/>
  <c r="BA25"/>
  <c r="BA24"/>
  <c r="N85"/>
  <c r="BD23"/>
  <c r="N82"/>
  <c r="BD20"/>
  <c r="Q223"/>
  <c r="Q220"/>
  <c r="Q219"/>
  <c r="Q217"/>
  <c r="Q216"/>
  <c r="Q215"/>
  <c r="Q213"/>
  <c r="Q212"/>
  <c r="Q210"/>
  <c r="Q88"/>
  <c r="AR62" s="1"/>
  <c r="Q86"/>
  <c r="Q77"/>
  <c r="Q83"/>
  <c r="Q76"/>
  <c r="N71"/>
  <c r="Q222"/>
  <c r="Q221"/>
  <c r="Q218"/>
  <c r="Q214"/>
  <c r="Q211"/>
  <c r="Q209"/>
  <c r="Q207"/>
  <c r="Q206"/>
  <c r="Q87"/>
  <c r="AR47" s="1"/>
  <c r="Q85"/>
  <c r="Q84"/>
  <c r="Q82"/>
  <c r="Q81"/>
  <c r="Q80"/>
  <c r="Q79"/>
  <c r="Q78"/>
  <c r="Q75"/>
  <c r="AR35" s="1"/>
  <c r="Q74"/>
  <c r="Q73"/>
  <c r="Q71"/>
  <c r="Q70"/>
  <c r="BB19"/>
  <c r="BB20"/>
  <c r="AZ19"/>
  <c r="AZ20"/>
  <c r="W78"/>
  <c r="U75"/>
  <c r="W75" s="1"/>
  <c r="AO35"/>
  <c r="AO33"/>
  <c r="AV24"/>
  <c r="AV15"/>
  <c r="AP15"/>
  <c r="AR15" s="1"/>
  <c r="AJ44"/>
  <c r="AJ41"/>
  <c r="AV21"/>
  <c r="AP21"/>
  <c r="AV19"/>
  <c r="AV17"/>
  <c r="AP17"/>
  <c r="AV14"/>
  <c r="AP14"/>
  <c r="AV12"/>
  <c r="AZ28" s="1"/>
  <c r="BD30" s="1"/>
  <c r="AP12"/>
  <c r="N81"/>
  <c r="BD19"/>
  <c r="N80"/>
  <c r="BD18"/>
  <c r="N79"/>
  <c r="BD17"/>
  <c r="N75"/>
  <c r="BD13"/>
  <c r="N74"/>
  <c r="BD12"/>
  <c r="N73"/>
  <c r="BD11"/>
  <c r="AO27"/>
  <c r="AE58"/>
  <c r="AK62" s="1"/>
  <c r="AP62" s="1"/>
  <c r="U47"/>
  <c r="U87" s="1"/>
  <c r="W87" s="1"/>
  <c r="U45"/>
  <c r="AN45" s="1"/>
  <c r="B157"/>
  <c r="B159" s="1"/>
  <c r="B102"/>
  <c r="B104" s="1"/>
  <c r="U42"/>
  <c r="AN42" s="1"/>
  <c r="AE40"/>
  <c r="K40"/>
  <c r="AM40" s="1"/>
  <c r="U34"/>
  <c r="AN34" s="1"/>
  <c r="AE24"/>
  <c r="AK46" s="1"/>
  <c r="K24"/>
  <c r="U21"/>
  <c r="AE19"/>
  <c r="AK42" s="1"/>
  <c r="K19"/>
  <c r="U14"/>
  <c r="AJ36" s="1"/>
  <c r="U12"/>
  <c r="AJ34" s="1"/>
  <c r="U11"/>
  <c r="AE36"/>
  <c r="AE15"/>
  <c r="AK37" s="1"/>
  <c r="K15"/>
  <c r="AE17"/>
  <c r="AK39" s="1"/>
  <c r="K17"/>
  <c r="AE12"/>
  <c r="AK34" s="1"/>
  <c r="Q88" i="7"/>
  <c r="N88"/>
  <c r="AV24"/>
  <c r="K24"/>
  <c r="U24"/>
  <c r="AE24"/>
  <c r="AD275"/>
  <c r="U275"/>
  <c r="X275" s="1"/>
  <c r="R275"/>
  <c r="AD274"/>
  <c r="U274"/>
  <c r="X274" s="1"/>
  <c r="R274"/>
  <c r="AD273"/>
  <c r="U273"/>
  <c r="X273" s="1"/>
  <c r="R273"/>
  <c r="AD272"/>
  <c r="U272"/>
  <c r="X272" s="1"/>
  <c r="R272"/>
  <c r="AD271"/>
  <c r="U271"/>
  <c r="X271" s="1"/>
  <c r="R271"/>
  <c r="AD270"/>
  <c r="U270"/>
  <c r="X270" s="1"/>
  <c r="R270"/>
  <c r="AD269"/>
  <c r="AD276" s="1"/>
  <c r="U269"/>
  <c r="X269" s="1"/>
  <c r="X276" s="1"/>
  <c r="AD278" s="1"/>
  <c r="R269"/>
  <c r="O249"/>
  <c r="O250" s="1"/>
  <c r="B248"/>
  <c r="B249" s="1"/>
  <c r="B250" s="1"/>
  <c r="B252" s="1"/>
  <c r="M243"/>
  <c r="U239"/>
  <c r="X239" s="1"/>
  <c r="R239"/>
  <c r="U238"/>
  <c r="X238" s="1"/>
  <c r="R238"/>
  <c r="U237"/>
  <c r="X237" s="1"/>
  <c r="R237"/>
  <c r="U236"/>
  <c r="X236" s="1"/>
  <c r="R236"/>
  <c r="U235"/>
  <c r="X235" s="1"/>
  <c r="R235"/>
  <c r="U234"/>
  <c r="X234" s="1"/>
  <c r="R234"/>
  <c r="AD233"/>
  <c r="AI233" s="1"/>
  <c r="U233"/>
  <c r="X233" s="1"/>
  <c r="R233"/>
  <c r="AD232"/>
  <c r="AI232" s="1"/>
  <c r="U232"/>
  <c r="X232" s="1"/>
  <c r="X241" s="1"/>
  <c r="R232"/>
  <c r="X225"/>
  <c r="U225"/>
  <c r="W225" s="1"/>
  <c r="C225"/>
  <c r="E225" s="1"/>
  <c r="X224"/>
  <c r="U224"/>
  <c r="W224" s="1"/>
  <c r="G224"/>
  <c r="K224" s="1"/>
  <c r="E224"/>
  <c r="I224" s="1"/>
  <c r="N224" s="1"/>
  <c r="AF223"/>
  <c r="X223"/>
  <c r="U223"/>
  <c r="W223" s="1"/>
  <c r="K223"/>
  <c r="I223"/>
  <c r="N223" s="1"/>
  <c r="C223"/>
  <c r="E223" s="1"/>
  <c r="X222"/>
  <c r="U222"/>
  <c r="W222" s="1"/>
  <c r="G222"/>
  <c r="K222" s="1"/>
  <c r="X221"/>
  <c r="U221"/>
  <c r="W221" s="1"/>
  <c r="C221"/>
  <c r="G221" s="1"/>
  <c r="X220"/>
  <c r="U220"/>
  <c r="W220" s="1"/>
  <c r="C220"/>
  <c r="E220" s="1"/>
  <c r="X219"/>
  <c r="U219"/>
  <c r="W219" s="1"/>
  <c r="N219"/>
  <c r="K219"/>
  <c r="X218"/>
  <c r="U218"/>
  <c r="W218" s="1"/>
  <c r="C218"/>
  <c r="E218" s="1"/>
  <c r="X217"/>
  <c r="U217"/>
  <c r="W217" s="1"/>
  <c r="S217"/>
  <c r="C217"/>
  <c r="E217" s="1"/>
  <c r="X216"/>
  <c r="U216"/>
  <c r="W216" s="1"/>
  <c r="C216"/>
  <c r="E216" s="1"/>
  <c r="I216" s="1"/>
  <c r="N216" s="1"/>
  <c r="X215"/>
  <c r="U215"/>
  <c r="W215" s="1"/>
  <c r="C215"/>
  <c r="E215" s="1"/>
  <c r="X214"/>
  <c r="U214"/>
  <c r="W214" s="1"/>
  <c r="S214"/>
  <c r="C214"/>
  <c r="E214" s="1"/>
  <c r="X213"/>
  <c r="U213"/>
  <c r="W213" s="1"/>
  <c r="C213"/>
  <c r="E213" s="1"/>
  <c r="X212"/>
  <c r="W212"/>
  <c r="U212"/>
  <c r="E212"/>
  <c r="K212" s="1"/>
  <c r="C212"/>
  <c r="X211"/>
  <c r="U211"/>
  <c r="W211" s="1"/>
  <c r="C211"/>
  <c r="E211" s="1"/>
  <c r="K209"/>
  <c r="I209"/>
  <c r="N209" s="1"/>
  <c r="E209"/>
  <c r="C209"/>
  <c r="E208"/>
  <c r="I208" s="1"/>
  <c r="N208" s="1"/>
  <c r="B187"/>
  <c r="B188" s="1"/>
  <c r="B189" s="1"/>
  <c r="B190" s="1"/>
  <c r="B192" s="1"/>
  <c r="AG174"/>
  <c r="AJ174" s="1"/>
  <c r="AG173"/>
  <c r="AJ173" s="1"/>
  <c r="AG172"/>
  <c r="AJ172" s="1"/>
  <c r="AJ171"/>
  <c r="AG171"/>
  <c r="AJ170"/>
  <c r="O170"/>
  <c r="O178" s="1"/>
  <c r="O179" s="1"/>
  <c r="B169"/>
  <c r="B170" s="1"/>
  <c r="B171" s="1"/>
  <c r="B173" s="1"/>
  <c r="O150"/>
  <c r="O151" s="1"/>
  <c r="B149"/>
  <c r="B150" s="1"/>
  <c r="B151" s="1"/>
  <c r="B153" s="1"/>
  <c r="O132"/>
  <c r="O133" s="1"/>
  <c r="B131"/>
  <c r="B132" s="1"/>
  <c r="B133" s="1"/>
  <c r="B135" s="1"/>
  <c r="AI118"/>
  <c r="AE118"/>
  <c r="AI114"/>
  <c r="AI115" s="1"/>
  <c r="AL114" s="1"/>
  <c r="AL113" s="1"/>
  <c r="AO113" s="1"/>
  <c r="AO114" s="1"/>
  <c r="O113"/>
  <c r="O114" s="1"/>
  <c r="B112"/>
  <c r="B113" s="1"/>
  <c r="B114" s="1"/>
  <c r="B116" s="1"/>
  <c r="O95"/>
  <c r="O96" s="1"/>
  <c r="B94"/>
  <c r="B95" s="1"/>
  <c r="B96" s="1"/>
  <c r="B98" s="1"/>
  <c r="X90"/>
  <c r="U90"/>
  <c r="W90" s="1"/>
  <c r="C90"/>
  <c r="E90" s="1"/>
  <c r="K90" s="1"/>
  <c r="X89"/>
  <c r="X87"/>
  <c r="U87"/>
  <c r="W87" s="1"/>
  <c r="C87"/>
  <c r="E87" s="1"/>
  <c r="K87" s="1"/>
  <c r="X86"/>
  <c r="C86"/>
  <c r="E86" s="1"/>
  <c r="X85"/>
  <c r="U85"/>
  <c r="W85" s="1"/>
  <c r="E85"/>
  <c r="K85" s="1"/>
  <c r="X84"/>
  <c r="K84"/>
  <c r="I84"/>
  <c r="N84" s="1"/>
  <c r="C84"/>
  <c r="E84" s="1"/>
  <c r="X83"/>
  <c r="U83"/>
  <c r="W83" s="1"/>
  <c r="C83"/>
  <c r="E83" s="1"/>
  <c r="X82"/>
  <c r="C82"/>
  <c r="E82" s="1"/>
  <c r="K82" s="1"/>
  <c r="X81"/>
  <c r="U81"/>
  <c r="W81" s="1"/>
  <c r="C81"/>
  <c r="E81" s="1"/>
  <c r="K81" s="1"/>
  <c r="X80"/>
  <c r="C80"/>
  <c r="E80" s="1"/>
  <c r="X79"/>
  <c r="C79"/>
  <c r="E79" s="1"/>
  <c r="X78"/>
  <c r="U78"/>
  <c r="W78" s="1"/>
  <c r="C78"/>
  <c r="E78" s="1"/>
  <c r="X76"/>
  <c r="C76"/>
  <c r="E76" s="1"/>
  <c r="X75"/>
  <c r="C75"/>
  <c r="E75" s="1"/>
  <c r="X74"/>
  <c r="C74"/>
  <c r="E74" s="1"/>
  <c r="K74" s="1"/>
  <c r="X73"/>
  <c r="C73"/>
  <c r="E73" s="1"/>
  <c r="K70"/>
  <c r="K71" s="1"/>
  <c r="E71" s="1"/>
  <c r="AF62"/>
  <c r="BB58" s="1"/>
  <c r="AC62"/>
  <c r="Z62"/>
  <c r="V62"/>
  <c r="S62"/>
  <c r="P62"/>
  <c r="L62"/>
  <c r="AZ58" s="1"/>
  <c r="I62"/>
  <c r="F62"/>
  <c r="BA58"/>
  <c r="AM58"/>
  <c r="AL62" s="1"/>
  <c r="AJ58"/>
  <c r="AC58"/>
  <c r="Z58"/>
  <c r="AF58" s="1"/>
  <c r="AX58" s="1"/>
  <c r="V58"/>
  <c r="AW58" s="1"/>
  <c r="S58"/>
  <c r="P58"/>
  <c r="L58"/>
  <c r="I58"/>
  <c r="F58"/>
  <c r="B58"/>
  <c r="B62" s="1"/>
  <c r="C56"/>
  <c r="M56" s="1"/>
  <c r="W56" s="1"/>
  <c r="AG56" s="1"/>
  <c r="AW49"/>
  <c r="AC47"/>
  <c r="AF47" s="1"/>
  <c r="BB24" s="1"/>
  <c r="Z47"/>
  <c r="S47"/>
  <c r="V47" s="1"/>
  <c r="BA24" s="1"/>
  <c r="P47"/>
  <c r="I47"/>
  <c r="L47" s="1"/>
  <c r="AZ24" s="1"/>
  <c r="F47"/>
  <c r="AC45"/>
  <c r="Z45"/>
  <c r="S45"/>
  <c r="P45"/>
  <c r="V45" s="1"/>
  <c r="BA23" s="1"/>
  <c r="I45"/>
  <c r="F45"/>
  <c r="AC44"/>
  <c r="AF44" s="1"/>
  <c r="Z44"/>
  <c r="S44"/>
  <c r="V44" s="1"/>
  <c r="P44"/>
  <c r="I44"/>
  <c r="F44"/>
  <c r="AC43"/>
  <c r="Z43"/>
  <c r="S43"/>
  <c r="P43"/>
  <c r="I43"/>
  <c r="F43"/>
  <c r="AC42"/>
  <c r="Z42"/>
  <c r="S42"/>
  <c r="P42"/>
  <c r="V42" s="1"/>
  <c r="BA20" s="1"/>
  <c r="L42"/>
  <c r="I42"/>
  <c r="F42"/>
  <c r="AC41"/>
  <c r="Z41"/>
  <c r="AF41" s="1"/>
  <c r="S41"/>
  <c r="P41"/>
  <c r="V41" s="1"/>
  <c r="I41"/>
  <c r="F41"/>
  <c r="AC40"/>
  <c r="Z40"/>
  <c r="S40"/>
  <c r="P40"/>
  <c r="I40"/>
  <c r="F40"/>
  <c r="AC39"/>
  <c r="Z39"/>
  <c r="AF39" s="1"/>
  <c r="BB17" s="1"/>
  <c r="S39"/>
  <c r="P39"/>
  <c r="V39" s="1"/>
  <c r="BA17" s="1"/>
  <c r="I39"/>
  <c r="F39"/>
  <c r="AC38"/>
  <c r="Z38"/>
  <c r="S38"/>
  <c r="P38"/>
  <c r="I38"/>
  <c r="F38"/>
  <c r="AC37"/>
  <c r="Z37"/>
  <c r="AF37" s="1"/>
  <c r="BB15" s="1"/>
  <c r="S37"/>
  <c r="P37"/>
  <c r="V37" s="1"/>
  <c r="BA15" s="1"/>
  <c r="I37"/>
  <c r="F37"/>
  <c r="AC36"/>
  <c r="Z36"/>
  <c r="AF36" s="1"/>
  <c r="BB14" s="1"/>
  <c r="S36"/>
  <c r="P36"/>
  <c r="I36"/>
  <c r="F36"/>
  <c r="AC35"/>
  <c r="Z35"/>
  <c r="AF35" s="1"/>
  <c r="BB13" s="1"/>
  <c r="S35"/>
  <c r="P35"/>
  <c r="V35" s="1"/>
  <c r="BA13" s="1"/>
  <c r="I35"/>
  <c r="F35"/>
  <c r="L35" s="1"/>
  <c r="AZ13" s="1"/>
  <c r="AC34"/>
  <c r="Z34"/>
  <c r="AF34" s="1"/>
  <c r="BB12" s="1"/>
  <c r="S34"/>
  <c r="P34"/>
  <c r="V34" s="1"/>
  <c r="BA12" s="1"/>
  <c r="I34"/>
  <c r="F34"/>
  <c r="AC33"/>
  <c r="Z33"/>
  <c r="S33"/>
  <c r="P33"/>
  <c r="I33"/>
  <c r="F33"/>
  <c r="AI27"/>
  <c r="AJ27" s="1"/>
  <c r="AK27" s="1"/>
  <c r="AL27" s="1"/>
  <c r="BB25"/>
  <c r="BA25"/>
  <c r="AZ25"/>
  <c r="AM25"/>
  <c r="AJ25"/>
  <c r="AC25"/>
  <c r="Z25"/>
  <c r="S25"/>
  <c r="P25"/>
  <c r="I25"/>
  <c r="F25"/>
  <c r="B25"/>
  <c r="B47" s="1"/>
  <c r="AM23"/>
  <c r="AJ23"/>
  <c r="AC23"/>
  <c r="Z23"/>
  <c r="S23"/>
  <c r="P23"/>
  <c r="I23"/>
  <c r="F23"/>
  <c r="B23"/>
  <c r="B45" s="1"/>
  <c r="BB22"/>
  <c r="BA22"/>
  <c r="AM22"/>
  <c r="AJ22"/>
  <c r="AC22"/>
  <c r="Z22"/>
  <c r="S22"/>
  <c r="P22"/>
  <c r="I22"/>
  <c r="F22"/>
  <c r="B22"/>
  <c r="B44" s="1"/>
  <c r="AM21"/>
  <c r="AJ21"/>
  <c r="AC21"/>
  <c r="Z21"/>
  <c r="S21"/>
  <c r="P21"/>
  <c r="I21"/>
  <c r="F21"/>
  <c r="B21"/>
  <c r="B43" s="1"/>
  <c r="AZ20"/>
  <c r="AM20"/>
  <c r="AJ20"/>
  <c r="AC20"/>
  <c r="Z20"/>
  <c r="S20"/>
  <c r="P20"/>
  <c r="I20"/>
  <c r="F20"/>
  <c r="B20"/>
  <c r="B42" s="1"/>
  <c r="BB19"/>
  <c r="BA19"/>
  <c r="AM19"/>
  <c r="AJ19"/>
  <c r="AC19"/>
  <c r="Z19"/>
  <c r="S19"/>
  <c r="P19"/>
  <c r="I19"/>
  <c r="F19"/>
  <c r="L19" s="1"/>
  <c r="B19"/>
  <c r="B41" s="1"/>
  <c r="BB18"/>
  <c r="BA18"/>
  <c r="AM18"/>
  <c r="AJ18"/>
  <c r="AC18"/>
  <c r="Z18"/>
  <c r="S18"/>
  <c r="P18"/>
  <c r="I18"/>
  <c r="F18"/>
  <c r="B18"/>
  <c r="B40" s="1"/>
  <c r="AM17"/>
  <c r="AJ17"/>
  <c r="AO17" s="1"/>
  <c r="AC17"/>
  <c r="Z17"/>
  <c r="AF17" s="1"/>
  <c r="AX17" s="1"/>
  <c r="S17"/>
  <c r="P17"/>
  <c r="V17" s="1"/>
  <c r="AW17" s="1"/>
  <c r="I17"/>
  <c r="F17"/>
  <c r="L17" s="1"/>
  <c r="B17"/>
  <c r="B39" s="1"/>
  <c r="AM16"/>
  <c r="AJ16"/>
  <c r="AC16"/>
  <c r="Z16"/>
  <c r="S16"/>
  <c r="P16"/>
  <c r="I16"/>
  <c r="F16"/>
  <c r="B16"/>
  <c r="B38" s="1"/>
  <c r="AM15"/>
  <c r="AJ15"/>
  <c r="AO15" s="1"/>
  <c r="AC15"/>
  <c r="Z15"/>
  <c r="AF15" s="1"/>
  <c r="AX15" s="1"/>
  <c r="S15"/>
  <c r="P15"/>
  <c r="I15"/>
  <c r="F15"/>
  <c r="B15"/>
  <c r="B37" s="1"/>
  <c r="AM14"/>
  <c r="AJ14"/>
  <c r="AO14" s="1"/>
  <c r="AC14"/>
  <c r="Z14"/>
  <c r="S14"/>
  <c r="P14"/>
  <c r="I14"/>
  <c r="F14"/>
  <c r="B14"/>
  <c r="B36" s="1"/>
  <c r="AM13"/>
  <c r="AJ13"/>
  <c r="AC13"/>
  <c r="Z13"/>
  <c r="S13"/>
  <c r="P13"/>
  <c r="I13"/>
  <c r="F13"/>
  <c r="B13"/>
  <c r="B35" s="1"/>
  <c r="AM12"/>
  <c r="AJ12"/>
  <c r="AC12"/>
  <c r="Z12"/>
  <c r="S12"/>
  <c r="P12"/>
  <c r="I12"/>
  <c r="F12"/>
  <c r="B12"/>
  <c r="B34" s="1"/>
  <c r="AM11"/>
  <c r="AJ11"/>
  <c r="AC11"/>
  <c r="Z11"/>
  <c r="S11"/>
  <c r="P11"/>
  <c r="I11"/>
  <c r="F11"/>
  <c r="B11"/>
  <c r="B33" s="1"/>
  <c r="AV7"/>
  <c r="M5"/>
  <c r="W5" s="1"/>
  <c r="AD275" i="6"/>
  <c r="X275"/>
  <c r="U275"/>
  <c r="R275"/>
  <c r="AD274"/>
  <c r="X274"/>
  <c r="U274"/>
  <c r="R274"/>
  <c r="AD273"/>
  <c r="X273"/>
  <c r="U273"/>
  <c r="R273"/>
  <c r="AD272"/>
  <c r="X272"/>
  <c r="U272"/>
  <c r="R272"/>
  <c r="AD271"/>
  <c r="X271"/>
  <c r="U271"/>
  <c r="R271"/>
  <c r="AD270"/>
  <c r="X270"/>
  <c r="U270"/>
  <c r="R270"/>
  <c r="AD269"/>
  <c r="AD276" s="1"/>
  <c r="X269"/>
  <c r="X276" s="1"/>
  <c r="U269"/>
  <c r="R269"/>
  <c r="O257"/>
  <c r="O258" s="1"/>
  <c r="O249"/>
  <c r="O250" s="1"/>
  <c r="B249"/>
  <c r="B250" s="1"/>
  <c r="B252" s="1"/>
  <c r="B248"/>
  <c r="M243"/>
  <c r="X239"/>
  <c r="U239"/>
  <c r="R239"/>
  <c r="U238"/>
  <c r="X238" s="1"/>
  <c r="R238"/>
  <c r="X237"/>
  <c r="U237"/>
  <c r="R237"/>
  <c r="U236"/>
  <c r="X236" s="1"/>
  <c r="R236"/>
  <c r="X235"/>
  <c r="U235"/>
  <c r="R235"/>
  <c r="U234"/>
  <c r="X234" s="1"/>
  <c r="R234"/>
  <c r="AI233"/>
  <c r="AD233"/>
  <c r="X233"/>
  <c r="U233"/>
  <c r="R233"/>
  <c r="AD232"/>
  <c r="AI232" s="1"/>
  <c r="U232"/>
  <c r="X232" s="1"/>
  <c r="X241" s="1"/>
  <c r="R232"/>
  <c r="X225"/>
  <c r="U225"/>
  <c r="W225" s="1"/>
  <c r="C225"/>
  <c r="E225" s="1"/>
  <c r="X224"/>
  <c r="W224"/>
  <c r="U224"/>
  <c r="G224"/>
  <c r="K224" s="1"/>
  <c r="E224"/>
  <c r="I224" s="1"/>
  <c r="N224" s="1"/>
  <c r="AF223"/>
  <c r="X223"/>
  <c r="W223"/>
  <c r="U223"/>
  <c r="K223"/>
  <c r="I223"/>
  <c r="N223" s="1"/>
  <c r="E223"/>
  <c r="C223"/>
  <c r="X222"/>
  <c r="U222"/>
  <c r="W222" s="1"/>
  <c r="I222"/>
  <c r="N222" s="1"/>
  <c r="G222"/>
  <c r="K222" s="1"/>
  <c r="E222"/>
  <c r="C222"/>
  <c r="X221"/>
  <c r="U221"/>
  <c r="W221" s="1"/>
  <c r="E221"/>
  <c r="K221" s="1"/>
  <c r="C221"/>
  <c r="G221" s="1"/>
  <c r="X220"/>
  <c r="W220"/>
  <c r="U220"/>
  <c r="E220"/>
  <c r="I220" s="1"/>
  <c r="N220" s="1"/>
  <c r="C220"/>
  <c r="X219"/>
  <c r="U219"/>
  <c r="W219" s="1"/>
  <c r="N219"/>
  <c r="K219"/>
  <c r="X218"/>
  <c r="U218"/>
  <c r="W218" s="1"/>
  <c r="C218"/>
  <c r="E218" s="1"/>
  <c r="X217"/>
  <c r="W217"/>
  <c r="U217"/>
  <c r="S217"/>
  <c r="C217"/>
  <c r="E217" s="1"/>
  <c r="X216"/>
  <c r="W216"/>
  <c r="U216"/>
  <c r="E216"/>
  <c r="I216" s="1"/>
  <c r="N216" s="1"/>
  <c r="C216"/>
  <c r="X215"/>
  <c r="U215"/>
  <c r="W215" s="1"/>
  <c r="C215"/>
  <c r="E215" s="1"/>
  <c r="X214"/>
  <c r="W214"/>
  <c r="U214"/>
  <c r="S214"/>
  <c r="C214"/>
  <c r="E214" s="1"/>
  <c r="X213"/>
  <c r="U213"/>
  <c r="W213" s="1"/>
  <c r="C213"/>
  <c r="E213" s="1"/>
  <c r="X212"/>
  <c r="W212"/>
  <c r="U212"/>
  <c r="E212"/>
  <c r="K212" s="1"/>
  <c r="C212"/>
  <c r="X211"/>
  <c r="U211"/>
  <c r="W211" s="1"/>
  <c r="C211"/>
  <c r="E211" s="1"/>
  <c r="K209"/>
  <c r="I209"/>
  <c r="N209" s="1"/>
  <c r="E209"/>
  <c r="C209"/>
  <c r="E208"/>
  <c r="I208" s="1"/>
  <c r="N208" s="1"/>
  <c r="O189"/>
  <c r="O190" s="1"/>
  <c r="B188"/>
  <c r="B189" s="1"/>
  <c r="B190" s="1"/>
  <c r="B192" s="1"/>
  <c r="B187"/>
  <c r="AG174"/>
  <c r="AJ174" s="1"/>
  <c r="AG173"/>
  <c r="AJ173" s="1"/>
  <c r="AG172"/>
  <c r="AJ172" s="1"/>
  <c r="AJ171"/>
  <c r="AK175" s="1"/>
  <c r="AG171"/>
  <c r="AJ170"/>
  <c r="O170"/>
  <c r="O178" s="1"/>
  <c r="O179" s="1"/>
  <c r="B169"/>
  <c r="B170" s="1"/>
  <c r="B171" s="1"/>
  <c r="B173" s="1"/>
  <c r="O158"/>
  <c r="O159" s="1"/>
  <c r="O150"/>
  <c r="O151" s="1"/>
  <c r="B150"/>
  <c r="B151" s="1"/>
  <c r="B153" s="1"/>
  <c r="B149"/>
  <c r="O132"/>
  <c r="O133" s="1"/>
  <c r="B131"/>
  <c r="B132" s="1"/>
  <c r="B133" s="1"/>
  <c r="B135" s="1"/>
  <c r="O121"/>
  <c r="O122" s="1"/>
  <c r="AI118"/>
  <c r="AE118"/>
  <c r="AI114"/>
  <c r="AI115" s="1"/>
  <c r="AL114" s="1"/>
  <c r="AL113" s="1"/>
  <c r="AO113" s="1"/>
  <c r="AO114" s="1"/>
  <c r="O113"/>
  <c r="O114" s="1"/>
  <c r="B113"/>
  <c r="B114" s="1"/>
  <c r="B116" s="1"/>
  <c r="B112"/>
  <c r="O95"/>
  <c r="O96" s="1"/>
  <c r="B94"/>
  <c r="B95" s="1"/>
  <c r="B96" s="1"/>
  <c r="B98" s="1"/>
  <c r="X90"/>
  <c r="W90"/>
  <c r="U90"/>
  <c r="E90"/>
  <c r="K90" s="1"/>
  <c r="C90"/>
  <c r="X89"/>
  <c r="C89"/>
  <c r="E89" s="1"/>
  <c r="X88"/>
  <c r="W88"/>
  <c r="U88"/>
  <c r="E88"/>
  <c r="K88" s="1"/>
  <c r="C88"/>
  <c r="X87"/>
  <c r="C87"/>
  <c r="E87" s="1"/>
  <c r="X86"/>
  <c r="W86"/>
  <c r="U86"/>
  <c r="E86"/>
  <c r="K86" s="1"/>
  <c r="X85"/>
  <c r="K85"/>
  <c r="I85"/>
  <c r="N85" s="1"/>
  <c r="E85"/>
  <c r="C85"/>
  <c r="X84"/>
  <c r="U84"/>
  <c r="W84" s="1"/>
  <c r="C84"/>
  <c r="E84" s="1"/>
  <c r="X83"/>
  <c r="E83"/>
  <c r="K83" s="1"/>
  <c r="C83"/>
  <c r="X82"/>
  <c r="U82"/>
  <c r="W82" s="1"/>
  <c r="E82"/>
  <c r="K82" s="1"/>
  <c r="C82"/>
  <c r="X81"/>
  <c r="E81"/>
  <c r="K81" s="1"/>
  <c r="C81"/>
  <c r="X80"/>
  <c r="C80"/>
  <c r="E80" s="1"/>
  <c r="X79"/>
  <c r="U79"/>
  <c r="W79" s="1"/>
  <c r="C79"/>
  <c r="E79" s="1"/>
  <c r="X78"/>
  <c r="S78"/>
  <c r="C78"/>
  <c r="E78" s="1"/>
  <c r="X77"/>
  <c r="E77"/>
  <c r="K77" s="1"/>
  <c r="C77"/>
  <c r="X76"/>
  <c r="C76"/>
  <c r="E76" s="1"/>
  <c r="X75"/>
  <c r="S75"/>
  <c r="E75"/>
  <c r="K75" s="1"/>
  <c r="C75"/>
  <c r="X74"/>
  <c r="E74"/>
  <c r="K74" s="1"/>
  <c r="C74"/>
  <c r="X73"/>
  <c r="E73"/>
  <c r="K73" s="1"/>
  <c r="C73"/>
  <c r="K70"/>
  <c r="K71" s="1"/>
  <c r="E71" s="1"/>
  <c r="E70"/>
  <c r="I70" s="1"/>
  <c r="N70" s="1"/>
  <c r="AF62"/>
  <c r="BB58" s="1"/>
  <c r="AC62"/>
  <c r="AE62" s="1"/>
  <c r="AO62" s="1"/>
  <c r="Z62"/>
  <c r="V62"/>
  <c r="S62"/>
  <c r="U62" s="1"/>
  <c r="AN62" s="1"/>
  <c r="P62"/>
  <c r="L62"/>
  <c r="AZ58" s="1"/>
  <c r="I62"/>
  <c r="K62" s="1"/>
  <c r="AM62" s="1"/>
  <c r="F62"/>
  <c r="BA58"/>
  <c r="AM58"/>
  <c r="AL62" s="1"/>
  <c r="AJ58"/>
  <c r="AO58" s="1"/>
  <c r="AY58" s="1"/>
  <c r="AF58"/>
  <c r="AX58" s="1"/>
  <c r="AC58"/>
  <c r="AE58" s="1"/>
  <c r="AK62" s="1"/>
  <c r="Z58"/>
  <c r="V58"/>
  <c r="AW58" s="1"/>
  <c r="S58"/>
  <c r="U58" s="1"/>
  <c r="AJ62" s="1"/>
  <c r="P58"/>
  <c r="L58"/>
  <c r="AP58" s="1"/>
  <c r="I58"/>
  <c r="K58" s="1"/>
  <c r="AI62" s="1"/>
  <c r="AP62" s="1"/>
  <c r="F58"/>
  <c r="B58"/>
  <c r="B62" s="1"/>
  <c r="C56"/>
  <c r="M56" s="1"/>
  <c r="W56" s="1"/>
  <c r="AG56" s="1"/>
  <c r="AW49"/>
  <c r="AC47"/>
  <c r="AF47" s="1"/>
  <c r="Z47"/>
  <c r="S47"/>
  <c r="V47" s="1"/>
  <c r="P47"/>
  <c r="I47"/>
  <c r="L47" s="1"/>
  <c r="F47"/>
  <c r="AC46"/>
  <c r="Z46"/>
  <c r="S46"/>
  <c r="P46"/>
  <c r="I46"/>
  <c r="F46"/>
  <c r="AC45"/>
  <c r="Z45"/>
  <c r="S45"/>
  <c r="P45"/>
  <c r="I45"/>
  <c r="F45"/>
  <c r="AC44"/>
  <c r="Z44"/>
  <c r="S44"/>
  <c r="P44"/>
  <c r="I44"/>
  <c r="F44"/>
  <c r="AC43"/>
  <c r="Z43"/>
  <c r="S43"/>
  <c r="V43" s="1"/>
  <c r="P43"/>
  <c r="I43"/>
  <c r="L43" s="1"/>
  <c r="F43"/>
  <c r="AC42"/>
  <c r="Z42"/>
  <c r="S42"/>
  <c r="P42"/>
  <c r="I42"/>
  <c r="F42"/>
  <c r="AC41"/>
  <c r="Z41"/>
  <c r="AF41" s="1"/>
  <c r="S41"/>
  <c r="V41" s="1"/>
  <c r="P41"/>
  <c r="I41"/>
  <c r="F41"/>
  <c r="L41" s="1"/>
  <c r="AC40"/>
  <c r="AF40" s="1"/>
  <c r="BB18" s="1"/>
  <c r="Z40"/>
  <c r="S40"/>
  <c r="V40" s="1"/>
  <c r="BA18" s="1"/>
  <c r="P40"/>
  <c r="I40"/>
  <c r="F40"/>
  <c r="AC39"/>
  <c r="Z39"/>
  <c r="S39"/>
  <c r="P39"/>
  <c r="I39"/>
  <c r="F39"/>
  <c r="AF38"/>
  <c r="AC38"/>
  <c r="Z38"/>
  <c r="V38"/>
  <c r="S38"/>
  <c r="P38"/>
  <c r="L38"/>
  <c r="I38"/>
  <c r="F38"/>
  <c r="AC37"/>
  <c r="Z37"/>
  <c r="S37"/>
  <c r="P37"/>
  <c r="I37"/>
  <c r="F37"/>
  <c r="AC36"/>
  <c r="Z36"/>
  <c r="S36"/>
  <c r="V36" s="1"/>
  <c r="BA14" s="1"/>
  <c r="P36"/>
  <c r="I36"/>
  <c r="L36" s="1"/>
  <c r="AZ14" s="1"/>
  <c r="F36"/>
  <c r="AF35"/>
  <c r="AC35"/>
  <c r="Z35"/>
  <c r="AE35" s="1"/>
  <c r="V35"/>
  <c r="S35"/>
  <c r="P35"/>
  <c r="U35" s="1"/>
  <c r="AN35" s="1"/>
  <c r="L35"/>
  <c r="I35"/>
  <c r="F35"/>
  <c r="AC34"/>
  <c r="Z34"/>
  <c r="AF34" s="1"/>
  <c r="BB12" s="1"/>
  <c r="S34"/>
  <c r="P34"/>
  <c r="V34" s="1"/>
  <c r="BA12" s="1"/>
  <c r="I34"/>
  <c r="F34"/>
  <c r="L34" s="1"/>
  <c r="AZ12" s="1"/>
  <c r="AC33"/>
  <c r="Z33"/>
  <c r="S33"/>
  <c r="P33"/>
  <c r="I33"/>
  <c r="F33"/>
  <c r="AJ27"/>
  <c r="AK27" s="1"/>
  <c r="AL27" s="1"/>
  <c r="AI27"/>
  <c r="BB25"/>
  <c r="BA25"/>
  <c r="AZ25"/>
  <c r="AM25"/>
  <c r="AJ25"/>
  <c r="AO25" s="1"/>
  <c r="AC25"/>
  <c r="Z25"/>
  <c r="S25"/>
  <c r="P25"/>
  <c r="I25"/>
  <c r="F25"/>
  <c r="B25"/>
  <c r="B47" s="1"/>
  <c r="AM24"/>
  <c r="AJ24"/>
  <c r="AO24" s="1"/>
  <c r="AC24"/>
  <c r="Z24"/>
  <c r="AF24" s="1"/>
  <c r="AX24" s="1"/>
  <c r="S24"/>
  <c r="P24"/>
  <c r="V24" s="1"/>
  <c r="AW24" s="1"/>
  <c r="I24"/>
  <c r="F24"/>
  <c r="L24" s="1"/>
  <c r="B24"/>
  <c r="B46" s="1"/>
  <c r="AM23"/>
  <c r="AJ23"/>
  <c r="AO23" s="1"/>
  <c r="AC23"/>
  <c r="Z23"/>
  <c r="S23"/>
  <c r="P23"/>
  <c r="I23"/>
  <c r="F23"/>
  <c r="L23" s="1"/>
  <c r="AV23" s="1"/>
  <c r="B23"/>
  <c r="B45" s="1"/>
  <c r="AM22"/>
  <c r="AJ22"/>
  <c r="AO22" s="1"/>
  <c r="AC22"/>
  <c r="Z22"/>
  <c r="AF22" s="1"/>
  <c r="AX22" s="1"/>
  <c r="S22"/>
  <c r="P22"/>
  <c r="V22" s="1"/>
  <c r="AW22" s="1"/>
  <c r="I22"/>
  <c r="F22"/>
  <c r="L22" s="1"/>
  <c r="B22"/>
  <c r="B44" s="1"/>
  <c r="BA21"/>
  <c r="AZ21"/>
  <c r="AM21"/>
  <c r="AJ21"/>
  <c r="AO21" s="1"/>
  <c r="AC21"/>
  <c r="Z21"/>
  <c r="S21"/>
  <c r="P21"/>
  <c r="I21"/>
  <c r="F21"/>
  <c r="B21"/>
  <c r="B43" s="1"/>
  <c r="AM20"/>
  <c r="AJ20"/>
  <c r="AO20" s="1"/>
  <c r="AC20"/>
  <c r="Z20"/>
  <c r="S20"/>
  <c r="P20"/>
  <c r="V20" s="1"/>
  <c r="AW20" s="1"/>
  <c r="I20"/>
  <c r="F20"/>
  <c r="L20" s="1"/>
  <c r="B20"/>
  <c r="B42" s="1"/>
  <c r="AM19"/>
  <c r="AJ19"/>
  <c r="AO19" s="1"/>
  <c r="AC19"/>
  <c r="Z19"/>
  <c r="S19"/>
  <c r="P19"/>
  <c r="I19"/>
  <c r="F19"/>
  <c r="B19"/>
  <c r="B41" s="1"/>
  <c r="AM18"/>
  <c r="AJ18"/>
  <c r="AO18" s="1"/>
  <c r="AC18"/>
  <c r="Z18"/>
  <c r="S18"/>
  <c r="P18"/>
  <c r="V18" s="1"/>
  <c r="AW18" s="1"/>
  <c r="I18"/>
  <c r="F18"/>
  <c r="L18" s="1"/>
  <c r="B18"/>
  <c r="B40" s="1"/>
  <c r="AM17"/>
  <c r="AJ17"/>
  <c r="AO17" s="1"/>
  <c r="AC17"/>
  <c r="Z17"/>
  <c r="S17"/>
  <c r="P17"/>
  <c r="I17"/>
  <c r="F17"/>
  <c r="B17"/>
  <c r="B39" s="1"/>
  <c r="BB16"/>
  <c r="BA16"/>
  <c r="AZ16"/>
  <c r="AM16"/>
  <c r="AJ16"/>
  <c r="AO16" s="1"/>
  <c r="AC16"/>
  <c r="Z16"/>
  <c r="AF16" s="1"/>
  <c r="AX16" s="1"/>
  <c r="V16"/>
  <c r="AW16" s="1"/>
  <c r="S16"/>
  <c r="P16"/>
  <c r="L16"/>
  <c r="I16"/>
  <c r="F16"/>
  <c r="B16"/>
  <c r="B38" s="1"/>
  <c r="AM15"/>
  <c r="AJ15"/>
  <c r="AO15" s="1"/>
  <c r="AC15"/>
  <c r="Z15"/>
  <c r="S15"/>
  <c r="P15"/>
  <c r="I15"/>
  <c r="F15"/>
  <c r="B15"/>
  <c r="B37" s="1"/>
  <c r="AM14"/>
  <c r="AJ14"/>
  <c r="AO14" s="1"/>
  <c r="AC14"/>
  <c r="Z14"/>
  <c r="S14"/>
  <c r="V14" s="1"/>
  <c r="AW14" s="1"/>
  <c r="P14"/>
  <c r="I14"/>
  <c r="L14" s="1"/>
  <c r="F14"/>
  <c r="B14"/>
  <c r="B36" s="1"/>
  <c r="BB13"/>
  <c r="BA13"/>
  <c r="AZ13"/>
  <c r="AM13"/>
  <c r="AJ13"/>
  <c r="AO13" s="1"/>
  <c r="AC13"/>
  <c r="Z13"/>
  <c r="V13"/>
  <c r="AW13" s="1"/>
  <c r="S13"/>
  <c r="P13"/>
  <c r="U13" s="1"/>
  <c r="AJ35" s="1"/>
  <c r="L13"/>
  <c r="AV13" s="1"/>
  <c r="I13"/>
  <c r="F13"/>
  <c r="B13"/>
  <c r="B35" s="1"/>
  <c r="AM12"/>
  <c r="AJ12"/>
  <c r="AO12" s="1"/>
  <c r="AC12"/>
  <c r="Z12"/>
  <c r="AF12" s="1"/>
  <c r="AX12" s="1"/>
  <c r="V12"/>
  <c r="AW12" s="1"/>
  <c r="S12"/>
  <c r="U12" s="1"/>
  <c r="AJ34" s="1"/>
  <c r="P12"/>
  <c r="L12"/>
  <c r="I12"/>
  <c r="F12"/>
  <c r="B12"/>
  <c r="B34" s="1"/>
  <c r="AM11"/>
  <c r="AJ11"/>
  <c r="AO11" s="1"/>
  <c r="AC11"/>
  <c r="Z11"/>
  <c r="S11"/>
  <c r="P11"/>
  <c r="I11"/>
  <c r="F11"/>
  <c r="B11"/>
  <c r="B33" s="1"/>
  <c r="AV7"/>
  <c r="M5"/>
  <c r="AW7" s="1"/>
  <c r="AD275" i="5"/>
  <c r="U275"/>
  <c r="X275" s="1"/>
  <c r="R275"/>
  <c r="AD274"/>
  <c r="U274"/>
  <c r="X274" s="1"/>
  <c r="R274"/>
  <c r="AD273"/>
  <c r="U273"/>
  <c r="X273" s="1"/>
  <c r="R273"/>
  <c r="AD272"/>
  <c r="U272"/>
  <c r="X272" s="1"/>
  <c r="R272"/>
  <c r="AD271"/>
  <c r="U271"/>
  <c r="X271" s="1"/>
  <c r="R271"/>
  <c r="AD270"/>
  <c r="U270"/>
  <c r="X270" s="1"/>
  <c r="R270"/>
  <c r="AD269"/>
  <c r="AD276" s="1"/>
  <c r="U269"/>
  <c r="X269" s="1"/>
  <c r="R269"/>
  <c r="O249"/>
  <c r="O250" s="1"/>
  <c r="B248"/>
  <c r="B249" s="1"/>
  <c r="B250" s="1"/>
  <c r="B252" s="1"/>
  <c r="M243"/>
  <c r="U239"/>
  <c r="X239" s="1"/>
  <c r="R239"/>
  <c r="X238"/>
  <c r="U238"/>
  <c r="R238"/>
  <c r="U237"/>
  <c r="X237" s="1"/>
  <c r="R237"/>
  <c r="X236"/>
  <c r="U236"/>
  <c r="R236"/>
  <c r="U235"/>
  <c r="X235" s="1"/>
  <c r="R235"/>
  <c r="X234"/>
  <c r="U234"/>
  <c r="R234"/>
  <c r="AD233"/>
  <c r="AI233" s="1"/>
  <c r="U233"/>
  <c r="X233" s="1"/>
  <c r="R233"/>
  <c r="AI232"/>
  <c r="AD232"/>
  <c r="AD241" s="1"/>
  <c r="AD243" s="1"/>
  <c r="X232"/>
  <c r="X241" s="1"/>
  <c r="U232"/>
  <c r="R232"/>
  <c r="X225"/>
  <c r="U225"/>
  <c r="W225" s="1"/>
  <c r="C225"/>
  <c r="E225" s="1"/>
  <c r="X224"/>
  <c r="U224"/>
  <c r="W224" s="1"/>
  <c r="G224"/>
  <c r="K224" s="1"/>
  <c r="E224"/>
  <c r="I224" s="1"/>
  <c r="N224" s="1"/>
  <c r="AF223"/>
  <c r="X223"/>
  <c r="U223"/>
  <c r="W223" s="1"/>
  <c r="K223"/>
  <c r="I223"/>
  <c r="N223" s="1"/>
  <c r="C223"/>
  <c r="E223" s="1"/>
  <c r="X222"/>
  <c r="W222"/>
  <c r="U222"/>
  <c r="G222"/>
  <c r="K222" s="1"/>
  <c r="C222"/>
  <c r="E222" s="1"/>
  <c r="X221"/>
  <c r="U221"/>
  <c r="W221" s="1"/>
  <c r="C221"/>
  <c r="G221" s="1"/>
  <c r="X220"/>
  <c r="U220"/>
  <c r="W220" s="1"/>
  <c r="C220"/>
  <c r="E220" s="1"/>
  <c r="X219"/>
  <c r="U219"/>
  <c r="W219" s="1"/>
  <c r="N219"/>
  <c r="K219"/>
  <c r="X218"/>
  <c r="U218"/>
  <c r="W218" s="1"/>
  <c r="C218"/>
  <c r="E218" s="1"/>
  <c r="X217"/>
  <c r="W217"/>
  <c r="U217"/>
  <c r="S217"/>
  <c r="C217"/>
  <c r="E217" s="1"/>
  <c r="X216"/>
  <c r="W216"/>
  <c r="U216"/>
  <c r="E216"/>
  <c r="I216" s="1"/>
  <c r="N216" s="1"/>
  <c r="C216"/>
  <c r="X215"/>
  <c r="U215"/>
  <c r="W215" s="1"/>
  <c r="C215"/>
  <c r="E215" s="1"/>
  <c r="X214"/>
  <c r="W214"/>
  <c r="U214"/>
  <c r="S214"/>
  <c r="C214"/>
  <c r="E214" s="1"/>
  <c r="X213"/>
  <c r="U213"/>
  <c r="W213" s="1"/>
  <c r="C213"/>
  <c r="E213" s="1"/>
  <c r="X212"/>
  <c r="W212"/>
  <c r="U212"/>
  <c r="E212"/>
  <c r="K212" s="1"/>
  <c r="C212"/>
  <c r="X211"/>
  <c r="U211"/>
  <c r="W211" s="1"/>
  <c r="C211"/>
  <c r="E211" s="1"/>
  <c r="K209"/>
  <c r="I209"/>
  <c r="N209" s="1"/>
  <c r="E209"/>
  <c r="C209"/>
  <c r="E208"/>
  <c r="I208" s="1"/>
  <c r="N208" s="1"/>
  <c r="O189"/>
  <c r="O190" s="1"/>
  <c r="B188"/>
  <c r="B189" s="1"/>
  <c r="B190" s="1"/>
  <c r="B192" s="1"/>
  <c r="B187"/>
  <c r="AG174"/>
  <c r="AJ174" s="1"/>
  <c r="AG173"/>
  <c r="AJ173" s="1"/>
  <c r="AG172"/>
  <c r="AJ172" s="1"/>
  <c r="AJ171"/>
  <c r="AG171"/>
  <c r="AJ170"/>
  <c r="O170"/>
  <c r="O178" s="1"/>
  <c r="O179" s="1"/>
  <c r="B169"/>
  <c r="B170" s="1"/>
  <c r="B171" s="1"/>
  <c r="B173" s="1"/>
  <c r="O158"/>
  <c r="O159" s="1"/>
  <c r="O150"/>
  <c r="O151" s="1"/>
  <c r="B150"/>
  <c r="B151" s="1"/>
  <c r="B153" s="1"/>
  <c r="B149"/>
  <c r="O132"/>
  <c r="O133" s="1"/>
  <c r="B131"/>
  <c r="B132" s="1"/>
  <c r="B133" s="1"/>
  <c r="B135" s="1"/>
  <c r="O121"/>
  <c r="O122" s="1"/>
  <c r="AI118"/>
  <c r="AE118"/>
  <c r="AI114"/>
  <c r="AI115" s="1"/>
  <c r="AL114" s="1"/>
  <c r="AL113" s="1"/>
  <c r="AO113" s="1"/>
  <c r="AO114" s="1"/>
  <c r="O113"/>
  <c r="O114" s="1"/>
  <c r="B113"/>
  <c r="B114" s="1"/>
  <c r="B116" s="1"/>
  <c r="B112"/>
  <c r="O95"/>
  <c r="O96" s="1"/>
  <c r="B94"/>
  <c r="B95" s="1"/>
  <c r="B96" s="1"/>
  <c r="B98" s="1"/>
  <c r="X90"/>
  <c r="U90"/>
  <c r="W90" s="1"/>
  <c r="E90"/>
  <c r="K90" s="1"/>
  <c r="C90"/>
  <c r="X89"/>
  <c r="C89"/>
  <c r="E89" s="1"/>
  <c r="X88"/>
  <c r="W88"/>
  <c r="U88"/>
  <c r="E88"/>
  <c r="K88" s="1"/>
  <c r="C88"/>
  <c r="X87"/>
  <c r="C87"/>
  <c r="E87" s="1"/>
  <c r="X86"/>
  <c r="W86"/>
  <c r="U86"/>
  <c r="E86"/>
  <c r="K86" s="1"/>
  <c r="X85"/>
  <c r="K85"/>
  <c r="I85"/>
  <c r="N85" s="1"/>
  <c r="E85"/>
  <c r="C85"/>
  <c r="X84"/>
  <c r="U84"/>
  <c r="W84" s="1"/>
  <c r="C84"/>
  <c r="E84" s="1"/>
  <c r="X83"/>
  <c r="E83"/>
  <c r="K83" s="1"/>
  <c r="C83"/>
  <c r="X82"/>
  <c r="W82"/>
  <c r="U82"/>
  <c r="E82"/>
  <c r="K82" s="1"/>
  <c r="C82"/>
  <c r="X81"/>
  <c r="E81"/>
  <c r="K81" s="1"/>
  <c r="C81"/>
  <c r="X80"/>
  <c r="E80"/>
  <c r="K80" s="1"/>
  <c r="C80"/>
  <c r="X79"/>
  <c r="U79"/>
  <c r="W79" s="1"/>
  <c r="C79"/>
  <c r="E79" s="1"/>
  <c r="X78"/>
  <c r="S78"/>
  <c r="C78"/>
  <c r="E78" s="1"/>
  <c r="X77"/>
  <c r="E77"/>
  <c r="K77" s="1"/>
  <c r="C77"/>
  <c r="X76"/>
  <c r="C76"/>
  <c r="E76" s="1"/>
  <c r="X75"/>
  <c r="S75"/>
  <c r="E75"/>
  <c r="K75" s="1"/>
  <c r="C75"/>
  <c r="X74"/>
  <c r="E74"/>
  <c r="K74" s="1"/>
  <c r="C74"/>
  <c r="X73"/>
  <c r="E73"/>
  <c r="K73" s="1"/>
  <c r="C73"/>
  <c r="K70"/>
  <c r="K71" s="1"/>
  <c r="E71" s="1"/>
  <c r="E70"/>
  <c r="I70" s="1"/>
  <c r="N70" s="1"/>
  <c r="AF62"/>
  <c r="BB58" s="1"/>
  <c r="AC62"/>
  <c r="Z62"/>
  <c r="V62"/>
  <c r="S62"/>
  <c r="U62" s="1"/>
  <c r="AN62" s="1"/>
  <c r="P62"/>
  <c r="L62"/>
  <c r="AZ58" s="1"/>
  <c r="I62"/>
  <c r="K62" s="1"/>
  <c r="AM62" s="1"/>
  <c r="F62"/>
  <c r="BA58"/>
  <c r="AM58"/>
  <c r="AL62" s="1"/>
  <c r="AJ58"/>
  <c r="AO58" s="1"/>
  <c r="AY58" s="1"/>
  <c r="AF58"/>
  <c r="AX58" s="1"/>
  <c r="AC58"/>
  <c r="AE58" s="1"/>
  <c r="AK62" s="1"/>
  <c r="Z58"/>
  <c r="V58"/>
  <c r="AW58" s="1"/>
  <c r="S58"/>
  <c r="U58" s="1"/>
  <c r="AJ62" s="1"/>
  <c r="P58"/>
  <c r="L58"/>
  <c r="AP58" s="1"/>
  <c r="I58"/>
  <c r="K58" s="1"/>
  <c r="AI62" s="1"/>
  <c r="F58"/>
  <c r="B58"/>
  <c r="B62" s="1"/>
  <c r="C56"/>
  <c r="M56" s="1"/>
  <c r="W56" s="1"/>
  <c r="AG56" s="1"/>
  <c r="AW49"/>
  <c r="AC47"/>
  <c r="Z47"/>
  <c r="AF47" s="1"/>
  <c r="BB25" s="1"/>
  <c r="S47"/>
  <c r="V47" s="1"/>
  <c r="P47"/>
  <c r="I47"/>
  <c r="L47" s="1"/>
  <c r="F47"/>
  <c r="AC46"/>
  <c r="Z46"/>
  <c r="S46"/>
  <c r="V46" s="1"/>
  <c r="P46"/>
  <c r="I46"/>
  <c r="F46"/>
  <c r="AC45"/>
  <c r="Z45"/>
  <c r="AF45" s="1"/>
  <c r="BB23" s="1"/>
  <c r="S45"/>
  <c r="V45" s="1"/>
  <c r="P45"/>
  <c r="I45"/>
  <c r="L45" s="1"/>
  <c r="F45"/>
  <c r="AC44"/>
  <c r="Z44"/>
  <c r="S44"/>
  <c r="P44"/>
  <c r="I44"/>
  <c r="F44"/>
  <c r="AC43"/>
  <c r="Z43"/>
  <c r="AF43" s="1"/>
  <c r="BB21" s="1"/>
  <c r="S43"/>
  <c r="P43"/>
  <c r="V43" s="1"/>
  <c r="BA21" s="1"/>
  <c r="I43"/>
  <c r="F43"/>
  <c r="L43" s="1"/>
  <c r="AZ21" s="1"/>
  <c r="AC42"/>
  <c r="Z42"/>
  <c r="AF42" s="1"/>
  <c r="S42"/>
  <c r="P42"/>
  <c r="I42"/>
  <c r="F42"/>
  <c r="AC41"/>
  <c r="Z41"/>
  <c r="AF41" s="1"/>
  <c r="S41"/>
  <c r="P41"/>
  <c r="V41" s="1"/>
  <c r="I41"/>
  <c r="F41"/>
  <c r="L41" s="1"/>
  <c r="AC40"/>
  <c r="Z40"/>
  <c r="AF40" s="1"/>
  <c r="BB18" s="1"/>
  <c r="S40"/>
  <c r="P40"/>
  <c r="I40"/>
  <c r="F40"/>
  <c r="AC39"/>
  <c r="Z39"/>
  <c r="S39"/>
  <c r="P39"/>
  <c r="V39" s="1"/>
  <c r="BA17" s="1"/>
  <c r="I39"/>
  <c r="F39"/>
  <c r="L39" s="1"/>
  <c r="AZ17" s="1"/>
  <c r="AF38"/>
  <c r="AC38"/>
  <c r="AE38" s="1"/>
  <c r="Z38"/>
  <c r="S38"/>
  <c r="P38"/>
  <c r="L38"/>
  <c r="I38"/>
  <c r="F38"/>
  <c r="AC37"/>
  <c r="Z37"/>
  <c r="S37"/>
  <c r="P37"/>
  <c r="V37" s="1"/>
  <c r="BA15" s="1"/>
  <c r="I37"/>
  <c r="F37"/>
  <c r="L37" s="1"/>
  <c r="AZ15" s="1"/>
  <c r="AC36"/>
  <c r="Z36"/>
  <c r="AF36" s="1"/>
  <c r="BB14" s="1"/>
  <c r="S36"/>
  <c r="P36"/>
  <c r="I36"/>
  <c r="F36"/>
  <c r="AF35"/>
  <c r="AC35"/>
  <c r="Z35"/>
  <c r="AE35" s="1"/>
  <c r="S35"/>
  <c r="V35" s="1"/>
  <c r="BA13" s="1"/>
  <c r="P35"/>
  <c r="L35"/>
  <c r="I35"/>
  <c r="F35"/>
  <c r="K35" s="1"/>
  <c r="AF34"/>
  <c r="AC34"/>
  <c r="AE34" s="1"/>
  <c r="Z34"/>
  <c r="S34"/>
  <c r="P34"/>
  <c r="L34"/>
  <c r="I34"/>
  <c r="F34"/>
  <c r="AC33"/>
  <c r="Z33"/>
  <c r="S33"/>
  <c r="P33"/>
  <c r="V33" s="1"/>
  <c r="BA11" s="1"/>
  <c r="I33"/>
  <c r="F33"/>
  <c r="L33" s="1"/>
  <c r="AZ11" s="1"/>
  <c r="AI27"/>
  <c r="AJ27" s="1"/>
  <c r="AK27" s="1"/>
  <c r="AL27" s="1"/>
  <c r="BA25"/>
  <c r="AZ25"/>
  <c r="AM25"/>
  <c r="AJ25"/>
  <c r="AO25" s="1"/>
  <c r="AC25"/>
  <c r="Z25"/>
  <c r="AF25" s="1"/>
  <c r="AX25" s="1"/>
  <c r="S25"/>
  <c r="P25"/>
  <c r="V25" s="1"/>
  <c r="AW25" s="1"/>
  <c r="I25"/>
  <c r="F25"/>
  <c r="L25" s="1"/>
  <c r="B25"/>
  <c r="B47" s="1"/>
  <c r="BA24"/>
  <c r="AM24"/>
  <c r="AJ24"/>
  <c r="AO24" s="1"/>
  <c r="AC24"/>
  <c r="Z24"/>
  <c r="S24"/>
  <c r="P24"/>
  <c r="I24"/>
  <c r="F24"/>
  <c r="B24"/>
  <c r="B46" s="1"/>
  <c r="BA23"/>
  <c r="AZ23"/>
  <c r="AM23"/>
  <c r="AJ23"/>
  <c r="AO23" s="1"/>
  <c r="AC23"/>
  <c r="Z23"/>
  <c r="AF23" s="1"/>
  <c r="AX23" s="1"/>
  <c r="S23"/>
  <c r="P23"/>
  <c r="V23" s="1"/>
  <c r="AW23" s="1"/>
  <c r="I23"/>
  <c r="F23"/>
  <c r="L23" s="1"/>
  <c r="B23"/>
  <c r="B45" s="1"/>
  <c r="AM22"/>
  <c r="AJ22"/>
  <c r="AO22" s="1"/>
  <c r="AC22"/>
  <c r="Z22"/>
  <c r="S22"/>
  <c r="P22"/>
  <c r="I22"/>
  <c r="F22"/>
  <c r="B22"/>
  <c r="B44" s="1"/>
  <c r="AM21"/>
  <c r="AJ21"/>
  <c r="AO21" s="1"/>
  <c r="AC21"/>
  <c r="Z21"/>
  <c r="AF21" s="1"/>
  <c r="AX21" s="1"/>
  <c r="S21"/>
  <c r="P21"/>
  <c r="I21"/>
  <c r="F21"/>
  <c r="L21" s="1"/>
  <c r="B21"/>
  <c r="B43" s="1"/>
  <c r="AM20"/>
  <c r="AJ20"/>
  <c r="AO20" s="1"/>
  <c r="AC20"/>
  <c r="Z20"/>
  <c r="S20"/>
  <c r="P20"/>
  <c r="I20"/>
  <c r="F20"/>
  <c r="B20"/>
  <c r="B42" s="1"/>
  <c r="AM19"/>
  <c r="AJ19"/>
  <c r="AO19" s="1"/>
  <c r="AC19"/>
  <c r="Z19"/>
  <c r="AF19" s="1"/>
  <c r="AX19" s="1"/>
  <c r="S19"/>
  <c r="P19"/>
  <c r="V19" s="1"/>
  <c r="AW19" s="1"/>
  <c r="I19"/>
  <c r="F19"/>
  <c r="L19" s="1"/>
  <c r="B19"/>
  <c r="B41" s="1"/>
  <c r="AM18"/>
  <c r="AJ18"/>
  <c r="AO18" s="1"/>
  <c r="AC18"/>
  <c r="Z18"/>
  <c r="S18"/>
  <c r="P18"/>
  <c r="I18"/>
  <c r="F18"/>
  <c r="B18"/>
  <c r="B40" s="1"/>
  <c r="AM17"/>
  <c r="AJ17"/>
  <c r="AO17" s="1"/>
  <c r="AC17"/>
  <c r="Z17"/>
  <c r="AF17" s="1"/>
  <c r="AX17" s="1"/>
  <c r="S17"/>
  <c r="P17"/>
  <c r="V17" s="1"/>
  <c r="AW17" s="1"/>
  <c r="I17"/>
  <c r="F17"/>
  <c r="L17" s="1"/>
  <c r="B17"/>
  <c r="B39" s="1"/>
  <c r="BB16"/>
  <c r="AZ16"/>
  <c r="AM16"/>
  <c r="AJ16"/>
  <c r="AO16" s="1"/>
  <c r="AC16"/>
  <c r="Z16"/>
  <c r="AF16" s="1"/>
  <c r="AX16" s="1"/>
  <c r="V16"/>
  <c r="AW16" s="1"/>
  <c r="S16"/>
  <c r="U16" s="1"/>
  <c r="AJ38" s="1"/>
  <c r="P16"/>
  <c r="L16"/>
  <c r="AV16" s="1"/>
  <c r="I16"/>
  <c r="F16"/>
  <c r="B16"/>
  <c r="B38" s="1"/>
  <c r="AM15"/>
  <c r="AJ15"/>
  <c r="AO15" s="1"/>
  <c r="AC15"/>
  <c r="Z15"/>
  <c r="AF15" s="1"/>
  <c r="AX15" s="1"/>
  <c r="S15"/>
  <c r="P15"/>
  <c r="V15" s="1"/>
  <c r="AW15" s="1"/>
  <c r="I15"/>
  <c r="F15"/>
  <c r="L15" s="1"/>
  <c r="B15"/>
  <c r="B37" s="1"/>
  <c r="AM14"/>
  <c r="AJ14"/>
  <c r="AO14" s="1"/>
  <c r="AC14"/>
  <c r="Z14"/>
  <c r="S14"/>
  <c r="P14"/>
  <c r="I14"/>
  <c r="F14"/>
  <c r="B14"/>
  <c r="B36" s="1"/>
  <c r="BB13"/>
  <c r="AZ13"/>
  <c r="AM13"/>
  <c r="AJ13"/>
  <c r="AO13" s="1"/>
  <c r="AC13"/>
  <c r="Z13"/>
  <c r="AF13" s="1"/>
  <c r="AX13" s="1"/>
  <c r="S13"/>
  <c r="P13"/>
  <c r="V13" s="1"/>
  <c r="AW13" s="1"/>
  <c r="I13"/>
  <c r="F13"/>
  <c r="L13" s="1"/>
  <c r="B13"/>
  <c r="B35" s="1"/>
  <c r="BB12"/>
  <c r="AZ12"/>
  <c r="AM12"/>
  <c r="AJ12"/>
  <c r="AO12" s="1"/>
  <c r="AC12"/>
  <c r="Z12"/>
  <c r="S12"/>
  <c r="P12"/>
  <c r="I12"/>
  <c r="F12"/>
  <c r="B12"/>
  <c r="B34" s="1"/>
  <c r="AM11"/>
  <c r="AJ11"/>
  <c r="AO11" s="1"/>
  <c r="AC11"/>
  <c r="Z11"/>
  <c r="AF11" s="1"/>
  <c r="AX11" s="1"/>
  <c r="S11"/>
  <c r="P11"/>
  <c r="V11" s="1"/>
  <c r="AW11" s="1"/>
  <c r="I11"/>
  <c r="F11"/>
  <c r="B11"/>
  <c r="B33" s="1"/>
  <c r="AV7"/>
  <c r="M5"/>
  <c r="AW7" s="1"/>
  <c r="AD275" i="4"/>
  <c r="X275"/>
  <c r="U275"/>
  <c r="R275"/>
  <c r="AD274"/>
  <c r="X274"/>
  <c r="U274"/>
  <c r="R274"/>
  <c r="AD273"/>
  <c r="X273"/>
  <c r="U273"/>
  <c r="R273"/>
  <c r="AD272"/>
  <c r="X272"/>
  <c r="U272"/>
  <c r="R272"/>
  <c r="AD271"/>
  <c r="X271"/>
  <c r="U271"/>
  <c r="R271"/>
  <c r="AD270"/>
  <c r="X270"/>
  <c r="U270"/>
  <c r="R270"/>
  <c r="AD269"/>
  <c r="AD276" s="1"/>
  <c r="X269"/>
  <c r="X276" s="1"/>
  <c r="U269"/>
  <c r="R269"/>
  <c r="O257"/>
  <c r="O258" s="1"/>
  <c r="O249"/>
  <c r="O250" s="1"/>
  <c r="B249"/>
  <c r="B250" s="1"/>
  <c r="B252" s="1"/>
  <c r="B248"/>
  <c r="M243"/>
  <c r="X239"/>
  <c r="U239"/>
  <c r="R239"/>
  <c r="U238"/>
  <c r="X238" s="1"/>
  <c r="R238"/>
  <c r="X237"/>
  <c r="U237"/>
  <c r="R237"/>
  <c r="U236"/>
  <c r="X236" s="1"/>
  <c r="R236"/>
  <c r="X235"/>
  <c r="U235"/>
  <c r="R235"/>
  <c r="U234"/>
  <c r="X234" s="1"/>
  <c r="R234"/>
  <c r="AI233"/>
  <c r="AD233"/>
  <c r="X233"/>
  <c r="U233"/>
  <c r="R233"/>
  <c r="AD232"/>
  <c r="AI232" s="1"/>
  <c r="U232"/>
  <c r="X232" s="1"/>
  <c r="R232"/>
  <c r="X225"/>
  <c r="U225"/>
  <c r="W225" s="1"/>
  <c r="C225"/>
  <c r="E225" s="1"/>
  <c r="X224"/>
  <c r="W224"/>
  <c r="U224"/>
  <c r="G224"/>
  <c r="K224" s="1"/>
  <c r="E224"/>
  <c r="I224" s="1"/>
  <c r="N224" s="1"/>
  <c r="AF223"/>
  <c r="X223"/>
  <c r="W223"/>
  <c r="U223"/>
  <c r="K223"/>
  <c r="I223"/>
  <c r="N223" s="1"/>
  <c r="E223"/>
  <c r="C223"/>
  <c r="X222"/>
  <c r="U222"/>
  <c r="W222" s="1"/>
  <c r="I222"/>
  <c r="N222" s="1"/>
  <c r="G222"/>
  <c r="K222" s="1"/>
  <c r="E222"/>
  <c r="C222"/>
  <c r="X221"/>
  <c r="U221"/>
  <c r="W221" s="1"/>
  <c r="E221"/>
  <c r="K221" s="1"/>
  <c r="C221"/>
  <c r="G221" s="1"/>
  <c r="X220"/>
  <c r="W220"/>
  <c r="U220"/>
  <c r="E220"/>
  <c r="I220" s="1"/>
  <c r="N220" s="1"/>
  <c r="C220"/>
  <c r="X219"/>
  <c r="U219"/>
  <c r="W219" s="1"/>
  <c r="N219"/>
  <c r="K219"/>
  <c r="X218"/>
  <c r="U218"/>
  <c r="W218" s="1"/>
  <c r="C218"/>
  <c r="E218" s="1"/>
  <c r="X217"/>
  <c r="W217"/>
  <c r="U217"/>
  <c r="S217"/>
  <c r="C217"/>
  <c r="E217" s="1"/>
  <c r="X216"/>
  <c r="W216"/>
  <c r="U216"/>
  <c r="E216"/>
  <c r="I216" s="1"/>
  <c r="N216" s="1"/>
  <c r="C216"/>
  <c r="X215"/>
  <c r="U215"/>
  <c r="W215" s="1"/>
  <c r="C215"/>
  <c r="E215" s="1"/>
  <c r="X214"/>
  <c r="W214"/>
  <c r="U214"/>
  <c r="S214"/>
  <c r="C214"/>
  <c r="E214" s="1"/>
  <c r="X213"/>
  <c r="W213"/>
  <c r="U213"/>
  <c r="E213"/>
  <c r="I213" s="1"/>
  <c r="N213" s="1"/>
  <c r="C213"/>
  <c r="X212"/>
  <c r="U212"/>
  <c r="W212" s="1"/>
  <c r="C212"/>
  <c r="E212" s="1"/>
  <c r="X211"/>
  <c r="W211"/>
  <c r="U211"/>
  <c r="E211"/>
  <c r="I211" s="1"/>
  <c r="N211" s="1"/>
  <c r="C211"/>
  <c r="K209"/>
  <c r="E209"/>
  <c r="I209" s="1"/>
  <c r="N209" s="1"/>
  <c r="I208"/>
  <c r="N208" s="1"/>
  <c r="E208"/>
  <c r="C208"/>
  <c r="B187"/>
  <c r="O189" s="1"/>
  <c r="O178"/>
  <c r="O179" s="1"/>
  <c r="AJ174"/>
  <c r="AG174"/>
  <c r="AJ173"/>
  <c r="AG173"/>
  <c r="AJ172"/>
  <c r="AG172"/>
  <c r="AG171"/>
  <c r="AJ171" s="1"/>
  <c r="O171"/>
  <c r="AA171" s="1"/>
  <c r="AJ170"/>
  <c r="AK175" s="1"/>
  <c r="O170"/>
  <c r="B170"/>
  <c r="B171" s="1"/>
  <c r="B173" s="1"/>
  <c r="B169"/>
  <c r="O150"/>
  <c r="O158" s="1"/>
  <c r="O159" s="1"/>
  <c r="B149"/>
  <c r="B150" s="1"/>
  <c r="B151" s="1"/>
  <c r="B153" s="1"/>
  <c r="O140"/>
  <c r="O141" s="1"/>
  <c r="O132"/>
  <c r="O133" s="1"/>
  <c r="B132"/>
  <c r="B133" s="1"/>
  <c r="B135" s="1"/>
  <c r="B131"/>
  <c r="AI118"/>
  <c r="AE118"/>
  <c r="AI114"/>
  <c r="O113"/>
  <c r="O121" s="1"/>
  <c r="O122" s="1"/>
  <c r="B112"/>
  <c r="B113" s="1"/>
  <c r="B114" s="1"/>
  <c r="B116" s="1"/>
  <c r="O103"/>
  <c r="O104" s="1"/>
  <c r="O95"/>
  <c r="O96" s="1"/>
  <c r="B95"/>
  <c r="B96" s="1"/>
  <c r="B98" s="1"/>
  <c r="B94"/>
  <c r="X90"/>
  <c r="U90"/>
  <c r="W90" s="1"/>
  <c r="C90"/>
  <c r="E90" s="1"/>
  <c r="X89"/>
  <c r="E89"/>
  <c r="I89" s="1"/>
  <c r="N89" s="1"/>
  <c r="C89"/>
  <c r="X88"/>
  <c r="U88"/>
  <c r="W88" s="1"/>
  <c r="C88"/>
  <c r="E88" s="1"/>
  <c r="X87"/>
  <c r="E87"/>
  <c r="I87" s="1"/>
  <c r="N87" s="1"/>
  <c r="C87"/>
  <c r="X86"/>
  <c r="U86"/>
  <c r="W86" s="1"/>
  <c r="I86"/>
  <c r="N86" s="1"/>
  <c r="E86"/>
  <c r="K86" s="1"/>
  <c r="X85"/>
  <c r="K85"/>
  <c r="I85"/>
  <c r="N85" s="1"/>
  <c r="C85"/>
  <c r="E85" s="1"/>
  <c r="X84"/>
  <c r="W84"/>
  <c r="U84"/>
  <c r="E84"/>
  <c r="I84" s="1"/>
  <c r="N84" s="1"/>
  <c r="C84"/>
  <c r="X83"/>
  <c r="C83"/>
  <c r="E83" s="1"/>
  <c r="X82"/>
  <c r="U82"/>
  <c r="W82" s="1"/>
  <c r="C82"/>
  <c r="E82" s="1"/>
  <c r="X81"/>
  <c r="C81"/>
  <c r="E81" s="1"/>
  <c r="X80"/>
  <c r="C80"/>
  <c r="E80" s="1"/>
  <c r="X79"/>
  <c r="W79"/>
  <c r="U79"/>
  <c r="E79"/>
  <c r="I79" s="1"/>
  <c r="N79" s="1"/>
  <c r="C79"/>
  <c r="X78"/>
  <c r="S78"/>
  <c r="E78"/>
  <c r="I78" s="1"/>
  <c r="N78" s="1"/>
  <c r="C78"/>
  <c r="X77"/>
  <c r="C77"/>
  <c r="E77" s="1"/>
  <c r="X76"/>
  <c r="E76"/>
  <c r="I76" s="1"/>
  <c r="N76" s="1"/>
  <c r="C76"/>
  <c r="X75"/>
  <c r="S75"/>
  <c r="C75"/>
  <c r="E75" s="1"/>
  <c r="K75" s="1"/>
  <c r="X74"/>
  <c r="I74"/>
  <c r="N74" s="1"/>
  <c r="C74"/>
  <c r="E74" s="1"/>
  <c r="K74" s="1"/>
  <c r="X73"/>
  <c r="C73"/>
  <c r="E73" s="1"/>
  <c r="K73" s="1"/>
  <c r="I71"/>
  <c r="N71" s="1"/>
  <c r="K70"/>
  <c r="K71" s="1"/>
  <c r="E71" s="1"/>
  <c r="C71" s="1"/>
  <c r="I70"/>
  <c r="N70" s="1"/>
  <c r="E70"/>
  <c r="C70"/>
  <c r="AF62"/>
  <c r="AC62"/>
  <c r="Z62"/>
  <c r="AE62" s="1"/>
  <c r="AO62" s="1"/>
  <c r="V62"/>
  <c r="S62"/>
  <c r="P62"/>
  <c r="U62" s="1"/>
  <c r="AN62" s="1"/>
  <c r="L62"/>
  <c r="I62"/>
  <c r="F62"/>
  <c r="K62" s="1"/>
  <c r="AM62" s="1"/>
  <c r="BB58"/>
  <c r="BA58"/>
  <c r="AZ58"/>
  <c r="AV58"/>
  <c r="AM58"/>
  <c r="AL62" s="1"/>
  <c r="AJ58"/>
  <c r="AO58" s="1"/>
  <c r="AY58" s="1"/>
  <c r="AC58"/>
  <c r="Z58"/>
  <c r="AF58" s="1"/>
  <c r="AX58" s="1"/>
  <c r="V58"/>
  <c r="AW58" s="1"/>
  <c r="S58"/>
  <c r="P58"/>
  <c r="U58" s="1"/>
  <c r="AJ62" s="1"/>
  <c r="L58"/>
  <c r="I58"/>
  <c r="F58"/>
  <c r="K58" s="1"/>
  <c r="AI62" s="1"/>
  <c r="B58"/>
  <c r="B62" s="1"/>
  <c r="AG56"/>
  <c r="M56"/>
  <c r="W56" s="1"/>
  <c r="C56"/>
  <c r="AW49"/>
  <c r="AF47"/>
  <c r="AC47"/>
  <c r="Z47"/>
  <c r="AE47" s="1"/>
  <c r="S47"/>
  <c r="P47"/>
  <c r="V47" s="1"/>
  <c r="I47"/>
  <c r="F47"/>
  <c r="L47" s="1"/>
  <c r="AF46"/>
  <c r="AC46"/>
  <c r="AE46" s="1"/>
  <c r="AO46" s="1"/>
  <c r="Z46"/>
  <c r="V46"/>
  <c r="S46"/>
  <c r="P46"/>
  <c r="I46"/>
  <c r="L46" s="1"/>
  <c r="AZ24" s="1"/>
  <c r="F46"/>
  <c r="AF45"/>
  <c r="AC45"/>
  <c r="Z45"/>
  <c r="AE45" s="1"/>
  <c r="AO45" s="1"/>
  <c r="S45"/>
  <c r="P45"/>
  <c r="V45" s="1"/>
  <c r="I45"/>
  <c r="F45"/>
  <c r="L45" s="1"/>
  <c r="AF44"/>
  <c r="AC44"/>
  <c r="AE44" s="1"/>
  <c r="Z44"/>
  <c r="V44"/>
  <c r="S44"/>
  <c r="P44"/>
  <c r="I44"/>
  <c r="L44" s="1"/>
  <c r="AZ22" s="1"/>
  <c r="F44"/>
  <c r="AF43"/>
  <c r="AC43"/>
  <c r="Z43"/>
  <c r="AE43" s="1"/>
  <c r="S43"/>
  <c r="P43"/>
  <c r="V43" s="1"/>
  <c r="I43"/>
  <c r="F43"/>
  <c r="L43" s="1"/>
  <c r="AF42"/>
  <c r="AC42"/>
  <c r="AE42" s="1"/>
  <c r="AO42" s="1"/>
  <c r="Z42"/>
  <c r="S42"/>
  <c r="V42" s="1"/>
  <c r="P42"/>
  <c r="I42"/>
  <c r="L42" s="1"/>
  <c r="F42"/>
  <c r="AC41"/>
  <c r="Z41"/>
  <c r="S41"/>
  <c r="P41"/>
  <c r="I41"/>
  <c r="F41"/>
  <c r="AF40"/>
  <c r="AC40"/>
  <c r="AE40" s="1"/>
  <c r="Z40"/>
  <c r="S40"/>
  <c r="V40" s="1"/>
  <c r="BA18" s="1"/>
  <c r="P40"/>
  <c r="I40"/>
  <c r="L40" s="1"/>
  <c r="AZ18" s="1"/>
  <c r="F40"/>
  <c r="AF39"/>
  <c r="AC39"/>
  <c r="Z39"/>
  <c r="AE39" s="1"/>
  <c r="AO39" s="1"/>
  <c r="S39"/>
  <c r="P39"/>
  <c r="I39"/>
  <c r="F39"/>
  <c r="AF38"/>
  <c r="AC38"/>
  <c r="AE38" s="1"/>
  <c r="Z38"/>
  <c r="S38"/>
  <c r="V38" s="1"/>
  <c r="BA16" s="1"/>
  <c r="P38"/>
  <c r="L38"/>
  <c r="I38"/>
  <c r="K38" s="1"/>
  <c r="AM38" s="1"/>
  <c r="F38"/>
  <c r="AF37"/>
  <c r="AC37"/>
  <c r="Z37"/>
  <c r="AE37" s="1"/>
  <c r="S37"/>
  <c r="P37"/>
  <c r="I37"/>
  <c r="F37"/>
  <c r="AF36"/>
  <c r="AC36"/>
  <c r="AE36" s="1"/>
  <c r="Z36"/>
  <c r="S36"/>
  <c r="V36" s="1"/>
  <c r="BA14" s="1"/>
  <c r="P36"/>
  <c r="I36"/>
  <c r="L36" s="1"/>
  <c r="AZ14" s="1"/>
  <c r="F36"/>
  <c r="AF35"/>
  <c r="AC35"/>
  <c r="Z35"/>
  <c r="AE35" s="1"/>
  <c r="S35"/>
  <c r="V35" s="1"/>
  <c r="BA13" s="1"/>
  <c r="P35"/>
  <c r="U35" s="1"/>
  <c r="AN35" s="1"/>
  <c r="L35"/>
  <c r="I35"/>
  <c r="F35"/>
  <c r="K35" s="1"/>
  <c r="AF34"/>
  <c r="AC34"/>
  <c r="AE34" s="1"/>
  <c r="Z34"/>
  <c r="S34"/>
  <c r="V34" s="1"/>
  <c r="BA12" s="1"/>
  <c r="P34"/>
  <c r="L34"/>
  <c r="I34"/>
  <c r="K34" s="1"/>
  <c r="AM34" s="1"/>
  <c r="F34"/>
  <c r="AF33"/>
  <c r="AC33"/>
  <c r="Z33"/>
  <c r="AE33" s="1"/>
  <c r="S33"/>
  <c r="P33"/>
  <c r="I33"/>
  <c r="F33"/>
  <c r="AJ27"/>
  <c r="AK27" s="1"/>
  <c r="AL27" s="1"/>
  <c r="AI27"/>
  <c r="BD25"/>
  <c r="BB25"/>
  <c r="BA25"/>
  <c r="AZ25"/>
  <c r="AM25"/>
  <c r="AJ25"/>
  <c r="AO25" s="1"/>
  <c r="AC25"/>
  <c r="Z25"/>
  <c r="S25"/>
  <c r="P25"/>
  <c r="I25"/>
  <c r="F25"/>
  <c r="B25"/>
  <c r="B47" s="1"/>
  <c r="BB24"/>
  <c r="BA24"/>
  <c r="AM24"/>
  <c r="AJ24"/>
  <c r="AO24" s="1"/>
  <c r="AC24"/>
  <c r="AF24" s="1"/>
  <c r="AX24" s="1"/>
  <c r="Z24"/>
  <c r="S24"/>
  <c r="V24" s="1"/>
  <c r="AW24" s="1"/>
  <c r="P24"/>
  <c r="I24"/>
  <c r="L24" s="1"/>
  <c r="F24"/>
  <c r="B24"/>
  <c r="B46" s="1"/>
  <c r="BD23"/>
  <c r="BB23"/>
  <c r="BA23"/>
  <c r="AZ23"/>
  <c r="AM23"/>
  <c r="AJ23"/>
  <c r="AO23" s="1"/>
  <c r="AC23"/>
  <c r="Z23"/>
  <c r="S23"/>
  <c r="P23"/>
  <c r="I23"/>
  <c r="F23"/>
  <c r="B23"/>
  <c r="B45" s="1"/>
  <c r="BD22"/>
  <c r="BB22"/>
  <c r="BA22"/>
  <c r="AM22"/>
  <c r="AJ22"/>
  <c r="AO22" s="1"/>
  <c r="AC22"/>
  <c r="AF22" s="1"/>
  <c r="AX22" s="1"/>
  <c r="Z22"/>
  <c r="S22"/>
  <c r="V22" s="1"/>
  <c r="AW22" s="1"/>
  <c r="P22"/>
  <c r="I22"/>
  <c r="L22" s="1"/>
  <c r="F22"/>
  <c r="B22"/>
  <c r="B44" s="1"/>
  <c r="BD21"/>
  <c r="BB21"/>
  <c r="BA21"/>
  <c r="AZ21"/>
  <c r="AM21"/>
  <c r="AJ21"/>
  <c r="AO21" s="1"/>
  <c r="AC21"/>
  <c r="Z21"/>
  <c r="V21"/>
  <c r="AW21" s="1"/>
  <c r="S21"/>
  <c r="P21"/>
  <c r="U21" s="1"/>
  <c r="AJ43" s="1"/>
  <c r="I21"/>
  <c r="F21"/>
  <c r="B21"/>
  <c r="B43" s="1"/>
  <c r="BB20"/>
  <c r="AM20"/>
  <c r="AJ20"/>
  <c r="AO20" s="1"/>
  <c r="AC20"/>
  <c r="AF20" s="1"/>
  <c r="AX20" s="1"/>
  <c r="Z20"/>
  <c r="S20"/>
  <c r="V20" s="1"/>
  <c r="AW20" s="1"/>
  <c r="P20"/>
  <c r="I20"/>
  <c r="L20" s="1"/>
  <c r="F20"/>
  <c r="B20"/>
  <c r="B42" s="1"/>
  <c r="BB19"/>
  <c r="AM19"/>
  <c r="AJ19"/>
  <c r="AO19" s="1"/>
  <c r="AC19"/>
  <c r="Z19"/>
  <c r="S19"/>
  <c r="P19"/>
  <c r="I19"/>
  <c r="F19"/>
  <c r="B19"/>
  <c r="B41" s="1"/>
  <c r="BB18"/>
  <c r="AM18"/>
  <c r="AJ18"/>
  <c r="AO18" s="1"/>
  <c r="AC18"/>
  <c r="AF18" s="1"/>
  <c r="AX18" s="1"/>
  <c r="Z18"/>
  <c r="S18"/>
  <c r="V18" s="1"/>
  <c r="AW18" s="1"/>
  <c r="P18"/>
  <c r="I18"/>
  <c r="L18" s="1"/>
  <c r="F18"/>
  <c r="B18"/>
  <c r="B40" s="1"/>
  <c r="BB17"/>
  <c r="AM17"/>
  <c r="AJ17"/>
  <c r="AO17" s="1"/>
  <c r="AC17"/>
  <c r="Z17"/>
  <c r="S17"/>
  <c r="P17"/>
  <c r="I17"/>
  <c r="F17"/>
  <c r="B17"/>
  <c r="B39" s="1"/>
  <c r="BD16"/>
  <c r="BB16"/>
  <c r="AZ16"/>
  <c r="AM16"/>
  <c r="AJ16"/>
  <c r="AO16" s="1"/>
  <c r="AF16"/>
  <c r="AX16" s="1"/>
  <c r="AC16"/>
  <c r="AE16" s="1"/>
  <c r="AK38" s="1"/>
  <c r="Z16"/>
  <c r="V16"/>
  <c r="AW16" s="1"/>
  <c r="S16"/>
  <c r="U16" s="1"/>
  <c r="AJ38" s="1"/>
  <c r="P16"/>
  <c r="L16"/>
  <c r="AP16" s="1"/>
  <c r="I16"/>
  <c r="K16" s="1"/>
  <c r="F16"/>
  <c r="B16"/>
  <c r="B38" s="1"/>
  <c r="BB15"/>
  <c r="AM15"/>
  <c r="AJ15"/>
  <c r="AO15" s="1"/>
  <c r="AC15"/>
  <c r="Z15"/>
  <c r="S15"/>
  <c r="P15"/>
  <c r="I15"/>
  <c r="F15"/>
  <c r="B15"/>
  <c r="B37" s="1"/>
  <c r="BD14"/>
  <c r="BB14"/>
  <c r="AM14"/>
  <c r="AJ14"/>
  <c r="AO14" s="1"/>
  <c r="AC14"/>
  <c r="AF14" s="1"/>
  <c r="AX14" s="1"/>
  <c r="Z14"/>
  <c r="S14"/>
  <c r="V14" s="1"/>
  <c r="AW14" s="1"/>
  <c r="P14"/>
  <c r="I14"/>
  <c r="L14" s="1"/>
  <c r="F14"/>
  <c r="B14"/>
  <c r="B36" s="1"/>
  <c r="BB13"/>
  <c r="AZ13"/>
  <c r="AM13"/>
  <c r="AJ13"/>
  <c r="AO13" s="1"/>
  <c r="AC13"/>
  <c r="Z13"/>
  <c r="S13"/>
  <c r="P13"/>
  <c r="I13"/>
  <c r="F13"/>
  <c r="B13"/>
  <c r="B35" s="1"/>
  <c r="BD12"/>
  <c r="BB12"/>
  <c r="AZ12"/>
  <c r="AM12"/>
  <c r="AJ12"/>
  <c r="AF12"/>
  <c r="AX12" s="1"/>
  <c r="AC12"/>
  <c r="Z12"/>
  <c r="S12"/>
  <c r="V12" s="1"/>
  <c r="AW12" s="1"/>
  <c r="P12"/>
  <c r="L12"/>
  <c r="AV12" s="1"/>
  <c r="I12"/>
  <c r="F12"/>
  <c r="B12"/>
  <c r="B34" s="1"/>
  <c r="BB11"/>
  <c r="AM11"/>
  <c r="AJ11"/>
  <c r="AO11" s="1"/>
  <c r="AC11"/>
  <c r="AF11" s="1"/>
  <c r="AX11" s="1"/>
  <c r="Z11"/>
  <c r="S11"/>
  <c r="V11" s="1"/>
  <c r="AW11" s="1"/>
  <c r="P11"/>
  <c r="L11"/>
  <c r="AV11" s="1"/>
  <c r="I11"/>
  <c r="K11" s="1"/>
  <c r="F11"/>
  <c r="B11"/>
  <c r="B33" s="1"/>
  <c r="AV7"/>
  <c r="M5"/>
  <c r="AW7" s="1"/>
  <c r="BB7" i="14" l="1"/>
  <c r="B1"/>
  <c r="B3" s="1"/>
  <c r="AT48" i="12"/>
  <c r="AT11"/>
  <c r="BA7"/>
  <c r="W27"/>
  <c r="BF26"/>
  <c r="BE26"/>
  <c r="AT24"/>
  <c r="AT23"/>
  <c r="AR1"/>
  <c r="AR45" i="11"/>
  <c r="AR46"/>
  <c r="AI46"/>
  <c r="AP46" s="1"/>
  <c r="AT46"/>
  <c r="AR24"/>
  <c r="BE24"/>
  <c r="AP37"/>
  <c r="AR48"/>
  <c r="AI36"/>
  <c r="AT36"/>
  <c r="AT14" s="1"/>
  <c r="AK44"/>
  <c r="AK40"/>
  <c r="U74"/>
  <c r="W74" s="1"/>
  <c r="AO34"/>
  <c r="U82"/>
  <c r="W82" s="1"/>
  <c r="AO42"/>
  <c r="AT11"/>
  <c r="AR34"/>
  <c r="Y74"/>
  <c r="AR39"/>
  <c r="Y79"/>
  <c r="U76"/>
  <c r="W76" s="1"/>
  <c r="AO36"/>
  <c r="AY7"/>
  <c r="C27"/>
  <c r="U79"/>
  <c r="W79" s="1"/>
  <c r="U81"/>
  <c r="W81" s="1"/>
  <c r="U85"/>
  <c r="W85" s="1"/>
  <c r="U83"/>
  <c r="W83" s="1"/>
  <c r="AP41"/>
  <c r="AP43"/>
  <c r="AP42"/>
  <c r="U84"/>
  <c r="W84" s="1"/>
  <c r="AP34"/>
  <c r="AP39"/>
  <c r="AT44"/>
  <c r="AT22" s="1"/>
  <c r="AI44"/>
  <c r="AI40"/>
  <c r="U78"/>
  <c r="W78" s="1"/>
  <c r="AO38"/>
  <c r="AP38" s="1"/>
  <c r="AT45"/>
  <c r="AI45"/>
  <c r="AP45" s="1"/>
  <c r="U86"/>
  <c r="W86" s="1"/>
  <c r="AO47"/>
  <c r="AP47" s="1"/>
  <c r="AR33"/>
  <c r="Y73"/>
  <c r="AR38"/>
  <c r="Y78"/>
  <c r="AR40"/>
  <c r="Y80"/>
  <c r="BF15"/>
  <c r="BE15"/>
  <c r="AR15"/>
  <c r="BF20"/>
  <c r="BE20"/>
  <c r="AR20"/>
  <c r="BF21"/>
  <c r="BE21"/>
  <c r="AR21"/>
  <c r="BE23"/>
  <c r="AR23"/>
  <c r="BF23"/>
  <c r="AJ44"/>
  <c r="AJ40"/>
  <c r="AR25"/>
  <c r="BE25"/>
  <c r="BF11"/>
  <c r="BE11"/>
  <c r="AR11"/>
  <c r="BE12"/>
  <c r="AR12"/>
  <c r="BF12"/>
  <c r="BF13"/>
  <c r="BE13"/>
  <c r="AR13"/>
  <c r="BF16"/>
  <c r="BE16"/>
  <c r="AR16"/>
  <c r="BE17"/>
  <c r="AR17"/>
  <c r="BF17"/>
  <c r="BF18"/>
  <c r="BE18"/>
  <c r="AR18"/>
  <c r="BE19"/>
  <c r="AR19"/>
  <c r="BF19"/>
  <c r="BE14"/>
  <c r="AR14"/>
  <c r="BF14"/>
  <c r="BE22"/>
  <c r="AR22"/>
  <c r="BF22"/>
  <c r="BE58"/>
  <c r="AR58"/>
  <c r="BF58"/>
  <c r="AP35"/>
  <c r="AT38"/>
  <c r="AT16" s="1"/>
  <c r="AT43"/>
  <c r="AT21" s="1"/>
  <c r="AT42"/>
  <c r="AT20" s="1"/>
  <c r="AT47"/>
  <c r="AT25" s="1"/>
  <c r="AT34"/>
  <c r="AT12" s="1"/>
  <c r="AT39"/>
  <c r="AT17" s="1"/>
  <c r="AJ41" i="9"/>
  <c r="AJ44"/>
  <c r="AI41"/>
  <c r="AI44"/>
  <c r="AR48"/>
  <c r="U82"/>
  <c r="W82" s="1"/>
  <c r="U79"/>
  <c r="W79" s="1"/>
  <c r="AO39"/>
  <c r="U76"/>
  <c r="W76" s="1"/>
  <c r="AO36"/>
  <c r="U87"/>
  <c r="W87" s="1"/>
  <c r="AO47"/>
  <c r="BF21"/>
  <c r="BE21"/>
  <c r="AR21"/>
  <c r="BE24"/>
  <c r="AR24"/>
  <c r="BF24"/>
  <c r="AR25"/>
  <c r="BE25"/>
  <c r="U78"/>
  <c r="W78" s="1"/>
  <c r="AO38"/>
  <c r="AI36"/>
  <c r="AT36"/>
  <c r="AT14" s="1"/>
  <c r="AK44"/>
  <c r="AP44" s="1"/>
  <c r="AK41"/>
  <c r="AP41" s="1"/>
  <c r="AT44"/>
  <c r="AT22" s="1"/>
  <c r="U85"/>
  <c r="W85" s="1"/>
  <c r="AO45"/>
  <c r="AT11"/>
  <c r="AR34"/>
  <c r="Y74"/>
  <c r="AR40"/>
  <c r="Y80"/>
  <c r="AP38"/>
  <c r="AT39"/>
  <c r="AT17" s="1"/>
  <c r="AT45"/>
  <c r="AT23" s="1"/>
  <c r="AT42"/>
  <c r="AT20" s="1"/>
  <c r="AP47"/>
  <c r="U84"/>
  <c r="W84" s="1"/>
  <c r="Q219"/>
  <c r="U81"/>
  <c r="W81" s="1"/>
  <c r="AJ46"/>
  <c r="AP46" s="1"/>
  <c r="AT46"/>
  <c r="AT24" s="1"/>
  <c r="AY7"/>
  <c r="C27"/>
  <c r="AT40"/>
  <c r="AT18" s="1"/>
  <c r="AI40"/>
  <c r="AP40" s="1"/>
  <c r="U74"/>
  <c r="W74" s="1"/>
  <c r="AO34"/>
  <c r="AP34" s="1"/>
  <c r="BF11"/>
  <c r="BE11"/>
  <c r="AR11"/>
  <c r="BE12"/>
  <c r="AR12"/>
  <c r="BF12"/>
  <c r="BF13"/>
  <c r="BE13"/>
  <c r="AR13"/>
  <c r="BF17"/>
  <c r="BE17"/>
  <c r="AR17"/>
  <c r="BE18"/>
  <c r="AR18"/>
  <c r="BF18"/>
  <c r="BF19"/>
  <c r="BE19"/>
  <c r="AR19"/>
  <c r="BE20"/>
  <c r="AR20"/>
  <c r="BF20"/>
  <c r="BE16"/>
  <c r="AR16"/>
  <c r="AR33"/>
  <c r="Y73"/>
  <c r="AR39"/>
  <c r="Y79"/>
  <c r="AR41"/>
  <c r="Y81"/>
  <c r="BF15"/>
  <c r="BE15"/>
  <c r="AR15"/>
  <c r="BF23"/>
  <c r="BE23"/>
  <c r="AR23"/>
  <c r="BE14"/>
  <c r="AR14"/>
  <c r="BF14"/>
  <c r="BE22"/>
  <c r="AR22"/>
  <c r="BF22"/>
  <c r="BE58"/>
  <c r="AR58"/>
  <c r="BF58"/>
  <c r="AP39"/>
  <c r="AP45"/>
  <c r="U80"/>
  <c r="W80" s="1"/>
  <c r="U86"/>
  <c r="W86" s="1"/>
  <c r="AP33"/>
  <c r="AP35"/>
  <c r="AT47"/>
  <c r="AT25" s="1"/>
  <c r="AT34"/>
  <c r="AT12" s="1"/>
  <c r="U85" i="8"/>
  <c r="W85" s="1"/>
  <c r="U82"/>
  <c r="W82" s="1"/>
  <c r="U80"/>
  <c r="AJ46"/>
  <c r="U86"/>
  <c r="W86" s="1"/>
  <c r="AJ43"/>
  <c r="AP43" s="1"/>
  <c r="U83"/>
  <c r="W83" s="1"/>
  <c r="AJ42"/>
  <c r="U81"/>
  <c r="W81" s="1"/>
  <c r="AJ39"/>
  <c r="U79"/>
  <c r="AJ37"/>
  <c r="U77"/>
  <c r="W77" s="1"/>
  <c r="BE22"/>
  <c r="AR22"/>
  <c r="BE16"/>
  <c r="AR16"/>
  <c r="AT39"/>
  <c r="AT17" s="1"/>
  <c r="AI39"/>
  <c r="AT37"/>
  <c r="AT15" s="1"/>
  <c r="AI37"/>
  <c r="U76"/>
  <c r="W76" s="1"/>
  <c r="AO36"/>
  <c r="AI42"/>
  <c r="AP42" s="1"/>
  <c r="AT41"/>
  <c r="AT19" s="1"/>
  <c r="AN47"/>
  <c r="AT47"/>
  <c r="AT25" s="1"/>
  <c r="BF11"/>
  <c r="BE11"/>
  <c r="AR11"/>
  <c r="BE12"/>
  <c r="AR12"/>
  <c r="BF12"/>
  <c r="BF13"/>
  <c r="BE13"/>
  <c r="AR13"/>
  <c r="BE17"/>
  <c r="AR17"/>
  <c r="BF17"/>
  <c r="BF18"/>
  <c r="BE18"/>
  <c r="AR18"/>
  <c r="BE19"/>
  <c r="AR19"/>
  <c r="BF19"/>
  <c r="AR34"/>
  <c r="Y74"/>
  <c r="Y80"/>
  <c r="U74"/>
  <c r="W74" s="1"/>
  <c r="AO34"/>
  <c r="AP34" s="1"/>
  <c r="BE14"/>
  <c r="AR14"/>
  <c r="BF14"/>
  <c r="BE21"/>
  <c r="AR21"/>
  <c r="BF21"/>
  <c r="BE24"/>
  <c r="AR24"/>
  <c r="BF24"/>
  <c r="BE15"/>
  <c r="BF15"/>
  <c r="AR48"/>
  <c r="AT42"/>
  <c r="AT20" s="1"/>
  <c r="AT45"/>
  <c r="AT23" s="1"/>
  <c r="AP36"/>
  <c r="AT43"/>
  <c r="AT21" s="1"/>
  <c r="AJ33"/>
  <c r="AP33" s="1"/>
  <c r="AT33"/>
  <c r="AT46"/>
  <c r="AT24" s="1"/>
  <c r="AI46"/>
  <c r="AP46" s="1"/>
  <c r="W79"/>
  <c r="AO40"/>
  <c r="AP40" s="1"/>
  <c r="AR33"/>
  <c r="Y73"/>
  <c r="Y79"/>
  <c r="Y81"/>
  <c r="BF20"/>
  <c r="BE20"/>
  <c r="AR20"/>
  <c r="BF23"/>
  <c r="BE23"/>
  <c r="AR23"/>
  <c r="BE58"/>
  <c r="AR58"/>
  <c r="BF58"/>
  <c r="W80"/>
  <c r="AO47"/>
  <c r="C27"/>
  <c r="AY7"/>
  <c r="U73"/>
  <c r="W73" s="1"/>
  <c r="AP35"/>
  <c r="AT40"/>
  <c r="AT18" s="1"/>
  <c r="AP41"/>
  <c r="AP44"/>
  <c r="AP45"/>
  <c r="AT34"/>
  <c r="AT12" s="1"/>
  <c r="AT36"/>
  <c r="AT14" s="1"/>
  <c r="AK46" i="7"/>
  <c r="AP46" s="1"/>
  <c r="AT46"/>
  <c r="AT24" s="1"/>
  <c r="AF42"/>
  <c r="BB20" s="1"/>
  <c r="AP24"/>
  <c r="AO22"/>
  <c r="AO58"/>
  <c r="AY58" s="1"/>
  <c r="E70"/>
  <c r="I70" s="1"/>
  <c r="N70" s="1"/>
  <c r="AO11"/>
  <c r="AO18"/>
  <c r="AE37"/>
  <c r="K58"/>
  <c r="AI62" s="1"/>
  <c r="U62"/>
  <c r="AN62" s="1"/>
  <c r="E221"/>
  <c r="K221" s="1"/>
  <c r="AE58"/>
  <c r="AK62" s="1"/>
  <c r="AK175"/>
  <c r="O189"/>
  <c r="O190" s="1"/>
  <c r="V12"/>
  <c r="AW12" s="1"/>
  <c r="AF12"/>
  <c r="AX12" s="1"/>
  <c r="AO12"/>
  <c r="L13"/>
  <c r="V13"/>
  <c r="AW13" s="1"/>
  <c r="AF13"/>
  <c r="AX13" s="1"/>
  <c r="AO13"/>
  <c r="AO16"/>
  <c r="V19"/>
  <c r="AW19" s="1"/>
  <c r="AF19"/>
  <c r="AX19" s="1"/>
  <c r="AO19"/>
  <c r="AO20"/>
  <c r="L21"/>
  <c r="V21"/>
  <c r="AW21" s="1"/>
  <c r="AF21"/>
  <c r="AX21" s="1"/>
  <c r="AO21"/>
  <c r="L23"/>
  <c r="V23"/>
  <c r="AW23" s="1"/>
  <c r="AF23"/>
  <c r="AX23" s="1"/>
  <c r="AO23"/>
  <c r="AO25"/>
  <c r="L34"/>
  <c r="AZ12" s="1"/>
  <c r="L37"/>
  <c r="AZ15" s="1"/>
  <c r="U37"/>
  <c r="AN37" s="1"/>
  <c r="L39"/>
  <c r="AZ17" s="1"/>
  <c r="L41"/>
  <c r="L45"/>
  <c r="AZ23" s="1"/>
  <c r="U45"/>
  <c r="AN45" s="1"/>
  <c r="AP58"/>
  <c r="U58"/>
  <c r="AJ62" s="1"/>
  <c r="K62"/>
  <c r="AM62" s="1"/>
  <c r="AE62"/>
  <c r="AO62" s="1"/>
  <c r="C70"/>
  <c r="O121"/>
  <c r="O122" s="1"/>
  <c r="O158"/>
  <c r="O159" s="1"/>
  <c r="C222"/>
  <c r="E222" s="1"/>
  <c r="I222"/>
  <c r="N222" s="1"/>
  <c r="L44"/>
  <c r="AZ22" s="1"/>
  <c r="V15"/>
  <c r="AW15" s="1"/>
  <c r="L15"/>
  <c r="K15" s="1"/>
  <c r="AI37" s="1"/>
  <c r="L12"/>
  <c r="AE36"/>
  <c r="U42"/>
  <c r="AN42" s="1"/>
  <c r="K37"/>
  <c r="AM37" s="1"/>
  <c r="K45"/>
  <c r="AM45" s="1"/>
  <c r="K42"/>
  <c r="AM42" s="1"/>
  <c r="U12"/>
  <c r="AJ34" s="1"/>
  <c r="AL33"/>
  <c r="AY11"/>
  <c r="AP13"/>
  <c r="AV13"/>
  <c r="AL35"/>
  <c r="AY13"/>
  <c r="AL38"/>
  <c r="AY16"/>
  <c r="AL40"/>
  <c r="AY18"/>
  <c r="AP19"/>
  <c r="AV19"/>
  <c r="AL41"/>
  <c r="AY19"/>
  <c r="AL42"/>
  <c r="AY20"/>
  <c r="AV21"/>
  <c r="AL43"/>
  <c r="AY21"/>
  <c r="AL47"/>
  <c r="AY25"/>
  <c r="AO36"/>
  <c r="AO37"/>
  <c r="AX7"/>
  <c r="AG5"/>
  <c r="AL34"/>
  <c r="AY12"/>
  <c r="AL36"/>
  <c r="AY14"/>
  <c r="AL37"/>
  <c r="AY15"/>
  <c r="AP17"/>
  <c r="AV17"/>
  <c r="AL39"/>
  <c r="AY17"/>
  <c r="AL44"/>
  <c r="AY22"/>
  <c r="AV23"/>
  <c r="AL45"/>
  <c r="AY23"/>
  <c r="AW27"/>
  <c r="AM27"/>
  <c r="AN27" s="1"/>
  <c r="AT62"/>
  <c r="AT58" s="1"/>
  <c r="K73"/>
  <c r="I73"/>
  <c r="I78"/>
  <c r="N78" s="1"/>
  <c r="K78"/>
  <c r="O98"/>
  <c r="O100" s="1"/>
  <c r="O97"/>
  <c r="AA96"/>
  <c r="B118"/>
  <c r="B120" s="1"/>
  <c r="B121"/>
  <c r="B140"/>
  <c r="B137"/>
  <c r="B139" s="1"/>
  <c r="AA151"/>
  <c r="O153"/>
  <c r="O155" s="1"/>
  <c r="O152"/>
  <c r="B178"/>
  <c r="B175"/>
  <c r="B177" s="1"/>
  <c r="O192"/>
  <c r="O194" s="1"/>
  <c r="O191"/>
  <c r="AA190"/>
  <c r="I211"/>
  <c r="N211" s="1"/>
  <c r="K211"/>
  <c r="I213"/>
  <c r="N213" s="1"/>
  <c r="K213"/>
  <c r="K215"/>
  <c r="I215"/>
  <c r="N215" s="1"/>
  <c r="K217"/>
  <c r="I217"/>
  <c r="N217" s="1"/>
  <c r="I220"/>
  <c r="N220" s="1"/>
  <c r="K220"/>
  <c r="Z220" s="1"/>
  <c r="K225"/>
  <c r="I225"/>
  <c r="N225" s="1"/>
  <c r="O252"/>
  <c r="O254" s="1"/>
  <c r="O251"/>
  <c r="AA250"/>
  <c r="AW7"/>
  <c r="L11"/>
  <c r="K11" s="1"/>
  <c r="V11"/>
  <c r="AW11" s="1"/>
  <c r="AF11"/>
  <c r="AX11" s="1"/>
  <c r="AE12"/>
  <c r="AK34" s="1"/>
  <c r="K13"/>
  <c r="U13"/>
  <c r="AE13"/>
  <c r="AK35" s="1"/>
  <c r="L14"/>
  <c r="K14" s="1"/>
  <c r="V14"/>
  <c r="AW14" s="1"/>
  <c r="AF14"/>
  <c r="AX14" s="1"/>
  <c r="AE15"/>
  <c r="AK37" s="1"/>
  <c r="L16"/>
  <c r="V16"/>
  <c r="AW16" s="1"/>
  <c r="AF16"/>
  <c r="AX16" s="1"/>
  <c r="K17"/>
  <c r="U17"/>
  <c r="AJ39" s="1"/>
  <c r="AE17"/>
  <c r="AK39" s="1"/>
  <c r="L18"/>
  <c r="K18" s="1"/>
  <c r="V18"/>
  <c r="AW18" s="1"/>
  <c r="AF18"/>
  <c r="AX18" s="1"/>
  <c r="K19"/>
  <c r="U19"/>
  <c r="AE19"/>
  <c r="L20"/>
  <c r="V20"/>
  <c r="AW20" s="1"/>
  <c r="AF20"/>
  <c r="AX20" s="1"/>
  <c r="K21"/>
  <c r="U21"/>
  <c r="AE21"/>
  <c r="L22"/>
  <c r="V22"/>
  <c r="AW22" s="1"/>
  <c r="AF22"/>
  <c r="AX22" s="1"/>
  <c r="K23"/>
  <c r="U23"/>
  <c r="AJ45" s="1"/>
  <c r="AE23"/>
  <c r="AK45" s="1"/>
  <c r="L25"/>
  <c r="K25" s="1"/>
  <c r="V25"/>
  <c r="AW25" s="1"/>
  <c r="AF25"/>
  <c r="AX25" s="1"/>
  <c r="L33"/>
  <c r="AZ11" s="1"/>
  <c r="V33"/>
  <c r="BA11" s="1"/>
  <c r="AF33"/>
  <c r="BB11" s="1"/>
  <c r="K34"/>
  <c r="AM34" s="1"/>
  <c r="U34"/>
  <c r="AN34" s="1"/>
  <c r="AE34"/>
  <c r="K35"/>
  <c r="AM35" s="1"/>
  <c r="U35"/>
  <c r="AN35" s="1"/>
  <c r="AE35"/>
  <c r="L36"/>
  <c r="AZ14" s="1"/>
  <c r="V36"/>
  <c r="BA14" s="1"/>
  <c r="L38"/>
  <c r="AZ16" s="1"/>
  <c r="V38"/>
  <c r="BA16" s="1"/>
  <c r="AF38"/>
  <c r="BB16" s="1"/>
  <c r="K39"/>
  <c r="AM39" s="1"/>
  <c r="U39"/>
  <c r="AN39" s="1"/>
  <c r="AE39"/>
  <c r="L40"/>
  <c r="K40" s="1"/>
  <c r="AM40" s="1"/>
  <c r="V40"/>
  <c r="U40" s="1"/>
  <c r="AN40" s="1"/>
  <c r="AF40"/>
  <c r="AE40" s="1"/>
  <c r="AO40" s="1"/>
  <c r="K41"/>
  <c r="AM41" s="1"/>
  <c r="AE41"/>
  <c r="AO41" s="1"/>
  <c r="I71"/>
  <c r="Q77" s="1"/>
  <c r="C71"/>
  <c r="I75"/>
  <c r="K75"/>
  <c r="K76"/>
  <c r="I76"/>
  <c r="K79"/>
  <c r="I79"/>
  <c r="K80"/>
  <c r="I80"/>
  <c r="I83"/>
  <c r="K83"/>
  <c r="I86"/>
  <c r="K86"/>
  <c r="B103"/>
  <c r="B100"/>
  <c r="B102" s="1"/>
  <c r="O115"/>
  <c r="AA114"/>
  <c r="O116"/>
  <c r="O118" s="1"/>
  <c r="O124"/>
  <c r="O126" s="1"/>
  <c r="O123"/>
  <c r="AA122"/>
  <c r="O135"/>
  <c r="O137" s="1"/>
  <c r="O134"/>
  <c r="AA133"/>
  <c r="B155"/>
  <c r="B157" s="1"/>
  <c r="B158"/>
  <c r="O161"/>
  <c r="O163" s="1"/>
  <c r="O160"/>
  <c r="AA159"/>
  <c r="AA179"/>
  <c r="O181"/>
  <c r="O183" s="1"/>
  <c r="O180"/>
  <c r="B197"/>
  <c r="B194"/>
  <c r="B196" s="1"/>
  <c r="K214"/>
  <c r="I214"/>
  <c r="N214" s="1"/>
  <c r="K218"/>
  <c r="I218"/>
  <c r="N218" s="1"/>
  <c r="B257"/>
  <c r="B254"/>
  <c r="B256" s="1"/>
  <c r="U41"/>
  <c r="AN41" s="1"/>
  <c r="AE42"/>
  <c r="L43"/>
  <c r="AZ21" s="1"/>
  <c r="V43"/>
  <c r="BA21" s="1"/>
  <c r="AF43"/>
  <c r="BB21" s="1"/>
  <c r="K44"/>
  <c r="AM44" s="1"/>
  <c r="U44"/>
  <c r="AN44" s="1"/>
  <c r="AE44"/>
  <c r="AO44" s="1"/>
  <c r="AF45"/>
  <c r="BB23" s="1"/>
  <c r="K47"/>
  <c r="AM47" s="1"/>
  <c r="U47"/>
  <c r="AN47" s="1"/>
  <c r="AE47"/>
  <c r="AV58"/>
  <c r="I74"/>
  <c r="I81"/>
  <c r="I82"/>
  <c r="I85"/>
  <c r="I87"/>
  <c r="I90"/>
  <c r="O103"/>
  <c r="O104" s="1"/>
  <c r="O140"/>
  <c r="O141" s="1"/>
  <c r="O171"/>
  <c r="O197"/>
  <c r="O198" s="1"/>
  <c r="C208"/>
  <c r="I212"/>
  <c r="N212" s="1"/>
  <c r="K216"/>
  <c r="I221"/>
  <c r="N221" s="1"/>
  <c r="AD241"/>
  <c r="AD243" s="1"/>
  <c r="O257"/>
  <c r="O258" s="1"/>
  <c r="AF45" i="6"/>
  <c r="BB23" s="1"/>
  <c r="AF43"/>
  <c r="BB21" s="1"/>
  <c r="AF36"/>
  <c r="BB14" s="1"/>
  <c r="AE34"/>
  <c r="V45"/>
  <c r="BA23" s="1"/>
  <c r="U34"/>
  <c r="AN34" s="1"/>
  <c r="L45"/>
  <c r="AZ23" s="1"/>
  <c r="L40"/>
  <c r="AZ18" s="1"/>
  <c r="AE38"/>
  <c r="U38"/>
  <c r="AN38" s="1"/>
  <c r="K34"/>
  <c r="AM34" s="1"/>
  <c r="K35"/>
  <c r="K38"/>
  <c r="AM38" s="1"/>
  <c r="AP12"/>
  <c r="AF14"/>
  <c r="AX14" s="1"/>
  <c r="AE12"/>
  <c r="AK34" s="1"/>
  <c r="AF18"/>
  <c r="AX18" s="1"/>
  <c r="AF20"/>
  <c r="AX20" s="1"/>
  <c r="AP16"/>
  <c r="K13"/>
  <c r="K23"/>
  <c r="U16"/>
  <c r="AJ38" s="1"/>
  <c r="K12"/>
  <c r="AT34" s="1"/>
  <c r="AT12" s="1"/>
  <c r="K20"/>
  <c r="K16"/>
  <c r="K24"/>
  <c r="W5"/>
  <c r="AX7" s="1"/>
  <c r="AL33"/>
  <c r="AY11"/>
  <c r="AI34"/>
  <c r="AL34"/>
  <c r="AY12"/>
  <c r="AI35"/>
  <c r="AL35"/>
  <c r="AY13"/>
  <c r="AL36"/>
  <c r="AY14"/>
  <c r="AL38"/>
  <c r="AY16"/>
  <c r="AL39"/>
  <c r="AY17"/>
  <c r="AL41"/>
  <c r="AY19"/>
  <c r="AL43"/>
  <c r="AY21"/>
  <c r="AV22"/>
  <c r="AL44"/>
  <c r="AY22"/>
  <c r="AL45"/>
  <c r="AY23"/>
  <c r="AV24"/>
  <c r="AL46"/>
  <c r="AY24"/>
  <c r="K18"/>
  <c r="U18"/>
  <c r="AJ40" s="1"/>
  <c r="AP14"/>
  <c r="AV14"/>
  <c r="AL37"/>
  <c r="AY15"/>
  <c r="AI38"/>
  <c r="AP18"/>
  <c r="AV18"/>
  <c r="AL40"/>
  <c r="AY18"/>
  <c r="AV20"/>
  <c r="AL42"/>
  <c r="AY20"/>
  <c r="AI45"/>
  <c r="AI46"/>
  <c r="AL47"/>
  <c r="AY25"/>
  <c r="AW27"/>
  <c r="AM27"/>
  <c r="AN27" s="1"/>
  <c r="U74"/>
  <c r="W74" s="1"/>
  <c r="AO34"/>
  <c r="AM35"/>
  <c r="AO35"/>
  <c r="AT62" s="1"/>
  <c r="AT58" s="1"/>
  <c r="AO38"/>
  <c r="AE16"/>
  <c r="AK38" s="1"/>
  <c r="I71"/>
  <c r="C71"/>
  <c r="I78"/>
  <c r="K78"/>
  <c r="K80"/>
  <c r="I80"/>
  <c r="I89"/>
  <c r="K89"/>
  <c r="O98"/>
  <c r="O100" s="1"/>
  <c r="O97"/>
  <c r="AA96"/>
  <c r="B118"/>
  <c r="B120" s="1"/>
  <c r="B121"/>
  <c r="B122" s="1"/>
  <c r="B124" s="1"/>
  <c r="B140"/>
  <c r="B137"/>
  <c r="B139" s="1"/>
  <c r="AA151"/>
  <c r="O153"/>
  <c r="O155" s="1"/>
  <c r="O152"/>
  <c r="B178"/>
  <c r="B179" s="1"/>
  <c r="B181" s="1"/>
  <c r="B175"/>
  <c r="B177" s="1"/>
  <c r="O192"/>
  <c r="O194" s="1"/>
  <c r="O191"/>
  <c r="AA190"/>
  <c r="I211"/>
  <c r="N211" s="1"/>
  <c r="K211"/>
  <c r="I213"/>
  <c r="N213" s="1"/>
  <c r="K213"/>
  <c r="K215"/>
  <c r="I215"/>
  <c r="N215" s="1"/>
  <c r="K217"/>
  <c r="I217"/>
  <c r="N217" s="1"/>
  <c r="K225"/>
  <c r="I225"/>
  <c r="N225" s="1"/>
  <c r="B257"/>
  <c r="B254"/>
  <c r="B256" s="1"/>
  <c r="AA258"/>
  <c r="O260"/>
  <c r="O262" s="1"/>
  <c r="O259"/>
  <c r="AG5"/>
  <c r="L11"/>
  <c r="V11"/>
  <c r="AW11" s="1"/>
  <c r="AF11"/>
  <c r="AX11" s="1"/>
  <c r="AV12"/>
  <c r="AF13"/>
  <c r="AX13" s="1"/>
  <c r="K14"/>
  <c r="U14"/>
  <c r="AJ36" s="1"/>
  <c r="AE14"/>
  <c r="AK36" s="1"/>
  <c r="L15"/>
  <c r="V15"/>
  <c r="AW15" s="1"/>
  <c r="AF15"/>
  <c r="AX15" s="1"/>
  <c r="AV16"/>
  <c r="L17"/>
  <c r="K17" s="1"/>
  <c r="V17"/>
  <c r="AW17" s="1"/>
  <c r="AF17"/>
  <c r="AX17" s="1"/>
  <c r="L19"/>
  <c r="V19"/>
  <c r="AW19" s="1"/>
  <c r="AF19"/>
  <c r="AX19" s="1"/>
  <c r="U20"/>
  <c r="AE20"/>
  <c r="L21"/>
  <c r="K21" s="1"/>
  <c r="V21"/>
  <c r="AW21" s="1"/>
  <c r="AF21"/>
  <c r="AX21" s="1"/>
  <c r="K22"/>
  <c r="U22"/>
  <c r="AE22"/>
  <c r="V23"/>
  <c r="AW23" s="1"/>
  <c r="AF23"/>
  <c r="AX23" s="1"/>
  <c r="U24"/>
  <c r="AJ46" s="1"/>
  <c r="AE24"/>
  <c r="AK46" s="1"/>
  <c r="L25"/>
  <c r="V25"/>
  <c r="AW25" s="1"/>
  <c r="AF25"/>
  <c r="AX25" s="1"/>
  <c r="L33"/>
  <c r="AZ11" s="1"/>
  <c r="V33"/>
  <c r="BA11" s="1"/>
  <c r="AF33"/>
  <c r="BB11" s="1"/>
  <c r="K36"/>
  <c r="AM36" s="1"/>
  <c r="U36"/>
  <c r="AN36" s="1"/>
  <c r="AE36"/>
  <c r="L37"/>
  <c r="AZ15" s="1"/>
  <c r="V37"/>
  <c r="BA15" s="1"/>
  <c r="AF37"/>
  <c r="BB15" s="1"/>
  <c r="L39"/>
  <c r="AZ17" s="1"/>
  <c r="V39"/>
  <c r="BA17" s="1"/>
  <c r="AF39"/>
  <c r="BB17" s="1"/>
  <c r="K40"/>
  <c r="AM40" s="1"/>
  <c r="U40"/>
  <c r="AN40" s="1"/>
  <c r="AE40"/>
  <c r="K41"/>
  <c r="AM41" s="1"/>
  <c r="AE41"/>
  <c r="AO41" s="1"/>
  <c r="I76"/>
  <c r="K76"/>
  <c r="I79"/>
  <c r="N79" s="1"/>
  <c r="K79"/>
  <c r="I84"/>
  <c r="K84"/>
  <c r="I87"/>
  <c r="K87"/>
  <c r="B103"/>
  <c r="B104" s="1"/>
  <c r="B106" s="1"/>
  <c r="B100"/>
  <c r="B102" s="1"/>
  <c r="O115"/>
  <c r="AA114"/>
  <c r="O116"/>
  <c r="O118" s="1"/>
  <c r="O124"/>
  <c r="O126" s="1"/>
  <c r="O123"/>
  <c r="AA122"/>
  <c r="O135"/>
  <c r="O137" s="1"/>
  <c r="O134"/>
  <c r="AA133"/>
  <c r="B155"/>
  <c r="B157" s="1"/>
  <c r="B158"/>
  <c r="B159" s="1"/>
  <c r="B161" s="1"/>
  <c r="O161"/>
  <c r="O163" s="1"/>
  <c r="O160"/>
  <c r="AA159"/>
  <c r="AA179"/>
  <c r="O181"/>
  <c r="O183" s="1"/>
  <c r="O180"/>
  <c r="B197"/>
  <c r="B194"/>
  <c r="B196" s="1"/>
  <c r="K214"/>
  <c r="I214"/>
  <c r="N214" s="1"/>
  <c r="K218"/>
  <c r="I218"/>
  <c r="N218" s="1"/>
  <c r="O252"/>
  <c r="O254" s="1"/>
  <c r="O251"/>
  <c r="AA250"/>
  <c r="U41"/>
  <c r="AN41" s="1"/>
  <c r="AD278"/>
  <c r="L42"/>
  <c r="K42" s="1"/>
  <c r="AM42" s="1"/>
  <c r="V42"/>
  <c r="U42" s="1"/>
  <c r="AN42" s="1"/>
  <c r="AF42"/>
  <c r="AE42" s="1"/>
  <c r="AO42" s="1"/>
  <c r="K43"/>
  <c r="AM43" s="1"/>
  <c r="U43"/>
  <c r="AN43" s="1"/>
  <c r="AE43"/>
  <c r="L44"/>
  <c r="AZ22" s="1"/>
  <c r="V44"/>
  <c r="BA22" s="1"/>
  <c r="AF44"/>
  <c r="BB22" s="1"/>
  <c r="K45"/>
  <c r="AM45" s="1"/>
  <c r="U45"/>
  <c r="AN45" s="1"/>
  <c r="AE45"/>
  <c r="AO45" s="1"/>
  <c r="L46"/>
  <c r="AZ24" s="1"/>
  <c r="V46"/>
  <c r="BA24" s="1"/>
  <c r="AF46"/>
  <c r="BB24" s="1"/>
  <c r="K47"/>
  <c r="AM47" s="1"/>
  <c r="U47"/>
  <c r="AN47" s="1"/>
  <c r="AE47"/>
  <c r="AV58"/>
  <c r="C70"/>
  <c r="I73"/>
  <c r="I74"/>
  <c r="I75"/>
  <c r="I77"/>
  <c r="I81"/>
  <c r="I82"/>
  <c r="I83"/>
  <c r="I86"/>
  <c r="I88"/>
  <c r="I90"/>
  <c r="O103"/>
  <c r="O104" s="1"/>
  <c r="O140"/>
  <c r="O141" s="1"/>
  <c r="O171"/>
  <c r="O197"/>
  <c r="O198" s="1"/>
  <c r="C208"/>
  <c r="I212"/>
  <c r="N212" s="1"/>
  <c r="K216"/>
  <c r="K220"/>
  <c r="Z220" s="1"/>
  <c r="I221"/>
  <c r="N221" s="1"/>
  <c r="AD241"/>
  <c r="AD243" s="1"/>
  <c r="AF46" i="5"/>
  <c r="BB24" s="1"/>
  <c r="AE45"/>
  <c r="AO45" s="1"/>
  <c r="AF44"/>
  <c r="BB22" s="1"/>
  <c r="AE43"/>
  <c r="BB20"/>
  <c r="BB19"/>
  <c r="AE40"/>
  <c r="AF39"/>
  <c r="BB17" s="1"/>
  <c r="AF37"/>
  <c r="BB15" s="1"/>
  <c r="AF33"/>
  <c r="BB11" s="1"/>
  <c r="U46"/>
  <c r="AN46" s="1"/>
  <c r="V21"/>
  <c r="AW21" s="1"/>
  <c r="L11"/>
  <c r="AV11" s="1"/>
  <c r="AE47"/>
  <c r="K34"/>
  <c r="AM34" s="1"/>
  <c r="K38"/>
  <c r="AM38" s="1"/>
  <c r="AE16"/>
  <c r="AK38" s="1"/>
  <c r="K16"/>
  <c r="AE62"/>
  <c r="AO62" s="1"/>
  <c r="AP62" s="1"/>
  <c r="U35"/>
  <c r="AN35" s="1"/>
  <c r="AE36"/>
  <c r="AE42"/>
  <c r="AO42" s="1"/>
  <c r="W5"/>
  <c r="AG5" s="1"/>
  <c r="AL34"/>
  <c r="AY12"/>
  <c r="AL36"/>
  <c r="AY14"/>
  <c r="AV15"/>
  <c r="AL37"/>
  <c r="AY15"/>
  <c r="AV17"/>
  <c r="AL39"/>
  <c r="AY17"/>
  <c r="AL40"/>
  <c r="AY18"/>
  <c r="AV19"/>
  <c r="AL41"/>
  <c r="AY19"/>
  <c r="AL42"/>
  <c r="AY20"/>
  <c r="AV21"/>
  <c r="AP25"/>
  <c r="AV25"/>
  <c r="AL47"/>
  <c r="AY25"/>
  <c r="AM27"/>
  <c r="AN27" s="1"/>
  <c r="AW27"/>
  <c r="AO34"/>
  <c r="AM35"/>
  <c r="AO38"/>
  <c r="AO40"/>
  <c r="AY7"/>
  <c r="C27"/>
  <c r="AL33"/>
  <c r="AY11"/>
  <c r="AP13"/>
  <c r="AV13"/>
  <c r="AL35"/>
  <c r="AY13"/>
  <c r="AI38"/>
  <c r="AL38"/>
  <c r="AY16"/>
  <c r="AL43"/>
  <c r="AY21"/>
  <c r="AL44"/>
  <c r="AY22"/>
  <c r="AP23"/>
  <c r="AV23"/>
  <c r="AL45"/>
  <c r="AY23"/>
  <c r="AL46"/>
  <c r="AY24"/>
  <c r="AO35"/>
  <c r="AT62" s="1"/>
  <c r="AT58" s="1"/>
  <c r="AO36"/>
  <c r="AO43"/>
  <c r="AO47"/>
  <c r="I76"/>
  <c r="K76"/>
  <c r="I79"/>
  <c r="N79" s="1"/>
  <c r="K79"/>
  <c r="I89"/>
  <c r="K89"/>
  <c r="O98"/>
  <c r="O100" s="1"/>
  <c r="O97"/>
  <c r="AA96"/>
  <c r="B118"/>
  <c r="B120" s="1"/>
  <c r="B121"/>
  <c r="B122" s="1"/>
  <c r="B124" s="1"/>
  <c r="B140"/>
  <c r="B137"/>
  <c r="B139" s="1"/>
  <c r="AA151"/>
  <c r="O153"/>
  <c r="O155" s="1"/>
  <c r="O152"/>
  <c r="B178"/>
  <c r="B179" s="1"/>
  <c r="B181" s="1"/>
  <c r="B175"/>
  <c r="B177" s="1"/>
  <c r="O192"/>
  <c r="O194" s="1"/>
  <c r="O191"/>
  <c r="AA190"/>
  <c r="I211"/>
  <c r="N211" s="1"/>
  <c r="K211"/>
  <c r="I213"/>
  <c r="N213" s="1"/>
  <c r="K213"/>
  <c r="K215"/>
  <c r="I215"/>
  <c r="N215" s="1"/>
  <c r="K217"/>
  <c r="I217"/>
  <c r="N217" s="1"/>
  <c r="I220"/>
  <c r="N220" s="1"/>
  <c r="K220"/>
  <c r="Z220" s="1"/>
  <c r="B257"/>
  <c r="B254"/>
  <c r="B256" s="1"/>
  <c r="AX7"/>
  <c r="U11"/>
  <c r="AJ33" s="1"/>
  <c r="AE11"/>
  <c r="AK33" s="1"/>
  <c r="L12"/>
  <c r="V12"/>
  <c r="AW12" s="1"/>
  <c r="AF12"/>
  <c r="AX12" s="1"/>
  <c r="K13"/>
  <c r="U13"/>
  <c r="AJ35" s="1"/>
  <c r="AE13"/>
  <c r="AK35" s="1"/>
  <c r="L14"/>
  <c r="V14"/>
  <c r="AW14" s="1"/>
  <c r="AF14"/>
  <c r="AX14" s="1"/>
  <c r="K15"/>
  <c r="U15"/>
  <c r="AJ37" s="1"/>
  <c r="AE15"/>
  <c r="AK37" s="1"/>
  <c r="K17"/>
  <c r="U17"/>
  <c r="AJ39" s="1"/>
  <c r="AE17"/>
  <c r="AK39" s="1"/>
  <c r="L18"/>
  <c r="V18"/>
  <c r="AW18" s="1"/>
  <c r="AF18"/>
  <c r="AX18" s="1"/>
  <c r="K19"/>
  <c r="U19"/>
  <c r="AJ42" s="1"/>
  <c r="AE19"/>
  <c r="AK42" s="1"/>
  <c r="L20"/>
  <c r="V20"/>
  <c r="AW20" s="1"/>
  <c r="AF20"/>
  <c r="AX20" s="1"/>
  <c r="K21"/>
  <c r="AE21"/>
  <c r="AK43" s="1"/>
  <c r="L22"/>
  <c r="V22"/>
  <c r="AW22" s="1"/>
  <c r="AF22"/>
  <c r="AX22" s="1"/>
  <c r="K23"/>
  <c r="U23"/>
  <c r="AJ45" s="1"/>
  <c r="AE23"/>
  <c r="AK45" s="1"/>
  <c r="L24"/>
  <c r="K24" s="1"/>
  <c r="V24"/>
  <c r="AW24" s="1"/>
  <c r="AF24"/>
  <c r="AX24" s="1"/>
  <c r="K25"/>
  <c r="U25"/>
  <c r="AJ47" s="1"/>
  <c r="AE25"/>
  <c r="AK47" s="1"/>
  <c r="K33"/>
  <c r="AM33" s="1"/>
  <c r="U33"/>
  <c r="AN33" s="1"/>
  <c r="V34"/>
  <c r="BA12" s="1"/>
  <c r="L36"/>
  <c r="AZ14" s="1"/>
  <c r="V36"/>
  <c r="BA14" s="1"/>
  <c r="K37"/>
  <c r="AM37" s="1"/>
  <c r="U37"/>
  <c r="AN37" s="1"/>
  <c r="V38"/>
  <c r="BA16" s="1"/>
  <c r="K39"/>
  <c r="AM39" s="1"/>
  <c r="U39"/>
  <c r="AN39" s="1"/>
  <c r="L40"/>
  <c r="AZ18" s="1"/>
  <c r="V40"/>
  <c r="BA18" s="1"/>
  <c r="K41"/>
  <c r="AM41" s="1"/>
  <c r="U41"/>
  <c r="AN41" s="1"/>
  <c r="AE41"/>
  <c r="AO41" s="1"/>
  <c r="L42"/>
  <c r="V42"/>
  <c r="K43"/>
  <c r="AM43" s="1"/>
  <c r="AK175"/>
  <c r="I71"/>
  <c r="C71"/>
  <c r="I78"/>
  <c r="K78"/>
  <c r="I84"/>
  <c r="K84"/>
  <c r="I87"/>
  <c r="K87"/>
  <c r="B103"/>
  <c r="B100"/>
  <c r="B102" s="1"/>
  <c r="O115"/>
  <c r="AA114"/>
  <c r="O116"/>
  <c r="O118" s="1"/>
  <c r="O124"/>
  <c r="O126" s="1"/>
  <c r="O123"/>
  <c r="AA122"/>
  <c r="O135"/>
  <c r="O137" s="1"/>
  <c r="O134"/>
  <c r="AA133"/>
  <c r="B155"/>
  <c r="B157" s="1"/>
  <c r="B158"/>
  <c r="O161"/>
  <c r="O163" s="1"/>
  <c r="O160"/>
  <c r="AA159"/>
  <c r="AA179"/>
  <c r="O181"/>
  <c r="O183" s="1"/>
  <c r="O180"/>
  <c r="B197"/>
  <c r="B198" s="1"/>
  <c r="B200" s="1"/>
  <c r="B194"/>
  <c r="B196" s="1"/>
  <c r="K214"/>
  <c r="I214"/>
  <c r="N214" s="1"/>
  <c r="K218"/>
  <c r="I218"/>
  <c r="N218" s="1"/>
  <c r="K225"/>
  <c r="I225"/>
  <c r="N225" s="1"/>
  <c r="O252"/>
  <c r="O254" s="1"/>
  <c r="O251"/>
  <c r="AA250"/>
  <c r="U43"/>
  <c r="AN43" s="1"/>
  <c r="X276"/>
  <c r="AD278" s="1"/>
  <c r="L44"/>
  <c r="AZ22" s="1"/>
  <c r="V44"/>
  <c r="BA22" s="1"/>
  <c r="K45"/>
  <c r="AM45" s="1"/>
  <c r="U45"/>
  <c r="AN45" s="1"/>
  <c r="L46"/>
  <c r="AZ24" s="1"/>
  <c r="K47"/>
  <c r="AM47" s="1"/>
  <c r="U47"/>
  <c r="AN47" s="1"/>
  <c r="AV58"/>
  <c r="C70"/>
  <c r="I73"/>
  <c r="I74"/>
  <c r="I75"/>
  <c r="I77"/>
  <c r="I80"/>
  <c r="I81"/>
  <c r="I82"/>
  <c r="I83"/>
  <c r="I86"/>
  <c r="I88"/>
  <c r="I90"/>
  <c r="O103"/>
  <c r="O104" s="1"/>
  <c r="O140"/>
  <c r="O141" s="1"/>
  <c r="O171"/>
  <c r="O197"/>
  <c r="O198" s="1"/>
  <c r="C208"/>
  <c r="I212"/>
  <c r="N212" s="1"/>
  <c r="K216"/>
  <c r="E221"/>
  <c r="I222"/>
  <c r="N222" s="1"/>
  <c r="O257"/>
  <c r="O258" s="1"/>
  <c r="AI33" i="4"/>
  <c r="AL33"/>
  <c r="AY11"/>
  <c r="AL36"/>
  <c r="AY14"/>
  <c r="AI38"/>
  <c r="AL38"/>
  <c r="AY16"/>
  <c r="AL39"/>
  <c r="AY17"/>
  <c r="AL40"/>
  <c r="AY18"/>
  <c r="AL41"/>
  <c r="AY19"/>
  <c r="AY20"/>
  <c r="AL42"/>
  <c r="AY22"/>
  <c r="AL44"/>
  <c r="AL45"/>
  <c r="AY23"/>
  <c r="AP24"/>
  <c r="AV24"/>
  <c r="AL47"/>
  <c r="AY25"/>
  <c r="AO33"/>
  <c r="AO35"/>
  <c r="AO36"/>
  <c r="AO37"/>
  <c r="AZ19"/>
  <c r="AZ20"/>
  <c r="BA20"/>
  <c r="BA19"/>
  <c r="AO43"/>
  <c r="AO47"/>
  <c r="W5"/>
  <c r="U11"/>
  <c r="AJ33" s="1"/>
  <c r="AE11"/>
  <c r="AK33" s="1"/>
  <c r="K12"/>
  <c r="AE12"/>
  <c r="AK34" s="1"/>
  <c r="AO12"/>
  <c r="AP12"/>
  <c r="BF16"/>
  <c r="BF22"/>
  <c r="AL35"/>
  <c r="AY13"/>
  <c r="AP14"/>
  <c r="AV14"/>
  <c r="AL37"/>
  <c r="AY15"/>
  <c r="AP18"/>
  <c r="AV18"/>
  <c r="AP20"/>
  <c r="AV20"/>
  <c r="AL43"/>
  <c r="AY21"/>
  <c r="BF21" s="1"/>
  <c r="AP22"/>
  <c r="AV22"/>
  <c r="AY24"/>
  <c r="AL46"/>
  <c r="AW27"/>
  <c r="AM27"/>
  <c r="AN27" s="1"/>
  <c r="AO34"/>
  <c r="AT62"/>
  <c r="AT58" s="1"/>
  <c r="AM35"/>
  <c r="AO38"/>
  <c r="AO40"/>
  <c r="U12"/>
  <c r="AJ34" s="1"/>
  <c r="BF14"/>
  <c r="BF23"/>
  <c r="BF25"/>
  <c r="K80"/>
  <c r="I80"/>
  <c r="K81"/>
  <c r="I81"/>
  <c r="K82"/>
  <c r="I82"/>
  <c r="O98"/>
  <c r="O100" s="1"/>
  <c r="O97"/>
  <c r="AA96"/>
  <c r="B118"/>
  <c r="B120" s="1"/>
  <c r="B121"/>
  <c r="B122" s="1"/>
  <c r="B124" s="1"/>
  <c r="B140"/>
  <c r="B137"/>
  <c r="B139" s="1"/>
  <c r="AA141"/>
  <c r="O143"/>
  <c r="O145" s="1"/>
  <c r="O142"/>
  <c r="O161"/>
  <c r="O163" s="1"/>
  <c r="O160"/>
  <c r="AA159"/>
  <c r="B178"/>
  <c r="B175"/>
  <c r="B177" s="1"/>
  <c r="O190"/>
  <c r="O197"/>
  <c r="O198" s="1"/>
  <c r="K215"/>
  <c r="I215"/>
  <c r="N215" s="1"/>
  <c r="K217"/>
  <c r="I217"/>
  <c r="N217" s="1"/>
  <c r="K225"/>
  <c r="I225"/>
  <c r="N225" s="1"/>
  <c r="B257"/>
  <c r="B254"/>
  <c r="B256" s="1"/>
  <c r="AA258"/>
  <c r="O260"/>
  <c r="O262" s="1"/>
  <c r="O259"/>
  <c r="AR12"/>
  <c r="BE12"/>
  <c r="L13"/>
  <c r="K13" s="1"/>
  <c r="V13"/>
  <c r="AW13" s="1"/>
  <c r="AF13"/>
  <c r="AX13" s="1"/>
  <c r="K14"/>
  <c r="U14"/>
  <c r="AJ36" s="1"/>
  <c r="AE14"/>
  <c r="AK36" s="1"/>
  <c r="AR14"/>
  <c r="BE14"/>
  <c r="L15"/>
  <c r="K15" s="1"/>
  <c r="V15"/>
  <c r="AW15" s="1"/>
  <c r="AF15"/>
  <c r="AX15" s="1"/>
  <c r="AR16"/>
  <c r="AV16"/>
  <c r="BE16"/>
  <c r="L17"/>
  <c r="V17"/>
  <c r="AW17" s="1"/>
  <c r="AF17"/>
  <c r="AX17" s="1"/>
  <c r="K18"/>
  <c r="U18"/>
  <c r="AJ40" s="1"/>
  <c r="AE18"/>
  <c r="AK40" s="1"/>
  <c r="L19"/>
  <c r="K19" s="1"/>
  <c r="V19"/>
  <c r="AW19" s="1"/>
  <c r="AF19"/>
  <c r="AX19" s="1"/>
  <c r="K20"/>
  <c r="U20"/>
  <c r="AE20"/>
  <c r="L21"/>
  <c r="AF21"/>
  <c r="AX21" s="1"/>
  <c r="K22"/>
  <c r="U22"/>
  <c r="AE22"/>
  <c r="AR22"/>
  <c r="BE22"/>
  <c r="L23"/>
  <c r="V23"/>
  <c r="AW23" s="1"/>
  <c r="AF23"/>
  <c r="AX23" s="1"/>
  <c r="K24"/>
  <c r="U24"/>
  <c r="AJ46" s="1"/>
  <c r="AE24"/>
  <c r="AK46" s="1"/>
  <c r="L25"/>
  <c r="V25"/>
  <c r="AW25" s="1"/>
  <c r="AF25"/>
  <c r="AX25" s="1"/>
  <c r="L33"/>
  <c r="AZ11" s="1"/>
  <c r="V33"/>
  <c r="BA11" s="1"/>
  <c r="U34"/>
  <c r="AN34" s="1"/>
  <c r="K36"/>
  <c r="AM36" s="1"/>
  <c r="U36"/>
  <c r="AN36" s="1"/>
  <c r="L37"/>
  <c r="AZ15" s="1"/>
  <c r="V37"/>
  <c r="BA15" s="1"/>
  <c r="U38"/>
  <c r="AN38" s="1"/>
  <c r="L39"/>
  <c r="AZ17" s="1"/>
  <c r="V39"/>
  <c r="BA17" s="1"/>
  <c r="K40"/>
  <c r="AM40" s="1"/>
  <c r="U40"/>
  <c r="AN40" s="1"/>
  <c r="L41"/>
  <c r="K41" s="1"/>
  <c r="AM41" s="1"/>
  <c r="V41"/>
  <c r="U41" s="1"/>
  <c r="AN41" s="1"/>
  <c r="AF41"/>
  <c r="AE41" s="1"/>
  <c r="AO41" s="1"/>
  <c r="K42"/>
  <c r="AM42" s="1"/>
  <c r="U42"/>
  <c r="AN42" s="1"/>
  <c r="K43"/>
  <c r="AM43" s="1"/>
  <c r="U44"/>
  <c r="AN44" s="1"/>
  <c r="K45"/>
  <c r="AM45" s="1"/>
  <c r="U46"/>
  <c r="AN46" s="1"/>
  <c r="K47"/>
  <c r="AM47" s="1"/>
  <c r="AP58"/>
  <c r="I73"/>
  <c r="I75"/>
  <c r="Y82"/>
  <c r="X241"/>
  <c r="AO44"/>
  <c r="Q225"/>
  <c r="Q222"/>
  <c r="Q219"/>
  <c r="Q217"/>
  <c r="Q215"/>
  <c r="Q90"/>
  <c r="AR62" s="1"/>
  <c r="Q86"/>
  <c r="Q85"/>
  <c r="AR43" s="1"/>
  <c r="Q83"/>
  <c r="AR42" s="1"/>
  <c r="Q82"/>
  <c r="AR41" s="1"/>
  <c r="Q81"/>
  <c r="AR40" s="1"/>
  <c r="Q80"/>
  <c r="AR39" s="1"/>
  <c r="Q77"/>
  <c r="AR37" s="1"/>
  <c r="Q75"/>
  <c r="Q74"/>
  <c r="AR34" s="1"/>
  <c r="Q73"/>
  <c r="AR33" s="1"/>
  <c r="Q71"/>
  <c r="Q70"/>
  <c r="Q224"/>
  <c r="Q223"/>
  <c r="Q220"/>
  <c r="Q216"/>
  <c r="Q213"/>
  <c r="Q211"/>
  <c r="Q209"/>
  <c r="Q208"/>
  <c r="Q89"/>
  <c r="AR47" s="1"/>
  <c r="Q87"/>
  <c r="AR44" s="1"/>
  <c r="Q84"/>
  <c r="Q79"/>
  <c r="Q78"/>
  <c r="AR38" s="1"/>
  <c r="Q76"/>
  <c r="AR36" s="1"/>
  <c r="K77"/>
  <c r="I77"/>
  <c r="K83"/>
  <c r="I83"/>
  <c r="K88"/>
  <c r="I88"/>
  <c r="K90"/>
  <c r="I90"/>
  <c r="B103"/>
  <c r="B104" s="1"/>
  <c r="B106" s="1"/>
  <c r="B100"/>
  <c r="B102" s="1"/>
  <c r="AA104"/>
  <c r="O106"/>
  <c r="O108" s="1"/>
  <c r="O105"/>
  <c r="O124"/>
  <c r="O126" s="1"/>
  <c r="O123"/>
  <c r="AA122"/>
  <c r="O135"/>
  <c r="O137" s="1"/>
  <c r="O134"/>
  <c r="AA133"/>
  <c r="B155"/>
  <c r="B157" s="1"/>
  <c r="B158"/>
  <c r="B159" s="1"/>
  <c r="B161" s="1"/>
  <c r="AA179"/>
  <c r="O181"/>
  <c r="O183" s="1"/>
  <c r="O180"/>
  <c r="K212"/>
  <c r="I212"/>
  <c r="N212" s="1"/>
  <c r="K214"/>
  <c r="I214"/>
  <c r="N214" s="1"/>
  <c r="K218"/>
  <c r="I218"/>
  <c r="N218" s="1"/>
  <c r="O252"/>
  <c r="O254" s="1"/>
  <c r="O251"/>
  <c r="AA250"/>
  <c r="U43"/>
  <c r="AN43" s="1"/>
  <c r="K44"/>
  <c r="AM44" s="1"/>
  <c r="U45"/>
  <c r="AN45" s="1"/>
  <c r="K46"/>
  <c r="AM46" s="1"/>
  <c r="U47"/>
  <c r="AN47" s="1"/>
  <c r="AE58"/>
  <c r="AK62" s="1"/>
  <c r="AP62" s="1"/>
  <c r="Y73"/>
  <c r="Y80"/>
  <c r="Y81"/>
  <c r="AD278"/>
  <c r="K76"/>
  <c r="K78"/>
  <c r="K79"/>
  <c r="K84"/>
  <c r="K87"/>
  <c r="K89"/>
  <c r="O114"/>
  <c r="AI115"/>
  <c r="AL114" s="1"/>
  <c r="AL113" s="1"/>
  <c r="AO113" s="1"/>
  <c r="AO114" s="1"/>
  <c r="O151"/>
  <c r="O172"/>
  <c r="O173"/>
  <c r="O175" s="1"/>
  <c r="K211"/>
  <c r="K213"/>
  <c r="K216"/>
  <c r="K220"/>
  <c r="Z220" s="1"/>
  <c r="I221"/>
  <c r="N221" s="1"/>
  <c r="AD241"/>
  <c r="AD243" s="1"/>
  <c r="B188"/>
  <c r="B189" s="1"/>
  <c r="B190" s="1"/>
  <c r="B192" s="1"/>
  <c r="C209"/>
  <c r="BB7" i="12" l="1"/>
  <c r="B1"/>
  <c r="B3" s="1"/>
  <c r="AT23" i="11"/>
  <c r="AT24"/>
  <c r="BE26"/>
  <c r="AP40"/>
  <c r="AT48"/>
  <c r="AR1" s="1"/>
  <c r="AP36"/>
  <c r="C60"/>
  <c r="M60" s="1"/>
  <c r="W60" s="1"/>
  <c r="M27"/>
  <c r="AZ7"/>
  <c r="BF26"/>
  <c r="AP44"/>
  <c r="AP36" i="9"/>
  <c r="C60"/>
  <c r="M60" s="1"/>
  <c r="W60" s="1"/>
  <c r="M27"/>
  <c r="AZ7"/>
  <c r="BE26"/>
  <c r="AT48"/>
  <c r="AR1" s="1"/>
  <c r="BF26"/>
  <c r="AP39" i="8"/>
  <c r="AP37"/>
  <c r="AT48"/>
  <c r="AR1" s="1"/>
  <c r="AT11"/>
  <c r="BF26"/>
  <c r="AP47"/>
  <c r="C60"/>
  <c r="M60" s="1"/>
  <c r="W60" s="1"/>
  <c r="M27"/>
  <c r="AZ7"/>
  <c r="BE26"/>
  <c r="AP12" i="7"/>
  <c r="BE24"/>
  <c r="AR24"/>
  <c r="B179"/>
  <c r="B181" s="1"/>
  <c r="B122"/>
  <c r="B124" s="1"/>
  <c r="AP62"/>
  <c r="B159"/>
  <c r="B161" s="1"/>
  <c r="B104"/>
  <c r="B106" s="1"/>
  <c r="AZ19"/>
  <c r="AZ18"/>
  <c r="U15"/>
  <c r="AJ37" s="1"/>
  <c r="AJ35"/>
  <c r="U77"/>
  <c r="W77" s="1"/>
  <c r="AV15"/>
  <c r="AP15"/>
  <c r="AV12"/>
  <c r="K12"/>
  <c r="AI34" s="1"/>
  <c r="U82"/>
  <c r="W82" s="1"/>
  <c r="AI47"/>
  <c r="AI41"/>
  <c r="AI36"/>
  <c r="AI33"/>
  <c r="AA171"/>
  <c r="O173"/>
  <c r="O175" s="1"/>
  <c r="O172"/>
  <c r="AA104"/>
  <c r="O106"/>
  <c r="O108" s="1"/>
  <c r="O105"/>
  <c r="N87"/>
  <c r="BD23"/>
  <c r="N82"/>
  <c r="BD19"/>
  <c r="N86"/>
  <c r="BD22"/>
  <c r="N83"/>
  <c r="BD20"/>
  <c r="BD15"/>
  <c r="N75"/>
  <c r="BD13"/>
  <c r="Q225"/>
  <c r="Q222"/>
  <c r="Q221"/>
  <c r="Q219"/>
  <c r="Q218"/>
  <c r="Q217"/>
  <c r="Q215"/>
  <c r="Q214"/>
  <c r="Q212"/>
  <c r="Q90"/>
  <c r="AR62" s="1"/>
  <c r="Q87"/>
  <c r="Q85"/>
  <c r="Q84"/>
  <c r="AR42" s="1"/>
  <c r="Q82"/>
  <c r="AR41" s="1"/>
  <c r="Q81"/>
  <c r="Q80"/>
  <c r="Q79"/>
  <c r="Q76"/>
  <c r="AR36" s="1"/>
  <c r="Q74"/>
  <c r="Q73"/>
  <c r="Q71"/>
  <c r="Q70"/>
  <c r="Q224"/>
  <c r="Q223"/>
  <c r="Q220"/>
  <c r="Q216"/>
  <c r="Q213"/>
  <c r="Q211"/>
  <c r="Q209"/>
  <c r="Q208"/>
  <c r="Q89"/>
  <c r="AR47" s="1"/>
  <c r="Q86"/>
  <c r="AR43" s="1"/>
  <c r="Q83"/>
  <c r="Q78"/>
  <c r="AR37"/>
  <c r="Q75"/>
  <c r="AR35" s="1"/>
  <c r="N71"/>
  <c r="U79"/>
  <c r="W79" s="1"/>
  <c r="AO39"/>
  <c r="U75"/>
  <c r="W75" s="1"/>
  <c r="AO35"/>
  <c r="AI45"/>
  <c r="AK43"/>
  <c r="AK40"/>
  <c r="AI43"/>
  <c r="AI40"/>
  <c r="AT39"/>
  <c r="AT17" s="1"/>
  <c r="AI39"/>
  <c r="AP39" s="1"/>
  <c r="AT35"/>
  <c r="AT13" s="1"/>
  <c r="AI35"/>
  <c r="AP35" s="1"/>
  <c r="N89"/>
  <c r="BD25"/>
  <c r="AE43"/>
  <c r="K43"/>
  <c r="AM43" s="1"/>
  <c r="AT41"/>
  <c r="U33"/>
  <c r="AN33" s="1"/>
  <c r="AE25"/>
  <c r="AK47" s="1"/>
  <c r="U20"/>
  <c r="AJ42" s="1"/>
  <c r="AE18"/>
  <c r="AK41" s="1"/>
  <c r="U16"/>
  <c r="AJ38" s="1"/>
  <c r="AE11"/>
  <c r="AK33" s="1"/>
  <c r="AP23"/>
  <c r="AT15"/>
  <c r="AT34"/>
  <c r="AT12" s="1"/>
  <c r="AE38"/>
  <c r="AO38" s="1"/>
  <c r="K38"/>
  <c r="AM38" s="1"/>
  <c r="K36"/>
  <c r="AM36" s="1"/>
  <c r="U22"/>
  <c r="AJ44" s="1"/>
  <c r="AE14"/>
  <c r="AK36" s="1"/>
  <c r="AP21"/>
  <c r="AA258"/>
  <c r="O260"/>
  <c r="O262" s="1"/>
  <c r="O259"/>
  <c r="AA198"/>
  <c r="O200"/>
  <c r="O202" s="1"/>
  <c r="O199"/>
  <c r="AA141"/>
  <c r="O143"/>
  <c r="O145" s="1"/>
  <c r="O142"/>
  <c r="BD58"/>
  <c r="N90"/>
  <c r="N85"/>
  <c r="BD21"/>
  <c r="N81"/>
  <c r="BD18"/>
  <c r="N74"/>
  <c r="BD12"/>
  <c r="AO47"/>
  <c r="AO42"/>
  <c r="N80"/>
  <c r="BD17"/>
  <c r="N79"/>
  <c r="BD16"/>
  <c r="N76"/>
  <c r="BD14"/>
  <c r="U74"/>
  <c r="W74" s="1"/>
  <c r="AO34"/>
  <c r="AV25"/>
  <c r="AP25"/>
  <c r="AV22"/>
  <c r="AP22"/>
  <c r="AJ43"/>
  <c r="AJ40"/>
  <c r="AV20"/>
  <c r="AP20"/>
  <c r="AV18"/>
  <c r="AP18"/>
  <c r="AV16"/>
  <c r="AP16"/>
  <c r="AV14"/>
  <c r="AP14"/>
  <c r="AV11"/>
  <c r="AZ28" s="1"/>
  <c r="BD30" s="1"/>
  <c r="AP11"/>
  <c r="AR48" s="1"/>
  <c r="N73"/>
  <c r="BD11"/>
  <c r="U89"/>
  <c r="W89" s="1"/>
  <c r="AO27"/>
  <c r="C27"/>
  <c r="AY7"/>
  <c r="AE45"/>
  <c r="AO45" s="1"/>
  <c r="U43"/>
  <c r="AN43" s="1"/>
  <c r="B258"/>
  <c r="B260" s="1"/>
  <c r="B198"/>
  <c r="B200" s="1"/>
  <c r="B141"/>
  <c r="B143" s="1"/>
  <c r="AE33"/>
  <c r="K33"/>
  <c r="AM33" s="1"/>
  <c r="U25"/>
  <c r="AJ47" s="1"/>
  <c r="AE20"/>
  <c r="AK42" s="1"/>
  <c r="K20"/>
  <c r="U18"/>
  <c r="AJ41" s="1"/>
  <c r="AE16"/>
  <c r="AK38" s="1"/>
  <c r="K16"/>
  <c r="U11"/>
  <c r="AJ33" s="1"/>
  <c r="AP37"/>
  <c r="AP34"/>
  <c r="U38"/>
  <c r="AN38" s="1"/>
  <c r="U36"/>
  <c r="AE22"/>
  <c r="AK44" s="1"/>
  <c r="K22"/>
  <c r="U14"/>
  <c r="AJ36" s="1"/>
  <c r="AE18" i="6"/>
  <c r="AK40" s="1"/>
  <c r="U46"/>
  <c r="AN46" s="1"/>
  <c r="U78"/>
  <c r="W78" s="1"/>
  <c r="AP23"/>
  <c r="AP13"/>
  <c r="AI43"/>
  <c r="AI39"/>
  <c r="AT42"/>
  <c r="AA198"/>
  <c r="O200"/>
  <c r="O202" s="1"/>
  <c r="O199"/>
  <c r="AA141"/>
  <c r="O143"/>
  <c r="O145" s="1"/>
  <c r="O142"/>
  <c r="BD58"/>
  <c r="N90"/>
  <c r="N86"/>
  <c r="BD22"/>
  <c r="N82"/>
  <c r="BD19"/>
  <c r="N77"/>
  <c r="BD15"/>
  <c r="N74"/>
  <c r="BD12"/>
  <c r="AO47"/>
  <c r="AO43"/>
  <c r="BA20"/>
  <c r="BA19"/>
  <c r="U76"/>
  <c r="W76" s="1"/>
  <c r="AO36"/>
  <c r="AV25"/>
  <c r="AP25"/>
  <c r="AK44"/>
  <c r="AK41"/>
  <c r="AI44"/>
  <c r="AI41"/>
  <c r="AV19"/>
  <c r="AP19"/>
  <c r="AT36"/>
  <c r="AT14" s="1"/>
  <c r="AI36"/>
  <c r="AP36" s="1"/>
  <c r="AV11"/>
  <c r="AP11"/>
  <c r="N80"/>
  <c r="BD17"/>
  <c r="U89"/>
  <c r="W89" s="1"/>
  <c r="AO27"/>
  <c r="AE46"/>
  <c r="AO46" s="1"/>
  <c r="K46"/>
  <c r="AM46" s="1"/>
  <c r="U44"/>
  <c r="AN44" s="1"/>
  <c r="B198"/>
  <c r="B200" s="1"/>
  <c r="B258"/>
  <c r="B260" s="1"/>
  <c r="B141"/>
  <c r="B143" s="1"/>
  <c r="AE39"/>
  <c r="AO39" s="1"/>
  <c r="K39"/>
  <c r="AM39" s="1"/>
  <c r="U25"/>
  <c r="AJ47" s="1"/>
  <c r="U15"/>
  <c r="AJ37" s="1"/>
  <c r="AP38"/>
  <c r="AE37"/>
  <c r="K37"/>
  <c r="AM37" s="1"/>
  <c r="U33"/>
  <c r="AN33" s="1"/>
  <c r="AE23"/>
  <c r="AK45" s="1"/>
  <c r="AE21"/>
  <c r="AK43" s="1"/>
  <c r="AE19"/>
  <c r="AK42" s="1"/>
  <c r="K19"/>
  <c r="AE17"/>
  <c r="AK39" s="1"/>
  <c r="AE11"/>
  <c r="AK33" s="1"/>
  <c r="K11"/>
  <c r="AP24"/>
  <c r="AP22"/>
  <c r="AA171"/>
  <c r="O173"/>
  <c r="O175" s="1"/>
  <c r="O172"/>
  <c r="AA104"/>
  <c r="O106"/>
  <c r="O108" s="1"/>
  <c r="O105"/>
  <c r="N88"/>
  <c r="BD24"/>
  <c r="N83"/>
  <c r="BD20"/>
  <c r="N81"/>
  <c r="BD18"/>
  <c r="N75"/>
  <c r="BD13"/>
  <c r="N73"/>
  <c r="BD11"/>
  <c r="BB19"/>
  <c r="BB20"/>
  <c r="AZ19"/>
  <c r="AZ20"/>
  <c r="N87"/>
  <c r="BD23"/>
  <c r="N84"/>
  <c r="BD21"/>
  <c r="N76"/>
  <c r="BD14"/>
  <c r="U80"/>
  <c r="W80" s="1"/>
  <c r="AO40"/>
  <c r="AJ44"/>
  <c r="AJ41"/>
  <c r="AV21"/>
  <c r="AP21"/>
  <c r="AV17"/>
  <c r="AP17"/>
  <c r="AV15"/>
  <c r="AP15"/>
  <c r="C27"/>
  <c r="AY7"/>
  <c r="N89"/>
  <c r="BD25"/>
  <c r="N78"/>
  <c r="BD16"/>
  <c r="Q225"/>
  <c r="Q222"/>
  <c r="Q221"/>
  <c r="Q219"/>
  <c r="Q218"/>
  <c r="Q217"/>
  <c r="Q215"/>
  <c r="Q214"/>
  <c r="Q212"/>
  <c r="Q90"/>
  <c r="AR62" s="1"/>
  <c r="Q88"/>
  <c r="Q86"/>
  <c r="Q85"/>
  <c r="AR43" s="1"/>
  <c r="Q83"/>
  <c r="AR42" s="1"/>
  <c r="Q82"/>
  <c r="Q81"/>
  <c r="Q80"/>
  <c r="Q77"/>
  <c r="AR37" s="1"/>
  <c r="Q75"/>
  <c r="Q74"/>
  <c r="Q73"/>
  <c r="Q71"/>
  <c r="Q70"/>
  <c r="Q224"/>
  <c r="Q223"/>
  <c r="Q220"/>
  <c r="Q216"/>
  <c r="Q213"/>
  <c r="Q211"/>
  <c r="Q209"/>
  <c r="Q208"/>
  <c r="Q89"/>
  <c r="AR47" s="1"/>
  <c r="Q87"/>
  <c r="AR44" s="1"/>
  <c r="Q84"/>
  <c r="Q79"/>
  <c r="Q78"/>
  <c r="AR38" s="1"/>
  <c r="Q76"/>
  <c r="AR36" s="1"/>
  <c r="N71"/>
  <c r="AT40"/>
  <c r="AT18" s="1"/>
  <c r="AI40"/>
  <c r="AP40" s="1"/>
  <c r="AE44"/>
  <c r="K44"/>
  <c r="AM44" s="1"/>
  <c r="U39"/>
  <c r="AN39" s="1"/>
  <c r="AE25"/>
  <c r="AK47" s="1"/>
  <c r="K25"/>
  <c r="AE15"/>
  <c r="AK37" s="1"/>
  <c r="K15"/>
  <c r="AP46"/>
  <c r="AP20"/>
  <c r="AT38"/>
  <c r="AT16" s="1"/>
  <c r="U37"/>
  <c r="AN37" s="1"/>
  <c r="AE33"/>
  <c r="K33"/>
  <c r="AM33" s="1"/>
  <c r="U23"/>
  <c r="U21"/>
  <c r="AJ43" s="1"/>
  <c r="U19"/>
  <c r="AJ42" s="1"/>
  <c r="U17"/>
  <c r="AJ39" s="1"/>
  <c r="AE13"/>
  <c r="U11"/>
  <c r="AJ33" s="1"/>
  <c r="AP34"/>
  <c r="AE46" i="5"/>
  <c r="AO46" s="1"/>
  <c r="AE44"/>
  <c r="AO44" s="1"/>
  <c r="AP17"/>
  <c r="AE39"/>
  <c r="AO39" s="1"/>
  <c r="AP15"/>
  <c r="AE37"/>
  <c r="AO37" s="1"/>
  <c r="AE33"/>
  <c r="AO33" s="1"/>
  <c r="AP21"/>
  <c r="U21"/>
  <c r="AJ43" s="1"/>
  <c r="AP11"/>
  <c r="K11"/>
  <c r="AI33" s="1"/>
  <c r="AI46"/>
  <c r="AA171"/>
  <c r="O173"/>
  <c r="O175" s="1"/>
  <c r="O172"/>
  <c r="AA104"/>
  <c r="O106"/>
  <c r="O108" s="1"/>
  <c r="O105"/>
  <c r="N88"/>
  <c r="BD24"/>
  <c r="N83"/>
  <c r="BD20"/>
  <c r="N81"/>
  <c r="BD18"/>
  <c r="N77"/>
  <c r="BD15"/>
  <c r="N74"/>
  <c r="BD12"/>
  <c r="AZ20"/>
  <c r="AZ19"/>
  <c r="AT47"/>
  <c r="AT25" s="1"/>
  <c r="U83"/>
  <c r="W83" s="1"/>
  <c r="AI47"/>
  <c r="AP47" s="1"/>
  <c r="AT45"/>
  <c r="AI45"/>
  <c r="AP45" s="1"/>
  <c r="AV20"/>
  <c r="AP20"/>
  <c r="AV18"/>
  <c r="AP18"/>
  <c r="AV14"/>
  <c r="AP14"/>
  <c r="AV12"/>
  <c r="AP12"/>
  <c r="N89"/>
  <c r="BD25"/>
  <c r="N76"/>
  <c r="BD14"/>
  <c r="C60"/>
  <c r="M60" s="1"/>
  <c r="W60" s="1"/>
  <c r="M27"/>
  <c r="AZ7"/>
  <c r="U89"/>
  <c r="W89" s="1"/>
  <c r="AO27"/>
  <c r="U44"/>
  <c r="AP16"/>
  <c r="U81"/>
  <c r="W81" s="1"/>
  <c r="U85"/>
  <c r="W85" s="1"/>
  <c r="K42"/>
  <c r="AM42" s="1"/>
  <c r="K36"/>
  <c r="AM36" s="1"/>
  <c r="U20"/>
  <c r="AE18"/>
  <c r="AK40" s="1"/>
  <c r="K18"/>
  <c r="U14"/>
  <c r="AJ36" s="1"/>
  <c r="AE12"/>
  <c r="AK34" s="1"/>
  <c r="K12"/>
  <c r="U40"/>
  <c r="U38"/>
  <c r="AE24"/>
  <c r="AK46" s="1"/>
  <c r="U22"/>
  <c r="AP19"/>
  <c r="AT33"/>
  <c r="AA258"/>
  <c r="O260"/>
  <c r="O262" s="1"/>
  <c r="O259"/>
  <c r="K221"/>
  <c r="I221"/>
  <c r="N221" s="1"/>
  <c r="AA198"/>
  <c r="O200"/>
  <c r="O202" s="1"/>
  <c r="O199"/>
  <c r="AA141"/>
  <c r="O143"/>
  <c r="O145" s="1"/>
  <c r="O142"/>
  <c r="BD58"/>
  <c r="N90"/>
  <c r="N86"/>
  <c r="BD22"/>
  <c r="N82"/>
  <c r="BD19"/>
  <c r="N80"/>
  <c r="BD17"/>
  <c r="N75"/>
  <c r="BD13"/>
  <c r="N73"/>
  <c r="BD11"/>
  <c r="N87"/>
  <c r="BD23"/>
  <c r="N84"/>
  <c r="BD21"/>
  <c r="N78"/>
  <c r="BD16"/>
  <c r="Q225"/>
  <c r="Q222"/>
  <c r="Q221"/>
  <c r="Q219"/>
  <c r="Q218"/>
  <c r="Q217"/>
  <c r="Q215"/>
  <c r="Q214"/>
  <c r="Q212"/>
  <c r="Q90"/>
  <c r="AR62" s="1"/>
  <c r="Q88"/>
  <c r="Q86"/>
  <c r="Q85"/>
  <c r="AR43" s="1"/>
  <c r="Q83"/>
  <c r="AR42" s="1"/>
  <c r="Q82"/>
  <c r="Q81"/>
  <c r="Q80"/>
  <c r="Q77"/>
  <c r="AR37" s="1"/>
  <c r="Q75"/>
  <c r="Q74"/>
  <c r="Q73"/>
  <c r="Q71"/>
  <c r="Q70"/>
  <c r="Q224"/>
  <c r="Q223"/>
  <c r="Q220"/>
  <c r="Q216"/>
  <c r="Q213"/>
  <c r="Q211"/>
  <c r="Q209"/>
  <c r="Q208"/>
  <c r="Q89"/>
  <c r="AR47" s="1"/>
  <c r="Q87"/>
  <c r="AR44" s="1"/>
  <c r="Q84"/>
  <c r="Q79"/>
  <c r="Q78"/>
  <c r="AR38" s="1"/>
  <c r="Q76"/>
  <c r="AR36" s="1"/>
  <c r="N71"/>
  <c r="BA19"/>
  <c r="BA20"/>
  <c r="AV24"/>
  <c r="AP24"/>
  <c r="AV22"/>
  <c r="AP22"/>
  <c r="AR48" s="1"/>
  <c r="AT43"/>
  <c r="AT21" s="1"/>
  <c r="AI43"/>
  <c r="AP43" s="1"/>
  <c r="AI42"/>
  <c r="AT41"/>
  <c r="AT39"/>
  <c r="AT17" s="1"/>
  <c r="AI39"/>
  <c r="AP39" s="1"/>
  <c r="AT37"/>
  <c r="AT15" s="1"/>
  <c r="AI37"/>
  <c r="AP37" s="1"/>
  <c r="AT35"/>
  <c r="AT13" s="1"/>
  <c r="AI35"/>
  <c r="AP35" s="1"/>
  <c r="B159"/>
  <c r="B161" s="1"/>
  <c r="B104"/>
  <c r="B106" s="1"/>
  <c r="K46"/>
  <c r="AM46" s="1"/>
  <c r="K44"/>
  <c r="AM44" s="1"/>
  <c r="B258"/>
  <c r="B260" s="1"/>
  <c r="B141"/>
  <c r="B143" s="1"/>
  <c r="U42"/>
  <c r="AN42" s="1"/>
  <c r="U36"/>
  <c r="AE20"/>
  <c r="K20"/>
  <c r="U18"/>
  <c r="AJ40" s="1"/>
  <c r="AE14"/>
  <c r="AK36" s="1"/>
  <c r="K14"/>
  <c r="U12"/>
  <c r="AJ34" s="1"/>
  <c r="U77"/>
  <c r="W77" s="1"/>
  <c r="U75"/>
  <c r="W75" s="1"/>
  <c r="U73"/>
  <c r="W73" s="1"/>
  <c r="K40"/>
  <c r="AM40" s="1"/>
  <c r="U34"/>
  <c r="U24"/>
  <c r="AJ46" s="1"/>
  <c r="AE22"/>
  <c r="K22"/>
  <c r="AP33"/>
  <c r="AI42" i="4"/>
  <c r="AI37"/>
  <c r="AI35"/>
  <c r="AA151"/>
  <c r="O153"/>
  <c r="O155" s="1"/>
  <c r="O152"/>
  <c r="O115"/>
  <c r="AA114"/>
  <c r="O116"/>
  <c r="O118" s="1"/>
  <c r="BD58"/>
  <c r="N90"/>
  <c r="N88"/>
  <c r="BD24"/>
  <c r="N83"/>
  <c r="BD20"/>
  <c r="N77"/>
  <c r="BD15"/>
  <c r="Y75"/>
  <c r="AR35"/>
  <c r="N75"/>
  <c r="BD13"/>
  <c r="N73"/>
  <c r="BD11"/>
  <c r="AV25"/>
  <c r="AP25"/>
  <c r="AV23"/>
  <c r="AP23"/>
  <c r="AJ44"/>
  <c r="AJ41"/>
  <c r="AT40"/>
  <c r="AT18" s="1"/>
  <c r="AI40"/>
  <c r="AP40" s="1"/>
  <c r="AT36"/>
  <c r="AT14" s="1"/>
  <c r="AI36"/>
  <c r="AP36" s="1"/>
  <c r="O192"/>
  <c r="O194" s="1"/>
  <c r="O191"/>
  <c r="AA190"/>
  <c r="N82"/>
  <c r="BD19"/>
  <c r="N81"/>
  <c r="BD18"/>
  <c r="N80"/>
  <c r="BD17"/>
  <c r="U89"/>
  <c r="W89" s="1"/>
  <c r="AO27"/>
  <c r="AL34"/>
  <c r="AY12"/>
  <c r="BF12" s="1"/>
  <c r="AT34"/>
  <c r="AT12" s="1"/>
  <c r="AI34"/>
  <c r="Q88"/>
  <c r="Q212"/>
  <c r="Q218"/>
  <c r="Q221"/>
  <c r="U87"/>
  <c r="W87" s="1"/>
  <c r="AT42"/>
  <c r="B258"/>
  <c r="B260" s="1"/>
  <c r="B179"/>
  <c r="B181" s="1"/>
  <c r="B141"/>
  <c r="B143" s="1"/>
  <c r="K39"/>
  <c r="AM39" s="1"/>
  <c r="AE15"/>
  <c r="AK37" s="1"/>
  <c r="AE13"/>
  <c r="K37"/>
  <c r="AM37" s="1"/>
  <c r="K33"/>
  <c r="AM33" s="1"/>
  <c r="U25"/>
  <c r="AJ47" s="1"/>
  <c r="AE23"/>
  <c r="AK45" s="1"/>
  <c r="K23"/>
  <c r="AE19"/>
  <c r="AK42" s="1"/>
  <c r="U17"/>
  <c r="AJ39" s="1"/>
  <c r="AP38"/>
  <c r="B197"/>
  <c r="B194"/>
  <c r="B196" s="1"/>
  <c r="AI46"/>
  <c r="AP46" s="1"/>
  <c r="AT46"/>
  <c r="AK44"/>
  <c r="AK41"/>
  <c r="AI44"/>
  <c r="AP44" s="1"/>
  <c r="AT44"/>
  <c r="AT22" s="1"/>
  <c r="AI41"/>
  <c r="AV21"/>
  <c r="AP21"/>
  <c r="AV19"/>
  <c r="AP19"/>
  <c r="AV17"/>
  <c r="AP17"/>
  <c r="AV15"/>
  <c r="AP15"/>
  <c r="AV13"/>
  <c r="AP13"/>
  <c r="AA198"/>
  <c r="O200"/>
  <c r="O202" s="1"/>
  <c r="O199"/>
  <c r="AG5"/>
  <c r="AX7"/>
  <c r="Q214"/>
  <c r="Y74"/>
  <c r="U39"/>
  <c r="AN39" s="1"/>
  <c r="AE21"/>
  <c r="AK43" s="1"/>
  <c r="U15"/>
  <c r="AJ37" s="1"/>
  <c r="U13"/>
  <c r="AJ35" s="1"/>
  <c r="AP11"/>
  <c r="AR48" s="1"/>
  <c r="U80"/>
  <c r="W80" s="1"/>
  <c r="U78"/>
  <c r="W78" s="1"/>
  <c r="U74"/>
  <c r="W74" s="1"/>
  <c r="U37"/>
  <c r="U33"/>
  <c r="AE25"/>
  <c r="AK47" s="1"/>
  <c r="K25"/>
  <c r="U23"/>
  <c r="AJ45" s="1"/>
  <c r="K21"/>
  <c r="U19"/>
  <c r="AJ42" s="1"/>
  <c r="AE17"/>
  <c r="AK39" s="1"/>
  <c r="K17"/>
  <c r="U81"/>
  <c r="W81" s="1"/>
  <c r="U85"/>
  <c r="W85" s="1"/>
  <c r="U76"/>
  <c r="W76" s="1"/>
  <c r="AT38"/>
  <c r="AT16" s="1"/>
  <c r="BA7" i="11" l="1"/>
  <c r="W27"/>
  <c r="BA7" i="9"/>
  <c r="W27"/>
  <c r="BA7" i="8"/>
  <c r="W27"/>
  <c r="AT44" i="7"/>
  <c r="AT22" s="1"/>
  <c r="AI44"/>
  <c r="AP44" s="1"/>
  <c r="AN36"/>
  <c r="U76"/>
  <c r="W76" s="1"/>
  <c r="AT42"/>
  <c r="AT20" s="1"/>
  <c r="AI42"/>
  <c r="AP42" s="1"/>
  <c r="U73"/>
  <c r="W73" s="1"/>
  <c r="AO33"/>
  <c r="BE11"/>
  <c r="AR11"/>
  <c r="BF11"/>
  <c r="BE14"/>
  <c r="AR14"/>
  <c r="BF14"/>
  <c r="BE16"/>
  <c r="AR16"/>
  <c r="BF16"/>
  <c r="BF17"/>
  <c r="BE17"/>
  <c r="AR17"/>
  <c r="BF12"/>
  <c r="BE12"/>
  <c r="AR12"/>
  <c r="BE18"/>
  <c r="AR18"/>
  <c r="BF18"/>
  <c r="BF21"/>
  <c r="BE21"/>
  <c r="AR21"/>
  <c r="AT19"/>
  <c r="U86"/>
  <c r="W86" s="1"/>
  <c r="AO43"/>
  <c r="Y74"/>
  <c r="AR34"/>
  <c r="Y80"/>
  <c r="AR39"/>
  <c r="BF13"/>
  <c r="BE13"/>
  <c r="AR13"/>
  <c r="BF15"/>
  <c r="BE15"/>
  <c r="AR15"/>
  <c r="BE20"/>
  <c r="AR20"/>
  <c r="BF20"/>
  <c r="BE22"/>
  <c r="AR22"/>
  <c r="BF22"/>
  <c r="BF19"/>
  <c r="BE19"/>
  <c r="AR19"/>
  <c r="BF23"/>
  <c r="BE23"/>
  <c r="AR23"/>
  <c r="AT43"/>
  <c r="AT21" s="1"/>
  <c r="AT45"/>
  <c r="AT33"/>
  <c r="AT36"/>
  <c r="AT14" s="1"/>
  <c r="AT40"/>
  <c r="AT18" s="1"/>
  <c r="AP47"/>
  <c r="AT47"/>
  <c r="AI38"/>
  <c r="AP38" s="1"/>
  <c r="AT38"/>
  <c r="AT16" s="1"/>
  <c r="C60"/>
  <c r="M60" s="1"/>
  <c r="W60" s="1"/>
  <c r="AZ7"/>
  <c r="M27"/>
  <c r="BF58"/>
  <c r="BE58"/>
  <c r="AR58"/>
  <c r="BE25"/>
  <c r="AR25"/>
  <c r="BF25"/>
  <c r="AR33"/>
  <c r="Y73"/>
  <c r="AR38"/>
  <c r="Y79"/>
  <c r="Y81"/>
  <c r="AR40"/>
  <c r="AR45"/>
  <c r="AR44"/>
  <c r="U84"/>
  <c r="W84" s="1"/>
  <c r="U80"/>
  <c r="W80" s="1"/>
  <c r="AP40"/>
  <c r="AP43"/>
  <c r="AP45"/>
  <c r="AP33"/>
  <c r="AP36"/>
  <c r="AP41"/>
  <c r="AT46" i="6"/>
  <c r="AT24" s="1"/>
  <c r="AI37"/>
  <c r="AT37"/>
  <c r="AT15" s="1"/>
  <c r="AT47"/>
  <c r="AT25" s="1"/>
  <c r="U83"/>
  <c r="W83" s="1"/>
  <c r="AI47"/>
  <c r="AP47" s="1"/>
  <c r="U87"/>
  <c r="W87" s="1"/>
  <c r="AO44"/>
  <c r="Y73"/>
  <c r="AR33"/>
  <c r="AR35"/>
  <c r="Y75"/>
  <c r="AR39"/>
  <c r="Y80"/>
  <c r="Y82"/>
  <c r="AR41"/>
  <c r="AR46"/>
  <c r="AR45"/>
  <c r="C60"/>
  <c r="M60" s="1"/>
  <c r="W60" s="1"/>
  <c r="AZ7"/>
  <c r="M27"/>
  <c r="AI33"/>
  <c r="AT33"/>
  <c r="BF12"/>
  <c r="BE12"/>
  <c r="AR12"/>
  <c r="BE15"/>
  <c r="AR15"/>
  <c r="BF15"/>
  <c r="BE19"/>
  <c r="AR19"/>
  <c r="BF19"/>
  <c r="BF22"/>
  <c r="BE22"/>
  <c r="AR22"/>
  <c r="AT20"/>
  <c r="AT19"/>
  <c r="AZ28"/>
  <c r="BD30" s="1"/>
  <c r="AT44"/>
  <c r="AT22" s="1"/>
  <c r="AP39"/>
  <c r="AT43"/>
  <c r="AT21" s="1"/>
  <c r="AK35"/>
  <c r="AP35" s="1"/>
  <c r="AT35"/>
  <c r="AT13" s="1"/>
  <c r="U75"/>
  <c r="W75" s="1"/>
  <c r="AJ45"/>
  <c r="AP45" s="1"/>
  <c r="AT45"/>
  <c r="U73"/>
  <c r="W73" s="1"/>
  <c r="AO33"/>
  <c r="Y74"/>
  <c r="AR34"/>
  <c r="Y81"/>
  <c r="AR40"/>
  <c r="BF16"/>
  <c r="BE16"/>
  <c r="AR16"/>
  <c r="BE25"/>
  <c r="AR25"/>
  <c r="BF25"/>
  <c r="BF14"/>
  <c r="BE14"/>
  <c r="AR14"/>
  <c r="BE21"/>
  <c r="AR21"/>
  <c r="BF21"/>
  <c r="BE23"/>
  <c r="AR23"/>
  <c r="BF23"/>
  <c r="BE11"/>
  <c r="AR11"/>
  <c r="BF11"/>
  <c r="BE13"/>
  <c r="AR13"/>
  <c r="BF13"/>
  <c r="BF18"/>
  <c r="BE18"/>
  <c r="AR18"/>
  <c r="BF20"/>
  <c r="BE20"/>
  <c r="AR20"/>
  <c r="BF24"/>
  <c r="BE24"/>
  <c r="AR24"/>
  <c r="AI42"/>
  <c r="AP42" s="1"/>
  <c r="AT41"/>
  <c r="U77"/>
  <c r="W77" s="1"/>
  <c r="AO37"/>
  <c r="BE17"/>
  <c r="AR17"/>
  <c r="BF17"/>
  <c r="BF58"/>
  <c r="BE58"/>
  <c r="AR58"/>
  <c r="AR48"/>
  <c r="AP41"/>
  <c r="AP44"/>
  <c r="U85"/>
  <c r="W85" s="1"/>
  <c r="U81"/>
  <c r="W81" s="1"/>
  <c r="AT39"/>
  <c r="AT17" s="1"/>
  <c r="AP43"/>
  <c r="AI44" i="5"/>
  <c r="AT44"/>
  <c r="AT22" s="1"/>
  <c r="AI41"/>
  <c r="AI36"/>
  <c r="AT36"/>
  <c r="AT14" s="1"/>
  <c r="Y73"/>
  <c r="AR33"/>
  <c r="AR35"/>
  <c r="Y75"/>
  <c r="Y80"/>
  <c r="AR39"/>
  <c r="Y82"/>
  <c r="AR41"/>
  <c r="AR46"/>
  <c r="AR45"/>
  <c r="BF58"/>
  <c r="BE58"/>
  <c r="AR58"/>
  <c r="AT11"/>
  <c r="AN40"/>
  <c r="U80"/>
  <c r="W80" s="1"/>
  <c r="AI40"/>
  <c r="AP40" s="1"/>
  <c r="AT40"/>
  <c r="AT18" s="1"/>
  <c r="AN44"/>
  <c r="U87"/>
  <c r="W87" s="1"/>
  <c r="BA7"/>
  <c r="W27"/>
  <c r="BE14"/>
  <c r="AR14"/>
  <c r="BF14"/>
  <c r="BF25"/>
  <c r="BE25"/>
  <c r="AR25"/>
  <c r="AP42"/>
  <c r="AP46"/>
  <c r="AK44"/>
  <c r="AK41"/>
  <c r="AN34"/>
  <c r="U74"/>
  <c r="W74" s="1"/>
  <c r="AN36"/>
  <c r="U76"/>
  <c r="W76" s="1"/>
  <c r="Y74"/>
  <c r="AR34"/>
  <c r="Y81"/>
  <c r="AR40"/>
  <c r="BE16"/>
  <c r="AR16"/>
  <c r="BF16"/>
  <c r="BF21"/>
  <c r="BE21"/>
  <c r="AR21"/>
  <c r="BF23"/>
  <c r="BE23"/>
  <c r="AR23"/>
  <c r="BF11"/>
  <c r="BE11"/>
  <c r="AR11"/>
  <c r="BF13"/>
  <c r="BE13"/>
  <c r="AR13"/>
  <c r="BF17"/>
  <c r="BE17"/>
  <c r="AR17"/>
  <c r="BF19"/>
  <c r="BE19"/>
  <c r="AR19"/>
  <c r="BE22"/>
  <c r="AR22"/>
  <c r="BF22"/>
  <c r="AJ44"/>
  <c r="AJ41"/>
  <c r="AN38"/>
  <c r="AP38" s="1"/>
  <c r="U78"/>
  <c r="W78" s="1"/>
  <c r="AT38"/>
  <c r="AT16" s="1"/>
  <c r="AI34"/>
  <c r="AP34" s="1"/>
  <c r="AT34"/>
  <c r="AT12" s="1"/>
  <c r="BE12"/>
  <c r="AR12"/>
  <c r="BF12"/>
  <c r="BF15"/>
  <c r="BE15"/>
  <c r="AR15"/>
  <c r="BE18"/>
  <c r="AR18"/>
  <c r="BF18"/>
  <c r="BE20"/>
  <c r="AR20"/>
  <c r="BF20"/>
  <c r="BE24"/>
  <c r="AR24"/>
  <c r="BF24"/>
  <c r="AT42"/>
  <c r="AZ28"/>
  <c r="BD30" s="1"/>
  <c r="AT46"/>
  <c r="AT43" i="4"/>
  <c r="AT21" s="1"/>
  <c r="AI43"/>
  <c r="AP43" s="1"/>
  <c r="AT47"/>
  <c r="AT25" s="1"/>
  <c r="U83"/>
  <c r="W83" s="1"/>
  <c r="AI47"/>
  <c r="AP47" s="1"/>
  <c r="AN33"/>
  <c r="AP33" s="1"/>
  <c r="U73"/>
  <c r="W73" s="1"/>
  <c r="AT24"/>
  <c r="AT23"/>
  <c r="AT45"/>
  <c r="AI45"/>
  <c r="AP45" s="1"/>
  <c r="AR46"/>
  <c r="AR45"/>
  <c r="BE23"/>
  <c r="AR23"/>
  <c r="BE25"/>
  <c r="AR25"/>
  <c r="BF11"/>
  <c r="BE11"/>
  <c r="AR11"/>
  <c r="BE13"/>
  <c r="AR13"/>
  <c r="BF13"/>
  <c r="BE15"/>
  <c r="AR15"/>
  <c r="BF15"/>
  <c r="BF20"/>
  <c r="BE20"/>
  <c r="AR20"/>
  <c r="BF24"/>
  <c r="BE24"/>
  <c r="AR24"/>
  <c r="AT33"/>
  <c r="AZ28"/>
  <c r="BD30" s="1"/>
  <c r="AP42"/>
  <c r="AI39"/>
  <c r="AP39" s="1"/>
  <c r="AT39"/>
  <c r="AT17" s="1"/>
  <c r="AN37"/>
  <c r="AP37" s="1"/>
  <c r="U77"/>
  <c r="W77" s="1"/>
  <c r="C27"/>
  <c r="AY7"/>
  <c r="BE21"/>
  <c r="AR21"/>
  <c r="AK35"/>
  <c r="AP35" s="1"/>
  <c r="U75"/>
  <c r="W75" s="1"/>
  <c r="AT20"/>
  <c r="AT19"/>
  <c r="BE17"/>
  <c r="AR17"/>
  <c r="BF17"/>
  <c r="BF18"/>
  <c r="BE18"/>
  <c r="AR18"/>
  <c r="BE19"/>
  <c r="AR19"/>
  <c r="BF19"/>
  <c r="BF58"/>
  <c r="BE58"/>
  <c r="AR58"/>
  <c r="AP41"/>
  <c r="B198"/>
  <c r="B200" s="1"/>
  <c r="AP34"/>
  <c r="AT35"/>
  <c r="AT13" s="1"/>
  <c r="AT37"/>
  <c r="AT15" s="1"/>
  <c r="AT41"/>
  <c r="BB7" i="11" l="1"/>
  <c r="B1"/>
  <c r="B3" s="1"/>
  <c r="BB7" i="9"/>
  <c r="B1"/>
  <c r="B3" s="1"/>
  <c r="BB7" i="8"/>
  <c r="B1"/>
  <c r="B3" s="1"/>
  <c r="AT25" i="7"/>
  <c r="W27"/>
  <c r="BA7"/>
  <c r="AT23"/>
  <c r="BF26"/>
  <c r="BE26"/>
  <c r="AT48"/>
  <c r="AR1" s="1"/>
  <c r="AT11"/>
  <c r="AT23" i="6"/>
  <c r="BF26"/>
  <c r="BE26"/>
  <c r="AP33"/>
  <c r="AP37"/>
  <c r="AT48"/>
  <c r="AR1" s="1"/>
  <c r="AT11"/>
  <c r="W27"/>
  <c r="BA7"/>
  <c r="BB7" i="5"/>
  <c r="B1"/>
  <c r="B3" s="1"/>
  <c r="BF26"/>
  <c r="AP36"/>
  <c r="AT23"/>
  <c r="AT24"/>
  <c r="AT19"/>
  <c r="AT20"/>
  <c r="BE26"/>
  <c r="AT48"/>
  <c r="AR1" s="1"/>
  <c r="AP41"/>
  <c r="AP44"/>
  <c r="AT48" i="4"/>
  <c r="AR1" s="1"/>
  <c r="AT11"/>
  <c r="BE26"/>
  <c r="C60"/>
  <c r="M60" s="1"/>
  <c r="W60" s="1"/>
  <c r="M27"/>
  <c r="AZ7"/>
  <c r="BF26"/>
  <c r="BB7" i="7" l="1"/>
  <c r="B1"/>
  <c r="B3" s="1"/>
  <c r="BB7" i="6"/>
  <c r="B1"/>
  <c r="B3" s="1"/>
  <c r="W27" i="4"/>
  <c r="BA7"/>
  <c r="BB7" l="1"/>
  <c r="B1"/>
  <c r="B3" s="1"/>
</calcChain>
</file>

<file path=xl/comments1.xml><?xml version="1.0" encoding="utf-8"?>
<comments xmlns="http://schemas.openxmlformats.org/spreadsheetml/2006/main">
  <authors>
    <author>Cesar Quispe Ramos</author>
    <author>Cesar Quispe R.</author>
  </authors>
  <commentList>
    <comment ref="Z14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91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9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10.xml><?xml version="1.0" encoding="utf-8"?>
<comments xmlns="http://schemas.openxmlformats.org/spreadsheetml/2006/main">
  <authors>
    <author>Cesar Quispe Ramos</author>
    <author>Cesar Quispe R.</author>
  </authors>
  <commentList>
    <comment ref="Z15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9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1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9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2.xml><?xml version="1.0" encoding="utf-8"?>
<comments xmlns="http://schemas.openxmlformats.org/spreadsheetml/2006/main">
  <authors>
    <author>Cesar Quispe Ramos</author>
    <author>Cesar Quispe R.</author>
  </authors>
  <commentList>
    <comment ref="Z14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91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9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3.xml><?xml version="1.0" encoding="utf-8"?>
<comments xmlns="http://schemas.openxmlformats.org/spreadsheetml/2006/main">
  <authors>
    <author>Cesar Quispe Ramos</author>
    <author>Cesar Quispe R.</author>
  </authors>
  <commentList>
    <comment ref="Z14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91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9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4.xml><?xml version="1.0" encoding="utf-8"?>
<comments xmlns="http://schemas.openxmlformats.org/spreadsheetml/2006/main">
  <authors>
    <author>Cesar Quispe Ramos</author>
    <author>Cesar Quispe R.</author>
  </authors>
  <commentList>
    <comment ref="Z14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91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9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5.xml><?xml version="1.0" encoding="utf-8"?>
<comments xmlns="http://schemas.openxmlformats.org/spreadsheetml/2006/main">
  <authors>
    <author>Cesar Quispe Ramos</author>
    <author>Cesar Quispe R.</author>
  </authors>
  <commentList>
    <comment ref="Z14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9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6.xml><?xml version="1.0" encoding="utf-8"?>
<comments xmlns="http://schemas.openxmlformats.org/spreadsheetml/2006/main">
  <authors>
    <author>Cesar Quispe Ramos</author>
    <author>Cesar Quispe R.</author>
  </authors>
  <commentList>
    <comment ref="Z14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9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0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4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5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7.xml><?xml version="1.0" encoding="utf-8"?>
<comments xmlns="http://schemas.openxmlformats.org/spreadsheetml/2006/main">
  <authors>
    <author>Cesar Quispe Ramos</author>
    <author>Cesar Quispe R.</author>
  </authors>
  <commentList>
    <comment ref="Z14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9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1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9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8.xml><?xml version="1.0" encoding="utf-8"?>
<comments xmlns="http://schemas.openxmlformats.org/spreadsheetml/2006/main">
  <authors>
    <author>Cesar Quispe Ramos</author>
    <author>Cesar Quispe R.</author>
  </authors>
  <commentList>
    <comment ref="Z15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9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1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9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comments9.xml><?xml version="1.0" encoding="utf-8"?>
<comments xmlns="http://schemas.openxmlformats.org/spreadsheetml/2006/main">
  <authors>
    <author>Cesar Quispe Ramos</author>
    <author>Cesar Quispe R.</author>
  </authors>
  <commentList>
    <comment ref="Z15" authorId="0">
      <text>
        <r>
          <rPr>
            <sz val="9"/>
            <color indexed="81"/>
            <rFont val="Tahoma"/>
            <family val="2"/>
          </rPr>
          <t>Apartir de la semana 29(16/07/2011) se considerara el horario de 07:00-13:00 incluido el almuerzo, el resto seran horas extras. [Sg_ATP].</t>
        </r>
      </text>
    </comment>
    <comment ref="B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7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92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10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29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4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16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B21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6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7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  <comment ref="C218" authorId="1">
      <text>
        <r>
          <rPr>
            <sz val="8"/>
            <color indexed="81"/>
            <rFont val="Tahoma"/>
            <family val="2"/>
          </rPr>
          <t>Se reajusta remuneracion  al 02/08/12 aumento de S/. 2.00=  
( ATP, ICC)</t>
        </r>
      </text>
    </comment>
  </commentList>
</comments>
</file>

<file path=xl/sharedStrings.xml><?xml version="1.0" encoding="utf-8"?>
<sst xmlns="http://schemas.openxmlformats.org/spreadsheetml/2006/main" count="3873" uniqueCount="146">
  <si>
    <t>.</t>
  </si>
  <si>
    <t>TRABAJADOR</t>
  </si>
  <si>
    <t>*</t>
  </si>
  <si>
    <t>Horas Extras    y Costo Acumulado de la Semana S/.</t>
  </si>
  <si>
    <t>Mov. por Asistencia</t>
  </si>
  <si>
    <t>Resumen de Horas</t>
  </si>
  <si>
    <t>Costo por hora extra NETO</t>
  </si>
  <si>
    <t>Costo Acumulado en semana a pagar NETO</t>
  </si>
  <si>
    <t>Costo Dominical x semana a pagar NETO</t>
  </si>
  <si>
    <t>Extras en la semana</t>
  </si>
  <si>
    <t>Horas Trabajadas</t>
  </si>
  <si>
    <t>Refrigerio</t>
  </si>
  <si>
    <t>Horas Acum</t>
  </si>
  <si>
    <t>Hrs. Incr 35%</t>
  </si>
  <si>
    <t>TOTAL</t>
  </si>
  <si>
    <t>Hrs Extras</t>
  </si>
  <si>
    <t>Horas X Pagar</t>
  </si>
  <si>
    <t>Año Nuevo</t>
  </si>
  <si>
    <t>Saldo Sem Ant</t>
  </si>
  <si>
    <t xml:space="preserve">   S A L D O</t>
  </si>
  <si>
    <t>Incremento en S/. DS-07-2002-TR 35% (cod 2215)</t>
  </si>
  <si>
    <t>Dias de Asistencia</t>
  </si>
  <si>
    <t>Tot.  Horas</t>
  </si>
  <si>
    <t>Total</t>
  </si>
  <si>
    <t>horas sin domingo</t>
  </si>
  <si>
    <t>* NOTA:   .</t>
  </si>
  <si>
    <t>Rev. Por : ...........................................</t>
  </si>
  <si>
    <t>Vo.Bo. : ......................................</t>
  </si>
  <si>
    <t>*** Apartir de la semana 45/2010 a J_Manrique se le incrementa a 33.32 diario (antes S/. 17.60 + f_planilla)</t>
  </si>
  <si>
    <t>Vicente</t>
  </si>
  <si>
    <t>Remun. Semanal</t>
  </si>
  <si>
    <t>Remun. por Dia</t>
  </si>
  <si>
    <r>
      <t>Jornal por Dia Trabajado</t>
    </r>
    <r>
      <rPr>
        <sz val="9"/>
        <color indexed="10"/>
        <rFont val="Arial"/>
        <family val="2"/>
      </rPr>
      <t xml:space="preserve"> [Pago por Recibo]</t>
    </r>
  </si>
  <si>
    <t>Rem. por Hora</t>
  </si>
  <si>
    <t>Remuner. Mensual</t>
  </si>
  <si>
    <t>Rem. por Hora NETO</t>
  </si>
  <si>
    <t>Sobretasa 35% por  Hora</t>
  </si>
  <si>
    <t>Horas Acumuladas Semana</t>
  </si>
  <si>
    <t>Horas de Jornada Semanal</t>
  </si>
  <si>
    <t>Saldo de Horas por Trabajar</t>
  </si>
  <si>
    <t>Horas con Sobretasa  35%</t>
  </si>
  <si>
    <t>Galicia</t>
  </si>
  <si>
    <t>Pulido</t>
  </si>
  <si>
    <t xml:space="preserve"> Apartir del 01/04/2018 la R.M.V. es de S/ 930.00=</t>
  </si>
  <si>
    <t>Remuneracion Minima Vital</t>
  </si>
  <si>
    <t>MINTRA</t>
  </si>
  <si>
    <t>Minimo Vital por Amanecida (35%)</t>
  </si>
  <si>
    <t>Eduardo Segura D.</t>
  </si>
  <si>
    <t>Cesar Mendez M.</t>
  </si>
  <si>
    <t xml:space="preserve"> Apartir del 01/06/2016 la R.M.V. es de S/ 850.00=</t>
  </si>
  <si>
    <t>Alejandro Dueñas</t>
  </si>
  <si>
    <t>ICC</t>
  </si>
  <si>
    <t>Juan Manrique V.</t>
  </si>
  <si>
    <t xml:space="preserve"> Irving Huaringa B.</t>
  </si>
  <si>
    <t xml:space="preserve">  -  .  -  </t>
  </si>
  <si>
    <t>Jose Cortez P.</t>
  </si>
  <si>
    <t>Rafael Armas R.</t>
  </si>
  <si>
    <t>Jose Ochoa I.</t>
  </si>
  <si>
    <t>Jairo Mirabal</t>
  </si>
  <si>
    <t>Pedro Hostos S.</t>
  </si>
  <si>
    <t>Leonardo Marmoles</t>
  </si>
  <si>
    <t>Miguel Tejada Ll.</t>
  </si>
  <si>
    <t>Pier Alejos A.</t>
  </si>
  <si>
    <t>Angel Colina N.</t>
  </si>
  <si>
    <t>Jose Lares P.</t>
  </si>
  <si>
    <t>CEQR</t>
  </si>
  <si>
    <t>Eddie Uchupe C.</t>
  </si>
  <si>
    <t>Mensual</t>
  </si>
  <si>
    <t>Semanal</t>
  </si>
  <si>
    <r>
      <t xml:space="preserve">Trabajador </t>
    </r>
    <r>
      <rPr>
        <b/>
        <sz val="10"/>
        <rFont val="Arial"/>
        <family val="2"/>
      </rPr>
      <t>SIN</t>
    </r>
    <r>
      <rPr>
        <sz val="10"/>
        <rFont val="Arial"/>
        <family val="2"/>
      </rPr>
      <t xml:space="preserve"> Asignacion Familiar</t>
    </r>
  </si>
  <si>
    <t>Semanal sin movilidad y alimentacion</t>
  </si>
  <si>
    <t>Monto Bruto Mensual</t>
  </si>
  <si>
    <t xml:space="preserve">  Neto:  </t>
  </si>
  <si>
    <t>Diario</t>
  </si>
  <si>
    <t>Monto Bruto Semanal</t>
  </si>
  <si>
    <t>Monto Bruto Diario  (7d[6Tr+1Dm] + 6d[Mv+Alm] )</t>
  </si>
  <si>
    <r>
      <t xml:space="preserve">Jornal diario    </t>
    </r>
    <r>
      <rPr>
        <sz val="12"/>
        <color indexed="12"/>
        <rFont val="Arial"/>
        <family val="2"/>
      </rPr>
      <t>(cod: 1010)</t>
    </r>
  </si>
  <si>
    <t>Jornal diario si Alim ni Mov  (7d x sem)</t>
  </si>
  <si>
    <t>Movilidad y alimentacion</t>
  </si>
  <si>
    <t>Alim + Mov x dia laborado (6d x sem)</t>
  </si>
  <si>
    <t>Jornal diario incluido movilidad y alimentacion</t>
  </si>
  <si>
    <t xml:space="preserve"> 06 Dias incluido movilidad y alimentacion</t>
  </si>
  <si>
    <r>
      <t xml:space="preserve">Trabajador </t>
    </r>
    <r>
      <rPr>
        <b/>
        <sz val="10"/>
        <rFont val="Arial"/>
        <family val="2"/>
      </rPr>
      <t>CON</t>
    </r>
    <r>
      <rPr>
        <sz val="10"/>
        <rFont val="Arial"/>
        <family val="2"/>
      </rPr>
      <t xml:space="preserve"> Asignacion Familiar</t>
    </r>
  </si>
  <si>
    <t xml:space="preserve"> 01 Dominical</t>
  </si>
  <si>
    <t xml:space="preserve">   Neto:  </t>
  </si>
  <si>
    <t xml:space="preserve"> Semana incluido movilidad y alimentacion</t>
  </si>
  <si>
    <t>Jornal diario + Mov + Alm</t>
  </si>
  <si>
    <t>Pedro Hostos S,</t>
  </si>
  <si>
    <t xml:space="preserve"> Venezolano</t>
  </si>
  <si>
    <t>Luis Gomez U.</t>
  </si>
  <si>
    <t>Alejandro Dueñas P.</t>
  </si>
  <si>
    <t>SEM 05</t>
  </si>
  <si>
    <t>SEM 04</t>
  </si>
  <si>
    <t>SEM 03</t>
  </si>
  <si>
    <t>SEM 02</t>
  </si>
  <si>
    <t>SEM 01</t>
  </si>
  <si>
    <t>REINTEGRO en S-05</t>
  </si>
  <si>
    <t>al 31/01/2017</t>
  </si>
  <si>
    <t>Apartir del 1ro de Abril del 2018</t>
  </si>
  <si>
    <t>Victor Rojas Jorge</t>
  </si>
  <si>
    <t>Reingreso al: Mar 20-10-2015</t>
  </si>
  <si>
    <t>http://www.youtube.com/watch?v=4viSziGUps4</t>
  </si>
  <si>
    <t>Antony Tejada Ch.</t>
  </si>
  <si>
    <t>Jose Flores Z.</t>
  </si>
  <si>
    <t xml:space="preserve"> </t>
  </si>
  <si>
    <t>Incremento para el personal de taller a partir de la 1ra Semana de ABRIL-2018 x Incr RMV</t>
  </si>
  <si>
    <t>Ingreso_Dia</t>
  </si>
  <si>
    <t xml:space="preserve">Incremento x </t>
  </si>
  <si>
    <t>Nombre</t>
  </si>
  <si>
    <t>Jornal</t>
  </si>
  <si>
    <t>Alimentac</t>
  </si>
  <si>
    <t>Movilidad</t>
  </si>
  <si>
    <t>Ingr_Dia_Trbj</t>
  </si>
  <si>
    <t>Ingr_Sem</t>
  </si>
  <si>
    <t>Ingr_Mens</t>
  </si>
  <si>
    <t>RMV</t>
  </si>
  <si>
    <t>RMV x Dia</t>
  </si>
  <si>
    <t>Pedro Hostos</t>
  </si>
  <si>
    <t>Irving Huaringa</t>
  </si>
  <si>
    <t>Juan Manrique</t>
  </si>
  <si>
    <t>Cesar Mendez</t>
  </si>
  <si>
    <t>Edurado Segura</t>
  </si>
  <si>
    <t xml:space="preserve">Miguel Tejada </t>
  </si>
  <si>
    <t>RMV x Dia antes del 01/04/2018</t>
  </si>
  <si>
    <t>RMVx Dia  apartir del 01/04/2018</t>
  </si>
  <si>
    <t>Incremento x Dia</t>
  </si>
  <si>
    <t>Incremento mensual total</t>
  </si>
  <si>
    <r>
      <t xml:space="preserve">Trabajador </t>
    </r>
    <r>
      <rPr>
        <b/>
        <sz val="10"/>
        <color theme="0" tint="-0.34998626667073579"/>
        <rFont val="Arial"/>
        <family val="2"/>
      </rPr>
      <t>SIN</t>
    </r>
    <r>
      <rPr>
        <sz val="10"/>
        <color theme="0" tint="-0.34998626667073579"/>
        <rFont val="Arial"/>
        <family val="2"/>
      </rPr>
      <t xml:space="preserve"> Asignacion Familiar</t>
    </r>
  </si>
  <si>
    <r>
      <t xml:space="preserve">Jornal diario    </t>
    </r>
    <r>
      <rPr>
        <sz val="12"/>
        <color theme="0" tint="-0.34998626667073579"/>
        <rFont val="Arial"/>
        <family val="2"/>
      </rPr>
      <t>(cod: 1010)</t>
    </r>
  </si>
  <si>
    <r>
      <t xml:space="preserve">Trabajador </t>
    </r>
    <r>
      <rPr>
        <b/>
        <sz val="10"/>
        <color theme="0" tint="-0.34998626667073579"/>
        <rFont val="Arial"/>
        <family val="2"/>
      </rPr>
      <t>CON</t>
    </r>
    <r>
      <rPr>
        <sz val="10"/>
        <color theme="0" tint="-0.34998626667073579"/>
        <rFont val="Arial"/>
        <family val="2"/>
      </rPr>
      <t xml:space="preserve"> Asignacion Familiar</t>
    </r>
  </si>
  <si>
    <t>Incremento para el personal de taller a partir de la 1ra Semana de ABRIL-2013</t>
  </si>
  <si>
    <t>Ingreso_Mes</t>
  </si>
  <si>
    <t>Ingr_Dia</t>
  </si>
  <si>
    <t>Sin Aumento</t>
  </si>
  <si>
    <r>
      <t xml:space="preserve"> </t>
    </r>
    <r>
      <rPr>
        <b/>
        <sz val="14"/>
        <rFont val="Arial"/>
        <family val="2"/>
      </rPr>
      <t>&lt;</t>
    </r>
    <r>
      <rPr>
        <sz val="10"/>
        <rFont val="Arial"/>
        <family val="2"/>
      </rPr>
      <t>---</t>
    </r>
  </si>
  <si>
    <t xml:space="preserve"> + S/. 20  X semana</t>
  </si>
  <si>
    <t>Jaime Lizarbe</t>
  </si>
  <si>
    <t>Eduardo Segura</t>
  </si>
  <si>
    <t>Erick Moreno</t>
  </si>
  <si>
    <t>Victor Rojas</t>
  </si>
  <si>
    <t>ICC_01/04/13</t>
  </si>
  <si>
    <t>Incremento mensual total planilla</t>
  </si>
  <si>
    <t>Eduardo Marmoles</t>
  </si>
  <si>
    <t>Jeeimy Davila C.</t>
  </si>
  <si>
    <t xml:space="preserve">   </t>
  </si>
  <si>
    <t>Jose Cortez</t>
  </si>
</sst>
</file>

<file path=xl/styles.xml><?xml version="1.0" encoding="utf-8"?>
<styleSheet xmlns="http://schemas.openxmlformats.org/spreadsheetml/2006/main">
  <numFmts count="27">
    <numFmt numFmtId="43" formatCode="_ * #,##0.00_ ;_ * \-#,##0.00_ ;_ * &quot;-&quot;??_ ;_ @_ "/>
    <numFmt numFmtId="164" formatCode="00"/>
    <numFmt numFmtId="165" formatCode="#,###;[Red]\-#,###"/>
    <numFmt numFmtId="166" formatCode="&quot;Reporte de Horas Trabajadas en Talleres de Mantenimiento - &quot;\ yyyy"/>
    <numFmt numFmtId="167" formatCode="&quot;Reporte de Horas Trabajadas en Talleres de Mantenimiento Año - &quot;\ yyyy"/>
    <numFmt numFmtId="168" formatCode="dddd\ dd\-mmm\-yyyy"/>
    <numFmt numFmtId="169" formatCode="ddd\ dd/mm/yy"/>
    <numFmt numFmtId="170" formatCode="&quot;S/. &quot;0.00"/>
    <numFmt numFmtId="171" formatCode="[Red]00;[Blue]\-##"/>
    <numFmt numFmtId="172" formatCode="_(* #,##0.00_);_(* \(#,##0.00\);_(* &quot;-&quot;??_);_(@_)"/>
    <numFmt numFmtId="173" formatCode="##"/>
    <numFmt numFmtId="174" formatCode="ddd\ dd/mm"/>
    <numFmt numFmtId="175" formatCode="_(* #,##0_);_(* \(#,##0\);_(* &quot;-&quot;??_);_(@_)"/>
    <numFmt numFmtId="176" formatCode="_(* #,##0.0000_);_(* \(#,##0.0000\);_(* &quot;-&quot;??_);_(@_)"/>
    <numFmt numFmtId="177" formatCode="0.00_);[Red]\(\-0.00\)"/>
    <numFmt numFmtId="178" formatCode="00.00"/>
    <numFmt numFmtId="179" formatCode="#,##0.0000;\-#,##0.0000"/>
    <numFmt numFmtId="180" formatCode="_-* #,##0.00_-;\-* #,##0.00_-;_-* &quot;-&quot;??_-;_-@_-"/>
    <numFmt numFmtId="181" formatCode="0.00000%"/>
    <numFmt numFmtId="182" formatCode="0.0000"/>
    <numFmt numFmtId="183" formatCode="0.0000%"/>
    <numFmt numFmtId="184" formatCode="_(* #,##0.000_);_(* \(#,##0.000\);_(* &quot;-&quot;??_);_(@_)"/>
    <numFmt numFmtId="185" formatCode="00.0"/>
    <numFmt numFmtId="186" formatCode="00.0000"/>
    <numFmt numFmtId="187" formatCode="_ &quot;S/.&quot;\ * #,##0.00_ ;_ &quot;S/.&quot;\ * \-#,##0.00_ ;_ &quot;S/.&quot;\ * &quot;-&quot;??_ ;_ @_ "/>
    <numFmt numFmtId="188" formatCode="_ &quot;S/.&quot;\ * #,##0.000_ ;_ &quot;S/.&quot;\ * \-#,##0.000_ ;_ &quot;S/.&quot;\ * &quot;-&quot;???_ ;_ @_ "/>
    <numFmt numFmtId="189" formatCode="ddd\,\ mmm\ dd\,\ yyyy"/>
  </numFmts>
  <fonts count="18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 Narrow"/>
      <family val="2"/>
    </font>
    <font>
      <sz val="10"/>
      <color theme="0" tint="-0.14999847407452621"/>
      <name val="Arial"/>
      <family val="2"/>
    </font>
    <font>
      <sz val="10"/>
      <color indexed="61"/>
      <name val="Arial"/>
      <family val="2"/>
    </font>
    <font>
      <sz val="11"/>
      <color indexed="12"/>
      <name val="Arial"/>
      <family val="2"/>
    </font>
    <font>
      <sz val="11"/>
      <color indexed="10"/>
      <name val="Arial"/>
      <family val="2"/>
    </font>
    <font>
      <i/>
      <sz val="9.5"/>
      <color indexed="10"/>
      <name val="Arial"/>
      <family val="2"/>
    </font>
    <font>
      <b/>
      <sz val="11"/>
      <color indexed="10"/>
      <name val="Arial"/>
      <family val="2"/>
    </font>
    <font>
      <sz val="18"/>
      <name val="BankGothic Lt BT"/>
      <family val="2"/>
    </font>
    <font>
      <sz val="9"/>
      <name val="Arial"/>
      <family val="2"/>
    </font>
    <font>
      <sz val="14"/>
      <name val="Arial"/>
      <family val="2"/>
    </font>
    <font>
      <i/>
      <u/>
      <sz val="6"/>
      <color indexed="55"/>
      <name val="Arial"/>
      <family val="2"/>
    </font>
    <font>
      <sz val="8"/>
      <name val="Arial"/>
      <family val="2"/>
    </font>
    <font>
      <sz val="9.5"/>
      <name val="Arial"/>
      <family val="2"/>
    </font>
    <font>
      <sz val="12"/>
      <name val="Arial Narrow"/>
      <family val="2"/>
    </font>
    <font>
      <b/>
      <i/>
      <sz val="10"/>
      <color indexed="10"/>
      <name val="Arial Narrow"/>
      <family val="2"/>
    </font>
    <font>
      <b/>
      <sz val="10"/>
      <color rgb="FFFF0000"/>
      <name val="Arial Narrow"/>
      <family val="2"/>
    </font>
    <font>
      <b/>
      <i/>
      <sz val="12"/>
      <color indexed="10"/>
      <name val="Arial"/>
      <family val="2"/>
    </font>
    <font>
      <i/>
      <sz val="12"/>
      <color indexed="9"/>
      <name val="Arial Narrow"/>
      <family val="2"/>
    </font>
    <font>
      <i/>
      <sz val="10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sz val="9"/>
      <color indexed="61"/>
      <name val="Arial"/>
      <family val="2"/>
    </font>
    <font>
      <sz val="9"/>
      <color indexed="12"/>
      <name val="Arial"/>
      <family val="2"/>
    </font>
    <font>
      <sz val="8"/>
      <color indexed="61"/>
      <name val="Arial"/>
      <family val="2"/>
    </font>
    <font>
      <sz val="12"/>
      <color indexed="10"/>
      <name val="Arial"/>
      <family val="2"/>
    </font>
    <font>
      <i/>
      <sz val="12"/>
      <color indexed="17"/>
      <name val="Arial Narrow"/>
      <family val="2"/>
    </font>
    <font>
      <sz val="9"/>
      <color indexed="48"/>
      <name val="Arial"/>
      <family val="2"/>
    </font>
    <font>
      <u/>
      <sz val="8"/>
      <color indexed="19"/>
      <name val="Arial Narrow"/>
      <family val="2"/>
    </font>
    <font>
      <sz val="8"/>
      <color indexed="10"/>
      <name val="Arial"/>
      <family val="2"/>
    </font>
    <font>
      <i/>
      <sz val="9"/>
      <name val="Arial"/>
      <family val="2"/>
    </font>
    <font>
      <sz val="11"/>
      <color indexed="17"/>
      <name val="Arial"/>
      <family val="2"/>
    </font>
    <font>
      <sz val="6"/>
      <color rgb="FFE2F2F6"/>
      <name val="Arial"/>
      <family val="2"/>
    </font>
    <font>
      <u/>
      <sz val="11"/>
      <color indexed="48"/>
      <name val="Arial"/>
      <family val="2"/>
    </font>
    <font>
      <sz val="10"/>
      <color rgb="FF7030A0"/>
      <name val="Arial"/>
      <family val="2"/>
    </font>
    <font>
      <sz val="10"/>
      <name val="Arial Narrow"/>
      <family val="2"/>
    </font>
    <font>
      <sz val="10"/>
      <color indexed="57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u/>
      <sz val="8"/>
      <name val="Arial Narrow"/>
      <family val="2"/>
    </font>
    <font>
      <u/>
      <sz val="10"/>
      <name val="Arial"/>
      <family val="2"/>
    </font>
    <font>
      <u/>
      <sz val="10"/>
      <color indexed="61"/>
      <name val="Arial"/>
      <family val="2"/>
    </font>
    <font>
      <u/>
      <sz val="11"/>
      <color indexed="12"/>
      <name val="Arial"/>
      <family val="2"/>
    </font>
    <font>
      <u/>
      <sz val="11"/>
      <color indexed="10"/>
      <name val="Arial"/>
      <family val="2"/>
    </font>
    <font>
      <u/>
      <sz val="11"/>
      <color indexed="17"/>
      <name val="Arial"/>
      <family val="2"/>
    </font>
    <font>
      <u/>
      <sz val="6"/>
      <color rgb="FFE2F2F6"/>
      <name val="Arial"/>
      <family val="2"/>
    </font>
    <font>
      <u/>
      <sz val="10"/>
      <color rgb="FF7030A0"/>
      <name val="Arial"/>
      <family val="2"/>
    </font>
    <font>
      <u/>
      <sz val="10"/>
      <name val="Arial Narrow"/>
      <family val="2"/>
    </font>
    <font>
      <u/>
      <sz val="9.5"/>
      <name val="Arial"/>
      <family val="2"/>
    </font>
    <font>
      <u/>
      <sz val="8"/>
      <name val="Arial"/>
      <family val="2"/>
    </font>
    <font>
      <u/>
      <sz val="8"/>
      <color indexed="10"/>
      <name val="Arial"/>
      <family val="2"/>
    </font>
    <font>
      <u/>
      <sz val="10"/>
      <color indexed="57"/>
      <name val="Arial"/>
      <family val="2"/>
    </font>
    <font>
      <u/>
      <sz val="10"/>
      <color indexed="12"/>
      <name val="Arial"/>
      <family val="2"/>
    </font>
    <font>
      <sz val="10"/>
      <color rgb="FF006C31"/>
      <name val="Arial"/>
      <family val="2"/>
    </font>
    <font>
      <sz val="11"/>
      <color rgb="FF006C31"/>
      <name val="Arial"/>
      <family val="2"/>
    </font>
    <font>
      <i/>
      <sz val="10"/>
      <color rgb="FF7030A0"/>
      <name val="Arial"/>
      <family val="2"/>
    </font>
    <font>
      <sz val="10"/>
      <color rgb="FF006C31"/>
      <name val="Arial Narrow"/>
      <family val="2"/>
    </font>
    <font>
      <sz val="9.5"/>
      <color rgb="FF006C31"/>
      <name val="Arial"/>
      <family val="2"/>
    </font>
    <font>
      <sz val="10"/>
      <color rgb="FF0070C0"/>
      <name val="Arial"/>
      <family val="2"/>
    </font>
    <font>
      <b/>
      <sz val="10"/>
      <color rgb="FFFF0000"/>
      <name val="Arial"/>
      <family val="2"/>
    </font>
    <font>
      <sz val="8"/>
      <color rgb="FF006C31"/>
      <name val="Arial"/>
      <family val="2"/>
    </font>
    <font>
      <b/>
      <sz val="10"/>
      <name val="Arial"/>
      <family val="2"/>
    </font>
    <font>
      <sz val="8"/>
      <color rgb="FF108645"/>
      <name val="Arial Narrow"/>
      <family val="2"/>
    </font>
    <font>
      <u/>
      <sz val="11"/>
      <color rgb="FF006C31"/>
      <name val="Arial"/>
      <family val="2"/>
    </font>
    <font>
      <b/>
      <sz val="11"/>
      <color indexed="62"/>
      <name val="Arial Narrow"/>
      <family val="2"/>
    </font>
    <font>
      <b/>
      <sz val="11"/>
      <color indexed="61"/>
      <name val="Arial Narrow"/>
      <family val="2"/>
    </font>
    <font>
      <i/>
      <sz val="12"/>
      <name val="Arial Narrow"/>
      <family val="2"/>
    </font>
    <font>
      <b/>
      <i/>
      <sz val="10"/>
      <color rgb="FFFF0000"/>
      <name val="Arial Narrow"/>
      <family val="2"/>
    </font>
    <font>
      <i/>
      <sz val="10"/>
      <color rgb="FFFF0000"/>
      <name val="Arial Narrow"/>
      <family val="2"/>
    </font>
    <font>
      <sz val="12"/>
      <color rgb="FFFF0000"/>
      <name val="Arial Narrow"/>
      <family val="2"/>
    </font>
    <font>
      <u/>
      <sz val="7"/>
      <color indexed="10"/>
      <name val="Arial Unicode MS"/>
      <family val="2"/>
    </font>
    <font>
      <sz val="11"/>
      <color indexed="20"/>
      <name val="Arial Narrow"/>
      <family val="2"/>
    </font>
    <font>
      <sz val="11"/>
      <name val="Arial Narrow"/>
      <family val="2"/>
    </font>
    <font>
      <sz val="11"/>
      <color indexed="10"/>
      <name val="Arial Narrow"/>
      <family val="2"/>
    </font>
    <font>
      <i/>
      <sz val="14"/>
      <color indexed="10"/>
      <name val="Arial"/>
      <family val="2"/>
    </font>
    <font>
      <i/>
      <u/>
      <sz val="12"/>
      <color indexed="10"/>
      <name val="Arial"/>
      <family val="2"/>
    </font>
    <font>
      <b/>
      <i/>
      <sz val="10"/>
      <color indexed="62"/>
      <name val="Arial"/>
      <family val="2"/>
    </font>
    <font>
      <i/>
      <sz val="10"/>
      <color indexed="12"/>
      <name val="Arial"/>
      <family val="2"/>
    </font>
    <font>
      <sz val="6"/>
      <color theme="0" tint="-0.14999847407452621"/>
      <name val="Arial"/>
      <family val="2"/>
    </font>
    <font>
      <b/>
      <sz val="10"/>
      <color indexed="20"/>
      <name val="Arial"/>
      <family val="2"/>
    </font>
    <font>
      <b/>
      <sz val="11"/>
      <name val="Arial"/>
      <family val="2"/>
    </font>
    <font>
      <sz val="10"/>
      <color indexed="14"/>
      <name val="Arial"/>
      <family val="2"/>
    </font>
    <font>
      <b/>
      <sz val="6"/>
      <color theme="0" tint="-0.14999847407452621"/>
      <name val="Arial"/>
      <family val="2"/>
    </font>
    <font>
      <u/>
      <sz val="10"/>
      <color indexed="10"/>
      <name val="Arial"/>
      <family val="2"/>
    </font>
    <font>
      <b/>
      <u/>
      <sz val="10"/>
      <name val="Arial"/>
      <family val="2"/>
    </font>
    <font>
      <u/>
      <sz val="8"/>
      <color indexed="20"/>
      <name val="Calibri"/>
      <family val="2"/>
      <scheme val="minor"/>
    </font>
    <font>
      <u/>
      <sz val="8"/>
      <name val="Calibri"/>
      <family val="2"/>
      <scheme val="minor"/>
    </font>
    <font>
      <u/>
      <sz val="8"/>
      <color indexed="12"/>
      <name val="Calibri"/>
      <family val="2"/>
      <scheme val="minor"/>
    </font>
    <font>
      <u/>
      <sz val="10"/>
      <color indexed="14"/>
      <name val="Arial"/>
      <family val="2"/>
    </font>
    <font>
      <b/>
      <sz val="10"/>
      <color rgb="FF006C31"/>
      <name val="Arial"/>
      <family val="2"/>
    </font>
    <font>
      <b/>
      <sz val="11"/>
      <color rgb="FFFF0000"/>
      <name val="Arial"/>
      <family val="2"/>
    </font>
    <font>
      <b/>
      <sz val="11"/>
      <color rgb="FF006C31"/>
      <name val="Arial"/>
      <family val="2"/>
    </font>
    <font>
      <sz val="8"/>
      <color rgb="FF006C31"/>
      <name val="Arial Narrow"/>
      <family val="2"/>
    </font>
    <font>
      <sz val="12"/>
      <color indexed="12"/>
      <name val="Arial Narrow"/>
      <family val="2"/>
    </font>
    <font>
      <sz val="11"/>
      <color indexed="17"/>
      <name val="Arial Narrow"/>
      <family val="2"/>
    </font>
    <font>
      <sz val="12"/>
      <color indexed="61"/>
      <name val="Arial Narrow"/>
      <family val="2"/>
    </font>
    <font>
      <sz val="8"/>
      <color indexed="23"/>
      <name val="Arial"/>
      <family val="2"/>
    </font>
    <font>
      <sz val="9"/>
      <color indexed="10"/>
      <name val="Arial"/>
      <family val="2"/>
    </font>
    <font>
      <sz val="10"/>
      <color indexed="10"/>
      <name val="Arial Narrow"/>
      <family val="2"/>
    </font>
    <font>
      <b/>
      <u/>
      <sz val="9"/>
      <color indexed="10"/>
      <name val="Arial Narrow"/>
      <family val="2"/>
    </font>
    <font>
      <i/>
      <u/>
      <sz val="11"/>
      <color indexed="10"/>
      <name val="Arial Narrow"/>
      <family val="2"/>
    </font>
    <font>
      <i/>
      <sz val="12"/>
      <color indexed="10"/>
      <name val="Arial"/>
      <family val="2"/>
    </font>
    <font>
      <i/>
      <sz val="7"/>
      <color indexed="22"/>
      <name val="Arial"/>
      <family val="2"/>
    </font>
    <font>
      <i/>
      <sz val="9"/>
      <color indexed="10"/>
      <name val="Arial Narrow"/>
      <family val="2"/>
    </font>
    <font>
      <sz val="9"/>
      <color indexed="17"/>
      <name val="Arial"/>
      <family val="2"/>
    </font>
    <font>
      <sz val="9"/>
      <color indexed="10"/>
      <name val="Arial Narrow"/>
      <family val="2"/>
    </font>
    <font>
      <b/>
      <sz val="9"/>
      <name val="Arial"/>
      <family val="2"/>
    </font>
    <font>
      <i/>
      <sz val="10"/>
      <color indexed="61"/>
      <name val="Arial"/>
      <family val="2"/>
    </font>
    <font>
      <sz val="10"/>
      <name val="Times New Roman"/>
      <family val="1"/>
    </font>
    <font>
      <b/>
      <i/>
      <sz val="12"/>
      <color indexed="16"/>
      <name val="Arial"/>
      <family val="2"/>
    </font>
    <font>
      <b/>
      <sz val="10"/>
      <color indexed="10"/>
      <name val="Arial"/>
      <family val="2"/>
    </font>
    <font>
      <i/>
      <sz val="12"/>
      <color indexed="61"/>
      <name val="Arial"/>
      <family val="2"/>
    </font>
    <font>
      <sz val="9"/>
      <color indexed="10"/>
      <name val="Calibri"/>
      <family val="2"/>
      <scheme val="minor"/>
    </font>
    <font>
      <sz val="9"/>
      <color indexed="12"/>
      <name val="Times New Roman"/>
      <family val="1"/>
    </font>
    <font>
      <i/>
      <sz val="9"/>
      <color indexed="12"/>
      <name val="Arial"/>
      <family val="2"/>
    </font>
    <font>
      <b/>
      <sz val="11"/>
      <color indexed="17"/>
      <name val="Arial Narrow"/>
      <family val="2"/>
    </font>
    <font>
      <i/>
      <sz val="12"/>
      <color theme="5" tint="-0.249977111117893"/>
      <name val="Arial"/>
      <family val="2"/>
    </font>
    <font>
      <sz val="10"/>
      <color indexed="10"/>
      <name val="@MS Mincho"/>
      <family val="3"/>
    </font>
    <font>
      <sz val="10"/>
      <color indexed="55"/>
      <name val="Arial"/>
      <family val="2"/>
    </font>
    <font>
      <sz val="8"/>
      <color indexed="60"/>
      <name val="Arial Narrow"/>
      <family val="2"/>
    </font>
    <font>
      <sz val="10"/>
      <color indexed="60"/>
      <name val="Arial"/>
      <family val="2"/>
    </font>
    <font>
      <sz val="9"/>
      <color indexed="60"/>
      <name val="Arial"/>
      <family val="2"/>
    </font>
    <font>
      <b/>
      <sz val="9"/>
      <color rgb="FFFF0000"/>
      <name val="Arial"/>
      <family val="2"/>
    </font>
    <font>
      <b/>
      <sz val="10"/>
      <color indexed="60"/>
      <name val="Arial"/>
      <family val="2"/>
    </font>
    <font>
      <sz val="20"/>
      <name val="Arial"/>
      <family val="2"/>
    </font>
    <font>
      <b/>
      <sz val="11"/>
      <color indexed="12"/>
      <name val="Arial"/>
      <family val="2"/>
    </font>
    <font>
      <i/>
      <sz val="12"/>
      <color indexed="12"/>
      <name val="Arial"/>
      <family val="2"/>
    </font>
    <font>
      <b/>
      <sz val="12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sz val="10"/>
      <color indexed="20"/>
      <name val="Arial"/>
      <family val="2"/>
    </font>
    <font>
      <i/>
      <sz val="11"/>
      <name val="Arial"/>
      <family val="2"/>
    </font>
    <font>
      <sz val="12"/>
      <name val="Arial"/>
      <family val="2"/>
    </font>
    <font>
      <sz val="12"/>
      <color indexed="61"/>
      <name val="Arial"/>
      <family val="2"/>
    </font>
    <font>
      <b/>
      <i/>
      <sz val="10"/>
      <color theme="6" tint="-0.499984740745262"/>
      <name val="Arial"/>
      <family val="2"/>
    </font>
    <font>
      <b/>
      <sz val="10"/>
      <color theme="6" tint="-0.499984740745262"/>
      <name val="Arial"/>
      <family val="2"/>
    </font>
    <font>
      <sz val="10"/>
      <color theme="5" tint="-0.249977111117893"/>
      <name val="Arial"/>
      <family val="2"/>
    </font>
    <font>
      <sz val="10"/>
      <color rgb="FF1A6CF2"/>
      <name val="Arial"/>
      <family val="2"/>
    </font>
    <font>
      <b/>
      <sz val="10"/>
      <color theme="5" tint="-0.249977111117893"/>
      <name val="Arial"/>
      <family val="2"/>
    </font>
    <font>
      <i/>
      <sz val="11"/>
      <color theme="5" tint="-0.249977111117893"/>
      <name val="Arial"/>
      <family val="2"/>
    </font>
    <font>
      <b/>
      <sz val="10"/>
      <color rgb="FF3333FF"/>
      <name val="Arial"/>
      <family val="2"/>
    </font>
    <font>
      <sz val="11"/>
      <color rgb="FF3333FF"/>
      <name val="Arial"/>
      <family val="2"/>
    </font>
    <font>
      <sz val="8"/>
      <color theme="5" tint="-0.249977111117893"/>
      <name val="Arial"/>
      <family val="2"/>
    </font>
    <font>
      <b/>
      <i/>
      <sz val="12"/>
      <color indexed="12"/>
      <name val="Arial"/>
      <family val="2"/>
    </font>
    <font>
      <b/>
      <sz val="10"/>
      <color indexed="61"/>
      <name val="Arial"/>
      <family val="2"/>
    </font>
    <font>
      <u/>
      <sz val="8.9"/>
      <color indexed="12"/>
      <name val="Arial"/>
      <family val="2"/>
    </font>
    <font>
      <i/>
      <sz val="10"/>
      <color indexed="20"/>
      <name val="Arial"/>
      <family val="2"/>
    </font>
    <font>
      <b/>
      <i/>
      <sz val="9"/>
      <color indexed="14"/>
      <name val="Arial"/>
      <family val="2"/>
    </font>
    <font>
      <b/>
      <sz val="10"/>
      <color indexed="14"/>
      <name val="Arial"/>
      <family val="2"/>
    </font>
    <font>
      <b/>
      <i/>
      <sz val="10"/>
      <color indexed="14"/>
      <name val="Arial"/>
      <family val="2"/>
    </font>
    <font>
      <sz val="9"/>
      <color indexed="14"/>
      <name val="Arial"/>
      <family val="2"/>
    </font>
    <font>
      <b/>
      <sz val="14"/>
      <color indexed="61"/>
      <name val="Arial"/>
      <family val="2"/>
    </font>
    <font>
      <sz val="10"/>
      <color indexed="54"/>
      <name val="Arial"/>
      <family val="2"/>
    </font>
    <font>
      <b/>
      <sz val="9"/>
      <color indexed="12"/>
      <name val="Arial"/>
      <family val="2"/>
    </font>
    <font>
      <b/>
      <i/>
      <sz val="12"/>
      <color indexed="36"/>
      <name val="Arial"/>
      <family val="2"/>
    </font>
    <font>
      <i/>
      <sz val="10"/>
      <color indexed="10"/>
      <name val="Arial"/>
      <family val="2"/>
    </font>
    <font>
      <sz val="14"/>
      <color indexed="12"/>
      <name val="Arial"/>
      <family val="2"/>
    </font>
    <font>
      <b/>
      <sz val="10"/>
      <color indexed="12"/>
      <name val="Arial"/>
      <family val="2"/>
    </font>
    <font>
      <i/>
      <sz val="13"/>
      <color indexed="36"/>
      <name val="Book Antiqua"/>
      <family val="1"/>
    </font>
    <font>
      <sz val="11"/>
      <color indexed="54"/>
      <name val="Arial"/>
      <family val="2"/>
    </font>
    <font>
      <b/>
      <sz val="13"/>
      <color indexed="36"/>
      <name val="Book Antiqua"/>
      <family val="1"/>
    </font>
    <font>
      <b/>
      <sz val="11"/>
      <color indexed="54"/>
      <name val="Arial"/>
      <family val="2"/>
    </font>
    <font>
      <b/>
      <i/>
      <sz val="12"/>
      <color theme="0" tint="-0.34998626667073579"/>
      <name val="Arial"/>
      <family val="2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sz val="11"/>
      <color theme="0" tint="-0.34998626667073579"/>
      <name val="Arial"/>
      <family val="2"/>
    </font>
    <font>
      <b/>
      <sz val="12"/>
      <color theme="0" tint="-0.34998626667073579"/>
      <name val="Arial"/>
      <family val="2"/>
    </font>
    <font>
      <sz val="12"/>
      <color theme="0" tint="-0.34998626667073579"/>
      <name val="Arial"/>
      <family val="2"/>
    </font>
    <font>
      <b/>
      <sz val="10"/>
      <color indexed="54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  <font>
      <sz val="8"/>
      <color rgb="FFFF0000"/>
      <name val="Arial Narrow"/>
      <family val="2"/>
    </font>
    <font>
      <u/>
      <sz val="10"/>
      <color rgb="FFF79747"/>
      <name val="Arial"/>
      <family val="2"/>
    </font>
    <font>
      <i/>
      <sz val="11"/>
      <color rgb="FFC00000"/>
      <name val="Bell MT"/>
      <family val="1"/>
    </font>
    <font>
      <b/>
      <i/>
      <sz val="10"/>
      <color rgb="FFFF0000"/>
      <name val="Arial"/>
      <family val="2"/>
    </font>
    <font>
      <b/>
      <sz val="10"/>
      <name val="Arial Narrow"/>
      <family val="2"/>
    </font>
    <font>
      <b/>
      <sz val="10"/>
      <color rgb="FF006C31"/>
      <name val="Arial Narrow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65"/>
        <bgColor auto="1"/>
      </patternFill>
    </fill>
    <fill>
      <patternFill patternType="solid">
        <fgColor rgb="FFE9FDFA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gray125">
        <fgColor rgb="FFFF0000"/>
        <bgColor auto="1"/>
      </patternFill>
    </fill>
    <fill>
      <patternFill patternType="lightGray">
        <fgColor theme="8" tint="-0.24994659260841701"/>
        <bgColor indexed="65"/>
      </patternFill>
    </fill>
    <fill>
      <patternFill patternType="gray125">
        <fgColor theme="7" tint="0.39994506668294322"/>
        <bgColor indexed="65"/>
      </patternFill>
    </fill>
    <fill>
      <patternFill patternType="gray125">
        <fgColor rgb="FFFF0000"/>
      </patternFill>
    </fill>
  </fills>
  <borders count="1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1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11"/>
      </top>
      <bottom style="thin">
        <color indexed="1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1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64"/>
      </right>
      <top style="thin">
        <color indexed="10"/>
      </top>
      <bottom style="thin">
        <color indexed="10"/>
      </bottom>
      <diagonal/>
    </border>
    <border>
      <left style="thin">
        <color indexed="64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10"/>
      </left>
      <right/>
      <top style="thin">
        <color indexed="10"/>
      </top>
      <bottom style="double">
        <color indexed="10"/>
      </bottom>
      <diagonal/>
    </border>
    <border>
      <left/>
      <right style="thin">
        <color indexed="10"/>
      </right>
      <top style="thin">
        <color indexed="10"/>
      </top>
      <bottom style="double">
        <color indexed="1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thin">
        <color indexed="12"/>
      </left>
      <right/>
      <top style="thin">
        <color indexed="12"/>
      </top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medium">
        <color indexed="64"/>
      </right>
      <top style="thick">
        <color rgb="FFFF0000"/>
      </top>
      <bottom style="medium">
        <color indexed="64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/>
      <bottom style="thin">
        <color indexed="64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/>
      <right style="thin">
        <color indexed="1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10"/>
      </top>
      <bottom style="thin">
        <color indexed="64"/>
      </bottom>
      <diagonal/>
    </border>
    <border>
      <left/>
      <right style="thin">
        <color indexed="64"/>
      </right>
      <top style="thin">
        <color indexed="10"/>
      </top>
      <bottom style="thin">
        <color indexed="64"/>
      </bottom>
      <diagonal/>
    </border>
    <border>
      <left style="thin">
        <color indexed="10"/>
      </left>
      <right style="thin">
        <color indexed="64"/>
      </right>
      <top style="thin">
        <color indexed="10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10"/>
      </top>
      <bottom style="double">
        <color indexed="64"/>
      </bottom>
      <diagonal/>
    </border>
    <border>
      <left style="thin">
        <color indexed="64"/>
      </left>
      <right style="thin">
        <color indexed="10"/>
      </right>
      <top style="thin">
        <color indexed="10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10"/>
      </left>
      <right style="thin">
        <color indexed="64"/>
      </right>
      <top/>
      <bottom style="thin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10"/>
      </bottom>
      <diagonal/>
    </border>
    <border>
      <left style="thin">
        <color indexed="64"/>
      </left>
      <right style="thin">
        <color indexed="10"/>
      </right>
      <top/>
      <bottom style="thin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10"/>
      </top>
      <bottom style="thin">
        <color indexed="1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8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</cellStyleXfs>
  <cellXfs count="1206">
    <xf numFmtId="0" fontId="0" fillId="0" borderId="0" xfId="0"/>
    <xf numFmtId="0" fontId="3" fillId="0" borderId="0" xfId="2" applyFont="1" applyAlignment="1">
      <alignment horizontal="center"/>
    </xf>
    <xf numFmtId="14" fontId="4" fillId="0" borderId="0" xfId="2" applyNumberFormat="1" applyFont="1"/>
    <xf numFmtId="164" fontId="2" fillId="0" borderId="0" xfId="2" applyNumberFormat="1" applyAlignment="1">
      <alignment horizontal="center"/>
    </xf>
    <xf numFmtId="164" fontId="5" fillId="0" borderId="0" xfId="2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4" fontId="7" fillId="0" borderId="0" xfId="2" applyNumberFormat="1" applyFont="1" applyAlignment="1">
      <alignment horizontal="center"/>
    </xf>
    <xf numFmtId="0" fontId="2" fillId="0" borderId="0" xfId="2"/>
    <xf numFmtId="0" fontId="8" fillId="0" borderId="0" xfId="2" applyFont="1" applyAlignment="1">
      <alignment horizontal="center"/>
    </xf>
    <xf numFmtId="0" fontId="11" fillId="0" borderId="0" xfId="2" applyFont="1"/>
    <xf numFmtId="0" fontId="12" fillId="0" borderId="0" xfId="2" applyFont="1"/>
    <xf numFmtId="0" fontId="13" fillId="0" borderId="0" xfId="2" applyFont="1" applyAlignment="1">
      <alignment horizontal="center"/>
    </xf>
    <xf numFmtId="167" fontId="14" fillId="0" borderId="0" xfId="2" applyNumberFormat="1" applyFont="1"/>
    <xf numFmtId="0" fontId="11" fillId="0" borderId="0" xfId="2" applyFont="1" applyBorder="1" applyAlignment="1">
      <alignment horizontal="center"/>
    </xf>
    <xf numFmtId="169" fontId="14" fillId="0" borderId="0" xfId="2" applyNumberFormat="1" applyFont="1" applyBorder="1" applyAlignment="1">
      <alignment horizontal="center" vertical="center" textRotation="90"/>
    </xf>
    <xf numFmtId="170" fontId="32" fillId="0" borderId="14" xfId="2" applyNumberFormat="1" applyFont="1" applyBorder="1" applyAlignment="1">
      <alignment horizontal="center" wrapText="1" shrinkToFit="1"/>
    </xf>
    <xf numFmtId="0" fontId="3" fillId="0" borderId="37" xfId="2" applyFont="1" applyBorder="1"/>
    <xf numFmtId="164" fontId="2" fillId="0" borderId="38" xfId="2" applyNumberFormat="1" applyFont="1" applyBorder="1" applyAlignment="1">
      <alignment horizontal="center" vertical="center"/>
    </xf>
    <xf numFmtId="164" fontId="2" fillId="0" borderId="12" xfId="2" applyNumberFormat="1" applyFont="1" applyBorder="1" applyAlignment="1">
      <alignment horizontal="center" vertical="center"/>
    </xf>
    <xf numFmtId="164" fontId="5" fillId="0" borderId="12" xfId="2" applyNumberFormat="1" applyFont="1" applyBorder="1" applyAlignment="1">
      <alignment horizontal="center" vertical="center"/>
    </xf>
    <xf numFmtId="164" fontId="6" fillId="0" borderId="20" xfId="2" applyNumberFormat="1" applyFont="1" applyBorder="1" applyAlignment="1">
      <alignment horizontal="center" vertical="center"/>
    </xf>
    <xf numFmtId="164" fontId="2" fillId="0" borderId="20" xfId="2" applyNumberFormat="1" applyFont="1" applyBorder="1" applyAlignment="1">
      <alignment horizontal="center" vertical="center"/>
    </xf>
    <xf numFmtId="164" fontId="2" fillId="0" borderId="20" xfId="2" applyNumberFormat="1" applyFont="1" applyFill="1" applyBorder="1" applyAlignment="1">
      <alignment horizontal="center" vertical="center"/>
    </xf>
    <xf numFmtId="164" fontId="5" fillId="0" borderId="20" xfId="2" applyNumberFormat="1" applyFont="1" applyBorder="1" applyAlignment="1">
      <alignment horizontal="center" vertical="center"/>
    </xf>
    <xf numFmtId="164" fontId="7" fillId="0" borderId="20" xfId="2" applyNumberFormat="1" applyFont="1" applyBorder="1" applyAlignment="1">
      <alignment horizontal="center" vertical="center"/>
    </xf>
    <xf numFmtId="164" fontId="33" fillId="0" borderId="39" xfId="2" applyNumberFormat="1" applyFont="1" applyBorder="1" applyAlignment="1">
      <alignment horizontal="center" vertical="center"/>
    </xf>
    <xf numFmtId="164" fontId="2" fillId="0" borderId="6" xfId="2" applyNumberFormat="1" applyFont="1" applyBorder="1" applyAlignment="1">
      <alignment horizontal="center" vertical="center"/>
    </xf>
    <xf numFmtId="164" fontId="5" fillId="0" borderId="20" xfId="2" applyNumberFormat="1" applyFont="1" applyFill="1" applyBorder="1" applyAlignment="1">
      <alignment horizontal="center" vertical="center"/>
    </xf>
    <xf numFmtId="164" fontId="34" fillId="0" borderId="12" xfId="2" applyNumberFormat="1" applyFont="1" applyFill="1" applyBorder="1" applyAlignment="1">
      <alignment horizontal="center" vertical="center"/>
    </xf>
    <xf numFmtId="164" fontId="35" fillId="0" borderId="20" xfId="2" applyNumberFormat="1" applyFont="1" applyBorder="1" applyAlignment="1">
      <alignment horizontal="center" vertical="center"/>
    </xf>
    <xf numFmtId="171" fontId="36" fillId="0" borderId="20" xfId="2" applyNumberFormat="1" applyFont="1" applyFill="1" applyBorder="1" applyAlignment="1">
      <alignment horizontal="center" vertical="center"/>
    </xf>
    <xf numFmtId="164" fontId="7" fillId="0" borderId="40" xfId="2" applyNumberFormat="1" applyFont="1" applyBorder="1" applyAlignment="1">
      <alignment horizontal="center" vertical="center"/>
    </xf>
    <xf numFmtId="172" fontId="15" fillId="0" borderId="45" xfId="3" applyNumberFormat="1" applyFont="1" applyBorder="1" applyAlignment="1">
      <alignment vertical="center"/>
    </xf>
    <xf numFmtId="173" fontId="14" fillId="0" borderId="12" xfId="2" applyNumberFormat="1" applyFont="1" applyBorder="1" applyAlignment="1">
      <alignment horizontal="center"/>
    </xf>
    <xf numFmtId="173" fontId="31" fillId="0" borderId="12" xfId="2" applyNumberFormat="1" applyFont="1" applyBorder="1" applyAlignment="1">
      <alignment horizontal="center"/>
    </xf>
    <xf numFmtId="173" fontId="14" fillId="0" borderId="0" xfId="2" applyNumberFormat="1" applyFont="1" applyBorder="1" applyAlignment="1">
      <alignment horizontal="center"/>
    </xf>
    <xf numFmtId="172" fontId="38" fillId="0" borderId="12" xfId="3" applyNumberFormat="1" applyFont="1" applyBorder="1"/>
    <xf numFmtId="172" fontId="39" fillId="0" borderId="12" xfId="3" applyNumberFormat="1" applyFont="1" applyBorder="1"/>
    <xf numFmtId="172" fontId="5" fillId="0" borderId="12" xfId="3" applyNumberFormat="1" applyFont="1" applyBorder="1"/>
    <xf numFmtId="0" fontId="3" fillId="0" borderId="46" xfId="2" applyFont="1" applyBorder="1"/>
    <xf numFmtId="164" fontId="6" fillId="0" borderId="12" xfId="2" applyNumberFormat="1" applyFont="1" applyBorder="1" applyAlignment="1">
      <alignment horizontal="center" vertical="center"/>
    </xf>
    <xf numFmtId="164" fontId="7" fillId="0" borderId="12" xfId="2" applyNumberFormat="1" applyFont="1" applyBorder="1" applyAlignment="1">
      <alignment horizontal="center" vertical="center"/>
    </xf>
    <xf numFmtId="164" fontId="2" fillId="0" borderId="25" xfId="2" applyNumberFormat="1" applyFont="1" applyBorder="1" applyAlignment="1">
      <alignment horizontal="center" vertical="center"/>
    </xf>
    <xf numFmtId="164" fontId="2" fillId="0" borderId="12" xfId="2" applyNumberFormat="1" applyFont="1" applyFill="1" applyBorder="1" applyAlignment="1">
      <alignment horizontal="center" vertical="center"/>
    </xf>
    <xf numFmtId="164" fontId="2" fillId="0" borderId="47" xfId="2" applyNumberFormat="1" applyFont="1" applyFill="1" applyBorder="1" applyAlignment="1">
      <alignment horizontal="center" vertical="center"/>
    </xf>
    <xf numFmtId="164" fontId="2" fillId="0" borderId="12" xfId="2" applyNumberFormat="1" applyBorder="1" applyAlignment="1">
      <alignment horizontal="center" vertical="center"/>
    </xf>
    <xf numFmtId="164" fontId="35" fillId="0" borderId="12" xfId="2" applyNumberFormat="1" applyFont="1" applyBorder="1" applyAlignment="1">
      <alignment horizontal="center" vertical="center"/>
    </xf>
    <xf numFmtId="171" fontId="36" fillId="0" borderId="12" xfId="2" applyNumberFormat="1" applyFont="1" applyBorder="1" applyAlignment="1">
      <alignment horizontal="center" vertical="center"/>
    </xf>
    <xf numFmtId="164" fontId="7" fillId="0" borderId="48" xfId="2" applyNumberFormat="1" applyFont="1" applyBorder="1" applyAlignment="1">
      <alignment horizontal="center" vertical="center"/>
    </xf>
    <xf numFmtId="172" fontId="15" fillId="0" borderId="46" xfId="3" applyNumberFormat="1" applyFont="1" applyBorder="1" applyAlignment="1">
      <alignment vertical="center"/>
    </xf>
    <xf numFmtId="164" fontId="2" fillId="3" borderId="38" xfId="2" applyNumberFormat="1" applyFont="1" applyFill="1" applyBorder="1" applyAlignment="1">
      <alignment horizontal="center" vertical="center"/>
    </xf>
    <xf numFmtId="164" fontId="2" fillId="3" borderId="12" xfId="2" applyNumberFormat="1" applyFont="1" applyFill="1" applyBorder="1" applyAlignment="1">
      <alignment horizontal="center" vertical="center"/>
    </xf>
    <xf numFmtId="164" fontId="5" fillId="3" borderId="12" xfId="2" applyNumberFormat="1" applyFont="1" applyFill="1" applyBorder="1" applyAlignment="1">
      <alignment horizontal="center" vertical="center"/>
    </xf>
    <xf numFmtId="164" fontId="6" fillId="0" borderId="12" xfId="2" applyNumberFormat="1" applyFont="1" applyFill="1" applyBorder="1" applyAlignment="1">
      <alignment horizontal="center" vertical="center"/>
    </xf>
    <xf numFmtId="164" fontId="5" fillId="0" borderId="12" xfId="2" applyNumberFormat="1" applyFont="1" applyFill="1" applyBorder="1" applyAlignment="1">
      <alignment horizontal="center" vertical="center"/>
    </xf>
    <xf numFmtId="164" fontId="7" fillId="0" borderId="12" xfId="2" applyNumberFormat="1" applyFont="1" applyFill="1" applyBorder="1" applyAlignment="1">
      <alignment horizontal="center" vertical="center"/>
    </xf>
    <xf numFmtId="164" fontId="2" fillId="0" borderId="38" xfId="2" applyNumberFormat="1" applyFont="1" applyFill="1" applyBorder="1" applyAlignment="1">
      <alignment horizontal="center" vertical="center"/>
    </xf>
    <xf numFmtId="171" fontId="36" fillId="0" borderId="12" xfId="2" applyNumberFormat="1" applyFont="1" applyFill="1" applyBorder="1" applyAlignment="1">
      <alignment horizontal="center" vertical="center"/>
    </xf>
    <xf numFmtId="0" fontId="3" fillId="0" borderId="46" xfId="2" applyFont="1" applyFill="1" applyBorder="1"/>
    <xf numFmtId="164" fontId="2" fillId="0" borderId="25" xfId="2" applyNumberFormat="1" applyFont="1" applyBorder="1" applyAlignment="1">
      <alignment horizontal="center" vertical="center"/>
    </xf>
    <xf numFmtId="172" fontId="39" fillId="4" borderId="12" xfId="3" applyNumberFormat="1" applyFont="1" applyFill="1" applyBorder="1"/>
    <xf numFmtId="172" fontId="5" fillId="4" borderId="12" xfId="3" applyNumberFormat="1" applyFont="1" applyFill="1" applyBorder="1"/>
    <xf numFmtId="0" fontId="3" fillId="0" borderId="0" xfId="2" applyFont="1" applyAlignment="1">
      <alignment horizontal="center" vertical="center"/>
    </xf>
    <xf numFmtId="0" fontId="3" fillId="0" borderId="46" xfId="2" applyFont="1" applyBorder="1" applyAlignment="1">
      <alignment vertical="center"/>
    </xf>
    <xf numFmtId="164" fontId="40" fillId="0" borderId="12" xfId="2" applyNumberFormat="1" applyFont="1" applyFill="1" applyBorder="1" applyAlignment="1">
      <alignment horizontal="center" vertical="center"/>
    </xf>
    <xf numFmtId="171" fontId="41" fillId="0" borderId="12" xfId="2" applyNumberFormat="1" applyFont="1" applyBorder="1" applyAlignment="1">
      <alignment horizontal="center" vertical="center"/>
    </xf>
    <xf numFmtId="173" fontId="14" fillId="0" borderId="0" xfId="2" applyNumberFormat="1" applyFont="1" applyBorder="1" applyAlignment="1">
      <alignment horizontal="center" vertical="center"/>
    </xf>
    <xf numFmtId="172" fontId="39" fillId="0" borderId="12" xfId="3" applyNumberFormat="1" applyFont="1" applyBorder="1" applyAlignment="1">
      <alignment vertical="center"/>
    </xf>
    <xf numFmtId="172" fontId="5" fillId="0" borderId="12" xfId="3" applyNumberFormat="1" applyFont="1" applyBorder="1" applyAlignment="1">
      <alignment vertical="center"/>
    </xf>
    <xf numFmtId="0" fontId="2" fillId="0" borderId="0" xfId="2" applyAlignment="1">
      <alignment vertical="center"/>
    </xf>
    <xf numFmtId="0" fontId="42" fillId="0" borderId="0" xfId="2" applyFont="1" applyAlignment="1">
      <alignment horizontal="center"/>
    </xf>
    <xf numFmtId="0" fontId="42" fillId="0" borderId="46" xfId="2" applyFont="1" applyFill="1" applyBorder="1"/>
    <xf numFmtId="164" fontId="43" fillId="0" borderId="38" xfId="2" applyNumberFormat="1" applyFont="1" applyBorder="1" applyAlignment="1">
      <alignment horizontal="center" vertical="center"/>
    </xf>
    <xf numFmtId="164" fontId="43" fillId="0" borderId="12" xfId="2" applyNumberFormat="1" applyFont="1" applyBorder="1" applyAlignment="1">
      <alignment horizontal="center" vertical="center"/>
    </xf>
    <xf numFmtId="164" fontId="44" fillId="0" borderId="12" xfId="2" applyNumberFormat="1" applyFont="1" applyBorder="1" applyAlignment="1">
      <alignment horizontal="center" vertical="center"/>
    </xf>
    <xf numFmtId="164" fontId="45" fillId="0" borderId="12" xfId="2" applyNumberFormat="1" applyFont="1" applyBorder="1" applyAlignment="1">
      <alignment horizontal="center" vertical="center"/>
    </xf>
    <xf numFmtId="164" fontId="46" fillId="0" borderId="12" xfId="2" applyNumberFormat="1" applyFont="1" applyBorder="1" applyAlignment="1">
      <alignment horizontal="center" vertical="center"/>
    </xf>
    <xf numFmtId="164" fontId="47" fillId="0" borderId="39" xfId="2" applyNumberFormat="1" applyFont="1" applyBorder="1" applyAlignment="1">
      <alignment horizontal="center" vertical="center"/>
    </xf>
    <xf numFmtId="164" fontId="43" fillId="0" borderId="12" xfId="2" applyNumberFormat="1" applyFont="1" applyFill="1" applyBorder="1" applyAlignment="1">
      <alignment horizontal="center" vertical="center"/>
    </xf>
    <xf numFmtId="164" fontId="45" fillId="0" borderId="12" xfId="2" applyNumberFormat="1" applyFont="1" applyFill="1" applyBorder="1" applyAlignment="1">
      <alignment horizontal="center" vertical="center"/>
    </xf>
    <xf numFmtId="164" fontId="48" fillId="0" borderId="47" xfId="2" applyNumberFormat="1" applyFont="1" applyFill="1" applyBorder="1" applyAlignment="1">
      <alignment horizontal="center" vertical="center"/>
    </xf>
    <xf numFmtId="171" fontId="49" fillId="0" borderId="12" xfId="2" applyNumberFormat="1" applyFont="1" applyBorder="1" applyAlignment="1">
      <alignment horizontal="center" vertical="center"/>
    </xf>
    <xf numFmtId="164" fontId="46" fillId="0" borderId="48" xfId="2" applyNumberFormat="1" applyFont="1" applyBorder="1" applyAlignment="1">
      <alignment horizontal="center" vertical="center"/>
    </xf>
    <xf numFmtId="172" fontId="51" fillId="0" borderId="46" xfId="3" applyNumberFormat="1" applyFont="1" applyBorder="1" applyAlignment="1">
      <alignment vertical="center"/>
    </xf>
    <xf numFmtId="0" fontId="43" fillId="0" borderId="0" xfId="2" applyFont="1"/>
    <xf numFmtId="173" fontId="52" fillId="0" borderId="12" xfId="2" applyNumberFormat="1" applyFont="1" applyBorder="1" applyAlignment="1">
      <alignment horizontal="center"/>
    </xf>
    <xf numFmtId="173" fontId="53" fillId="0" borderId="12" xfId="2" applyNumberFormat="1" applyFont="1" applyBorder="1" applyAlignment="1">
      <alignment horizontal="center"/>
    </xf>
    <xf numFmtId="173" fontId="52" fillId="0" borderId="0" xfId="2" applyNumberFormat="1" applyFont="1" applyBorder="1" applyAlignment="1">
      <alignment horizontal="center"/>
    </xf>
    <xf numFmtId="172" fontId="54" fillId="0" borderId="12" xfId="3" applyNumberFormat="1" applyFont="1" applyBorder="1"/>
    <xf numFmtId="172" fontId="55" fillId="4" borderId="12" xfId="3" applyNumberFormat="1" applyFont="1" applyFill="1" applyBorder="1"/>
    <xf numFmtId="172" fontId="44" fillId="4" borderId="12" xfId="3" applyNumberFormat="1" applyFont="1" applyFill="1" applyBorder="1"/>
    <xf numFmtId="0" fontId="3" fillId="5" borderId="46" xfId="2" applyFont="1" applyFill="1" applyBorder="1"/>
    <xf numFmtId="164" fontId="56" fillId="0" borderId="12" xfId="2" applyNumberFormat="1" applyFont="1" applyFill="1" applyBorder="1" applyAlignment="1">
      <alignment horizontal="center" vertical="center"/>
    </xf>
    <xf numFmtId="164" fontId="57" fillId="0" borderId="12" xfId="2" applyNumberFormat="1" applyFont="1" applyFill="1" applyBorder="1" applyAlignment="1">
      <alignment horizontal="center" vertical="center"/>
    </xf>
    <xf numFmtId="164" fontId="57" fillId="0" borderId="39" xfId="2" applyNumberFormat="1" applyFont="1" applyFill="1" applyBorder="1" applyAlignment="1">
      <alignment horizontal="center" vertical="center"/>
    </xf>
    <xf numFmtId="164" fontId="56" fillId="0" borderId="25" xfId="2" applyNumberFormat="1" applyFont="1" applyFill="1" applyBorder="1" applyAlignment="1">
      <alignment horizontal="center" vertical="center"/>
    </xf>
    <xf numFmtId="171" fontId="58" fillId="0" borderId="12" xfId="2" applyNumberFormat="1" applyFont="1" applyFill="1" applyBorder="1" applyAlignment="1">
      <alignment horizontal="center" vertical="center"/>
    </xf>
    <xf numFmtId="164" fontId="57" fillId="0" borderId="48" xfId="2" applyNumberFormat="1" applyFont="1" applyFill="1" applyBorder="1" applyAlignment="1">
      <alignment horizontal="center" vertical="center"/>
    </xf>
    <xf numFmtId="164" fontId="56" fillId="0" borderId="25" xfId="2" applyNumberFormat="1" applyFont="1" applyFill="1" applyBorder="1" applyAlignment="1">
      <alignment horizontal="center" vertical="center"/>
    </xf>
    <xf numFmtId="172" fontId="60" fillId="0" borderId="46" xfId="3" applyNumberFormat="1" applyFont="1" applyFill="1" applyBorder="1" applyAlignment="1">
      <alignment vertical="center"/>
    </xf>
    <xf numFmtId="173" fontId="14" fillId="0" borderId="12" xfId="2" applyNumberFormat="1" applyFont="1" applyBorder="1" applyAlignment="1">
      <alignment horizontal="center" vertical="center"/>
    </xf>
    <xf numFmtId="173" fontId="31" fillId="0" borderId="12" xfId="2" applyNumberFormat="1" applyFont="1" applyBorder="1" applyAlignment="1">
      <alignment horizontal="center" vertical="center"/>
    </xf>
    <xf numFmtId="164" fontId="56" fillId="6" borderId="12" xfId="2" applyNumberFormat="1" applyFont="1" applyFill="1" applyBorder="1" applyAlignment="1">
      <alignment horizontal="center" vertical="center"/>
    </xf>
    <xf numFmtId="172" fontId="60" fillId="3" borderId="46" xfId="3" applyNumberFormat="1" applyFont="1" applyFill="1" applyBorder="1" applyAlignment="1">
      <alignment vertical="center"/>
    </xf>
    <xf numFmtId="164" fontId="57" fillId="3" borderId="12" xfId="2" applyNumberFormat="1" applyFont="1" applyFill="1" applyBorder="1" applyAlignment="1">
      <alignment horizontal="center" vertical="center"/>
    </xf>
    <xf numFmtId="164" fontId="56" fillId="3" borderId="12" xfId="2" applyNumberFormat="1" applyFont="1" applyFill="1" applyBorder="1" applyAlignment="1">
      <alignment horizontal="center" vertical="center"/>
    </xf>
    <xf numFmtId="164" fontId="7" fillId="3" borderId="12" xfId="2" applyNumberFormat="1" applyFont="1" applyFill="1" applyBorder="1" applyAlignment="1">
      <alignment horizontal="center" vertical="center"/>
    </xf>
    <xf numFmtId="164" fontId="57" fillId="3" borderId="39" xfId="2" applyNumberFormat="1" applyFont="1" applyFill="1" applyBorder="1" applyAlignment="1">
      <alignment horizontal="center" vertical="center"/>
    </xf>
    <xf numFmtId="164" fontId="56" fillId="3" borderId="25" xfId="2" applyNumberFormat="1" applyFont="1" applyFill="1" applyBorder="1" applyAlignment="1">
      <alignment horizontal="center" vertical="center"/>
    </xf>
    <xf numFmtId="164" fontId="62" fillId="5" borderId="12" xfId="2" applyNumberFormat="1" applyFont="1" applyFill="1" applyBorder="1" applyAlignment="1">
      <alignment horizontal="center" vertical="center"/>
    </xf>
    <xf numFmtId="164" fontId="35" fillId="3" borderId="12" xfId="2" applyNumberFormat="1" applyFont="1" applyFill="1" applyBorder="1" applyAlignment="1">
      <alignment horizontal="center" vertical="center"/>
    </xf>
    <xf numFmtId="171" fontId="58" fillId="3" borderId="12" xfId="2" applyNumberFormat="1" applyFont="1" applyFill="1" applyBorder="1" applyAlignment="1">
      <alignment horizontal="center" vertical="center"/>
    </xf>
    <xf numFmtId="164" fontId="57" fillId="3" borderId="48" xfId="2" applyNumberFormat="1" applyFont="1" applyFill="1" applyBorder="1" applyAlignment="1">
      <alignment horizontal="center" vertical="center"/>
    </xf>
    <xf numFmtId="172" fontId="60" fillId="0" borderId="37" xfId="3" applyNumberFormat="1" applyFont="1" applyFill="1" applyBorder="1" applyAlignment="1">
      <alignment vertical="center"/>
    </xf>
    <xf numFmtId="173" fontId="63" fillId="0" borderId="20" xfId="2" applyNumberFormat="1" applyFont="1" applyBorder="1" applyAlignment="1">
      <alignment horizontal="center"/>
    </xf>
    <xf numFmtId="172" fontId="56" fillId="0" borderId="20" xfId="3" applyNumberFormat="1" applyFont="1" applyBorder="1"/>
    <xf numFmtId="0" fontId="56" fillId="0" borderId="0" xfId="2" applyFont="1"/>
    <xf numFmtId="164" fontId="64" fillId="0" borderId="12" xfId="2" applyNumberFormat="1" applyFont="1" applyFill="1" applyBorder="1" applyAlignment="1">
      <alignment horizontal="center" vertical="center"/>
    </xf>
    <xf numFmtId="0" fontId="65" fillId="5" borderId="51" xfId="2" applyFont="1" applyFill="1" applyBorder="1"/>
    <xf numFmtId="164" fontId="56" fillId="0" borderId="52" xfId="2" applyNumberFormat="1" applyFont="1" applyFill="1" applyBorder="1" applyAlignment="1">
      <alignment horizontal="center" vertical="center"/>
    </xf>
    <xf numFmtId="164" fontId="57" fillId="0" borderId="52" xfId="2" applyNumberFormat="1" applyFont="1" applyFill="1" applyBorder="1" applyAlignment="1">
      <alignment horizontal="center" vertical="center"/>
    </xf>
    <xf numFmtId="164" fontId="2" fillId="0" borderId="52" xfId="2" applyNumberFormat="1" applyFont="1" applyFill="1" applyBorder="1" applyAlignment="1">
      <alignment horizontal="center" vertical="center"/>
    </xf>
    <xf numFmtId="164" fontId="57" fillId="0" borderId="53" xfId="2" applyNumberFormat="1" applyFont="1" applyFill="1" applyBorder="1" applyAlignment="1">
      <alignment horizontal="center" vertical="center"/>
    </xf>
    <xf numFmtId="164" fontId="56" fillId="0" borderId="54" xfId="2" applyNumberFormat="1" applyFont="1" applyFill="1" applyBorder="1" applyAlignment="1">
      <alignment horizontal="center" vertical="center"/>
    </xf>
    <xf numFmtId="164" fontId="34" fillId="0" borderId="52" xfId="2" applyNumberFormat="1" applyFont="1" applyFill="1" applyBorder="1" applyAlignment="1">
      <alignment horizontal="center" vertical="center"/>
    </xf>
    <xf numFmtId="164" fontId="7" fillId="3" borderId="52" xfId="2" applyNumberFormat="1" applyFont="1" applyFill="1" applyBorder="1" applyAlignment="1">
      <alignment horizontal="center" vertical="center"/>
    </xf>
    <xf numFmtId="164" fontId="66" fillId="0" borderId="52" xfId="2" applyNumberFormat="1" applyFont="1" applyFill="1" applyBorder="1" applyAlignment="1">
      <alignment horizontal="center" vertical="center"/>
    </xf>
    <xf numFmtId="171" fontId="36" fillId="0" borderId="52" xfId="2" applyNumberFormat="1" applyFont="1" applyFill="1" applyBorder="1" applyAlignment="1">
      <alignment horizontal="center" vertical="center"/>
    </xf>
    <xf numFmtId="164" fontId="57" fillId="0" borderId="55" xfId="2" applyNumberFormat="1" applyFont="1" applyFill="1" applyBorder="1" applyAlignment="1">
      <alignment horizontal="center" vertical="center"/>
    </xf>
    <xf numFmtId="164" fontId="56" fillId="0" borderId="54" xfId="2" applyNumberFormat="1" applyFont="1" applyFill="1" applyBorder="1" applyAlignment="1">
      <alignment horizontal="center" vertical="center"/>
    </xf>
    <xf numFmtId="172" fontId="60" fillId="0" borderId="51" xfId="3" applyNumberFormat="1" applyFont="1" applyFill="1" applyBorder="1" applyAlignment="1">
      <alignment vertical="center"/>
    </xf>
    <xf numFmtId="173" fontId="14" fillId="0" borderId="52" xfId="2" applyNumberFormat="1" applyFont="1" applyBorder="1" applyAlignment="1">
      <alignment horizontal="center" vertical="center"/>
    </xf>
    <xf numFmtId="173" fontId="31" fillId="0" borderId="52" xfId="2" applyNumberFormat="1" applyFont="1" applyBorder="1" applyAlignment="1">
      <alignment horizontal="center" vertical="center"/>
    </xf>
    <xf numFmtId="172" fontId="39" fillId="0" borderId="52" xfId="3" applyNumberFormat="1" applyFont="1" applyBorder="1" applyAlignment="1">
      <alignment vertical="center"/>
    </xf>
    <xf numFmtId="172" fontId="5" fillId="0" borderId="52" xfId="3" applyNumberFormat="1" applyFont="1" applyBorder="1" applyAlignment="1">
      <alignment vertical="center"/>
    </xf>
    <xf numFmtId="164" fontId="33" fillId="0" borderId="39" xfId="2" applyNumberFormat="1" applyFont="1" applyFill="1" applyBorder="1" applyAlignment="1">
      <alignment horizontal="center" vertical="center"/>
    </xf>
    <xf numFmtId="164" fontId="2" fillId="0" borderId="25" xfId="2" applyNumberFormat="1" applyFont="1" applyFill="1" applyBorder="1" applyAlignment="1">
      <alignment horizontal="center" vertical="center"/>
    </xf>
    <xf numFmtId="164" fontId="7" fillId="0" borderId="20" xfId="2" applyNumberFormat="1" applyFont="1" applyFill="1" applyBorder="1" applyAlignment="1">
      <alignment horizontal="center" vertical="center"/>
    </xf>
    <xf numFmtId="164" fontId="2" fillId="0" borderId="12" xfId="2" applyNumberFormat="1" applyFill="1" applyBorder="1" applyAlignment="1">
      <alignment horizontal="center" vertical="center"/>
    </xf>
    <xf numFmtId="164" fontId="35" fillId="0" borderId="12" xfId="2" applyNumberFormat="1" applyFont="1" applyFill="1" applyBorder="1" applyAlignment="1">
      <alignment horizontal="center" vertical="center"/>
    </xf>
    <xf numFmtId="164" fontId="7" fillId="0" borderId="48" xfId="2" applyNumberFormat="1" applyFont="1" applyFill="1" applyBorder="1" applyAlignment="1">
      <alignment horizontal="center" vertical="center"/>
    </xf>
    <xf numFmtId="43" fontId="2" fillId="0" borderId="0" xfId="2" applyNumberFormat="1"/>
    <xf numFmtId="0" fontId="3" fillId="7" borderId="46" xfId="2" applyFont="1" applyFill="1" applyBorder="1"/>
    <xf numFmtId="164" fontId="57" fillId="6" borderId="12" xfId="2" applyNumberFormat="1" applyFont="1" applyFill="1" applyBorder="1" applyAlignment="1">
      <alignment horizontal="center" vertical="center"/>
    </xf>
    <xf numFmtId="164" fontId="2" fillId="6" borderId="12" xfId="2" applyNumberFormat="1" applyFont="1" applyFill="1" applyBorder="1" applyAlignment="1">
      <alignment horizontal="center" vertical="center"/>
    </xf>
    <xf numFmtId="164" fontId="64" fillId="6" borderId="12" xfId="2" applyNumberFormat="1" applyFont="1" applyFill="1" applyBorder="1" applyAlignment="1">
      <alignment horizontal="center" vertical="center"/>
    </xf>
    <xf numFmtId="164" fontId="7" fillId="6" borderId="12" xfId="2" applyNumberFormat="1" applyFont="1" applyFill="1" applyBorder="1" applyAlignment="1">
      <alignment horizontal="center" vertical="center"/>
    </xf>
    <xf numFmtId="164" fontId="57" fillId="6" borderId="39" xfId="2" applyNumberFormat="1" applyFont="1" applyFill="1" applyBorder="1" applyAlignment="1">
      <alignment horizontal="center" vertical="center"/>
    </xf>
    <xf numFmtId="164" fontId="56" fillId="6" borderId="25" xfId="2" applyNumberFormat="1" applyFont="1" applyFill="1" applyBorder="1" applyAlignment="1">
      <alignment horizontal="center" vertical="center"/>
    </xf>
    <xf numFmtId="164" fontId="35" fillId="6" borderId="12" xfId="2" applyNumberFormat="1" applyFont="1" applyFill="1" applyBorder="1" applyAlignment="1">
      <alignment horizontal="center" vertical="center"/>
    </xf>
    <xf numFmtId="171" fontId="58" fillId="6" borderId="12" xfId="2" applyNumberFormat="1" applyFont="1" applyFill="1" applyBorder="1" applyAlignment="1">
      <alignment horizontal="center" vertical="center"/>
    </xf>
    <xf numFmtId="164" fontId="57" fillId="6" borderId="48" xfId="2" applyNumberFormat="1" applyFont="1" applyFill="1" applyBorder="1" applyAlignment="1">
      <alignment horizontal="center" vertical="center"/>
    </xf>
    <xf numFmtId="0" fontId="3" fillId="7" borderId="58" xfId="2" applyFont="1" applyFill="1" applyBorder="1"/>
    <xf numFmtId="164" fontId="2" fillId="6" borderId="59" xfId="2" applyNumberFormat="1" applyFont="1" applyFill="1" applyBorder="1" applyAlignment="1">
      <alignment horizontal="center" vertical="center"/>
    </xf>
    <xf numFmtId="164" fontId="2" fillId="6" borderId="29" xfId="2" applyNumberFormat="1" applyFont="1" applyFill="1" applyBorder="1" applyAlignment="1">
      <alignment horizontal="center" vertical="center"/>
    </xf>
    <xf numFmtId="164" fontId="5" fillId="6" borderId="29" xfId="2" applyNumberFormat="1" applyFont="1" applyFill="1" applyBorder="1" applyAlignment="1">
      <alignment horizontal="center" vertical="center"/>
    </xf>
    <xf numFmtId="164" fontId="6" fillId="6" borderId="29" xfId="2" applyNumberFormat="1" applyFont="1" applyFill="1" applyBorder="1" applyAlignment="1">
      <alignment horizontal="center" vertical="center"/>
    </xf>
    <xf numFmtId="164" fontId="7" fillId="6" borderId="29" xfId="2" applyNumberFormat="1" applyFont="1" applyFill="1" applyBorder="1" applyAlignment="1">
      <alignment horizontal="center" vertical="center"/>
    </xf>
    <xf numFmtId="164" fontId="33" fillId="6" borderId="60" xfId="2" applyNumberFormat="1" applyFont="1" applyFill="1" applyBorder="1" applyAlignment="1">
      <alignment horizontal="center" vertical="center"/>
    </xf>
    <xf numFmtId="164" fontId="2" fillId="6" borderId="31" xfId="2" applyNumberFormat="1" applyFont="1" applyFill="1" applyBorder="1" applyAlignment="1">
      <alignment horizontal="center" vertical="center"/>
    </xf>
    <xf numFmtId="164" fontId="2" fillId="0" borderId="29" xfId="2" applyNumberFormat="1" applyFont="1" applyFill="1" applyBorder="1" applyAlignment="1">
      <alignment horizontal="center" vertical="center"/>
    </xf>
    <xf numFmtId="164" fontId="34" fillId="0" borderId="29" xfId="2" applyNumberFormat="1" applyFont="1" applyFill="1" applyBorder="1" applyAlignment="1">
      <alignment horizontal="center" vertical="center"/>
    </xf>
    <xf numFmtId="164" fontId="2" fillId="6" borderId="29" xfId="2" applyNumberFormat="1" applyFill="1" applyBorder="1" applyAlignment="1">
      <alignment horizontal="center" vertical="center"/>
    </xf>
    <xf numFmtId="164" fontId="35" fillId="6" borderId="29" xfId="2" applyNumberFormat="1" applyFont="1" applyFill="1" applyBorder="1" applyAlignment="1">
      <alignment horizontal="center" vertical="center"/>
    </xf>
    <xf numFmtId="171" fontId="36" fillId="6" borderId="29" xfId="2" applyNumberFormat="1" applyFont="1" applyFill="1" applyBorder="1" applyAlignment="1">
      <alignment horizontal="center" vertical="center"/>
    </xf>
    <xf numFmtId="164" fontId="7" fillId="6" borderId="61" xfId="2" applyNumberFormat="1" applyFont="1" applyFill="1" applyBorder="1" applyAlignment="1">
      <alignment horizontal="center" vertical="center"/>
    </xf>
    <xf numFmtId="172" fontId="15" fillId="0" borderId="58" xfId="3" applyNumberFormat="1" applyFont="1" applyBorder="1" applyAlignment="1">
      <alignment vertical="center"/>
    </xf>
    <xf numFmtId="0" fontId="2" fillId="0" borderId="0" xfId="2" applyBorder="1"/>
    <xf numFmtId="172" fontId="2" fillId="0" borderId="0" xfId="3" applyNumberFormat="1"/>
    <xf numFmtId="0" fontId="40" fillId="0" borderId="0" xfId="2" applyFont="1" applyBorder="1"/>
    <xf numFmtId="172" fontId="79" fillId="0" borderId="0" xfId="3" applyNumberFormat="1" applyFont="1" applyBorder="1" applyAlignment="1">
      <alignment horizontal="center" vertical="center"/>
    </xf>
    <xf numFmtId="175" fontId="80" fillId="0" borderId="0" xfId="3" applyNumberFormat="1" applyFont="1" applyAlignment="1">
      <alignment horizontal="right"/>
    </xf>
    <xf numFmtId="172" fontId="39" fillId="0" borderId="0" xfId="3" applyNumberFormat="1" applyFont="1" applyAlignment="1">
      <alignment horizontal="left"/>
    </xf>
    <xf numFmtId="164" fontId="2" fillId="0" borderId="0" xfId="2" applyNumberFormat="1"/>
    <xf numFmtId="164" fontId="81" fillId="0" borderId="12" xfId="2" applyNumberFormat="1" applyFont="1" applyFill="1" applyBorder="1" applyAlignment="1">
      <alignment horizontal="center" vertical="center"/>
    </xf>
    <xf numFmtId="164" fontId="5" fillId="0" borderId="64" xfId="2" applyNumberFormat="1" applyFont="1" applyBorder="1" applyAlignment="1">
      <alignment horizontal="center" vertical="center"/>
    </xf>
    <xf numFmtId="164" fontId="6" fillId="0" borderId="64" xfId="2" applyNumberFormat="1" applyFont="1" applyBorder="1" applyAlignment="1">
      <alignment horizontal="center" vertical="center"/>
    </xf>
    <xf numFmtId="164" fontId="7" fillId="0" borderId="64" xfId="2" applyNumberFormat="1" applyFont="1" applyBorder="1" applyAlignment="1">
      <alignment horizontal="center" vertical="center"/>
    </xf>
    <xf numFmtId="1" fontId="82" fillId="0" borderId="20" xfId="2" applyNumberFormat="1" applyFont="1" applyBorder="1" applyAlignment="1">
      <alignment horizontal="center" vertical="center"/>
    </xf>
    <xf numFmtId="1" fontId="83" fillId="0" borderId="12" xfId="2" applyNumberFormat="1" applyFont="1" applyBorder="1" applyAlignment="1">
      <alignment horizontal="center" vertical="center"/>
    </xf>
    <xf numFmtId="1" fontId="39" fillId="0" borderId="20" xfId="2" applyNumberFormat="1" applyFont="1" applyBorder="1" applyAlignment="1">
      <alignment horizontal="center" vertical="center"/>
    </xf>
    <xf numFmtId="1" fontId="2" fillId="0" borderId="20" xfId="2" applyNumberFormat="1" applyBorder="1" applyAlignment="1">
      <alignment horizontal="center" vertical="center"/>
    </xf>
    <xf numFmtId="0" fontId="84" fillId="0" borderId="0" xfId="2" applyFont="1"/>
    <xf numFmtId="173" fontId="2" fillId="0" borderId="0" xfId="2" applyNumberFormat="1"/>
    <xf numFmtId="164" fontId="4" fillId="0" borderId="12" xfId="2" applyNumberFormat="1" applyFont="1" applyFill="1" applyBorder="1" applyAlignment="1">
      <alignment horizontal="center" vertical="center"/>
    </xf>
    <xf numFmtId="164" fontId="6" fillId="3" borderId="12" xfId="2" applyNumberFormat="1" applyFont="1" applyFill="1" applyBorder="1" applyAlignment="1">
      <alignment horizontal="center" vertical="center"/>
    </xf>
    <xf numFmtId="164" fontId="85" fillId="0" borderId="65" xfId="2" applyNumberFormat="1" applyFont="1" applyFill="1" applyBorder="1" applyAlignment="1">
      <alignment horizontal="center" vertical="center"/>
    </xf>
    <xf numFmtId="1" fontId="2" fillId="0" borderId="12" xfId="2" applyNumberFormat="1" applyBorder="1" applyAlignment="1">
      <alignment horizontal="center" vertical="center"/>
    </xf>
    <xf numFmtId="0" fontId="86" fillId="0" borderId="0" xfId="2" applyFont="1"/>
    <xf numFmtId="164" fontId="81" fillId="0" borderId="65" xfId="2" applyNumberFormat="1" applyFont="1" applyFill="1" applyBorder="1" applyAlignment="1">
      <alignment horizontal="center" vertical="center"/>
    </xf>
    <xf numFmtId="0" fontId="3" fillId="0" borderId="46" xfId="2" applyFont="1" applyBorder="1" applyAlignment="1">
      <alignment horizontal="left" vertical="center"/>
    </xf>
    <xf numFmtId="1" fontId="83" fillId="0" borderId="12" xfId="2" applyNumberFormat="1" applyFont="1" applyFill="1" applyBorder="1" applyAlignment="1">
      <alignment horizontal="center" vertical="center"/>
    </xf>
    <xf numFmtId="1" fontId="83" fillId="0" borderId="65" xfId="2" applyNumberFormat="1" applyFont="1" applyBorder="1" applyAlignment="1">
      <alignment horizontal="center" vertical="center"/>
    </xf>
    <xf numFmtId="164" fontId="87" fillId="0" borderId="12" xfId="2" applyNumberFormat="1" applyFont="1" applyFill="1" applyBorder="1" applyAlignment="1">
      <alignment horizontal="center" vertical="center"/>
    </xf>
    <xf numFmtId="0" fontId="43" fillId="0" borderId="0" xfId="2" applyFont="1" applyAlignment="1">
      <alignment vertical="center"/>
    </xf>
    <xf numFmtId="1" fontId="88" fillId="0" borderId="20" xfId="2" applyNumberFormat="1" applyFont="1" applyBorder="1" applyAlignment="1">
      <alignment horizontal="center" vertical="center"/>
    </xf>
    <xf numFmtId="1" fontId="89" fillId="0" borderId="12" xfId="2" applyNumberFormat="1" applyFont="1" applyBorder="1" applyAlignment="1">
      <alignment horizontal="center" vertical="center"/>
    </xf>
    <xf numFmtId="1" fontId="90" fillId="0" borderId="20" xfId="2" applyNumberFormat="1" applyFont="1" applyBorder="1" applyAlignment="1">
      <alignment horizontal="center" vertical="center"/>
    </xf>
    <xf numFmtId="1" fontId="43" fillId="0" borderId="12" xfId="2" applyNumberFormat="1" applyFont="1" applyBorder="1" applyAlignment="1">
      <alignment horizontal="center" vertical="center"/>
    </xf>
    <xf numFmtId="0" fontId="91" fillId="0" borderId="0" xfId="2" applyFont="1"/>
    <xf numFmtId="164" fontId="92" fillId="0" borderId="12" xfId="2" applyNumberFormat="1" applyFont="1" applyFill="1" applyBorder="1" applyAlignment="1">
      <alignment horizontal="center" vertical="center"/>
    </xf>
    <xf numFmtId="164" fontId="56" fillId="6" borderId="65" xfId="2" applyNumberFormat="1" applyFont="1" applyFill="1" applyBorder="1" applyAlignment="1">
      <alignment horizontal="center" vertical="center"/>
    </xf>
    <xf numFmtId="164" fontId="57" fillId="6" borderId="65" xfId="2" applyNumberFormat="1" applyFont="1" applyFill="1" applyBorder="1" applyAlignment="1">
      <alignment horizontal="center" vertical="center"/>
    </xf>
    <xf numFmtId="1" fontId="92" fillId="3" borderId="20" xfId="2" applyNumberFormat="1" applyFont="1" applyFill="1" applyBorder="1" applyAlignment="1">
      <alignment horizontal="center" vertical="center"/>
    </xf>
    <xf numFmtId="1" fontId="93" fillId="0" borderId="12" xfId="2" applyNumberFormat="1" applyFont="1" applyBorder="1" applyAlignment="1">
      <alignment horizontal="center" vertical="center"/>
    </xf>
    <xf numFmtId="1" fontId="94" fillId="3" borderId="12" xfId="2" applyNumberFormat="1" applyFont="1" applyFill="1" applyBorder="1" applyAlignment="1">
      <alignment horizontal="center" vertical="center"/>
    </xf>
    <xf numFmtId="1" fontId="56" fillId="3" borderId="20" xfId="2" applyNumberFormat="1" applyFont="1" applyFill="1" applyBorder="1" applyAlignment="1">
      <alignment horizontal="center" vertical="center"/>
    </xf>
    <xf numFmtId="1" fontId="2" fillId="0" borderId="12" xfId="2" applyNumberFormat="1" applyFont="1" applyFill="1" applyBorder="1" applyAlignment="1">
      <alignment horizontal="center" vertical="center"/>
    </xf>
    <xf numFmtId="164" fontId="41" fillId="2" borderId="65" xfId="2" applyNumberFormat="1" applyFont="1" applyFill="1" applyBorder="1" applyAlignment="1">
      <alignment horizontal="center" vertical="center"/>
    </xf>
    <xf numFmtId="164" fontId="57" fillId="6" borderId="77" xfId="2" applyNumberFormat="1" applyFont="1" applyFill="1" applyBorder="1" applyAlignment="1">
      <alignment horizontal="center" vertical="center"/>
    </xf>
    <xf numFmtId="1" fontId="82" fillId="0" borderId="12" xfId="2" applyNumberFormat="1" applyFont="1" applyBorder="1" applyAlignment="1">
      <alignment horizontal="center" vertical="center"/>
    </xf>
    <xf numFmtId="1" fontId="83" fillId="0" borderId="47" xfId="2" applyNumberFormat="1" applyFont="1" applyBorder="1" applyAlignment="1">
      <alignment horizontal="center" vertical="center"/>
    </xf>
    <xf numFmtId="0" fontId="95" fillId="0" borderId="0" xfId="2" applyFont="1" applyAlignment="1">
      <alignment horizontal="center"/>
    </xf>
    <xf numFmtId="164" fontId="56" fillId="0" borderId="65" xfId="2" applyNumberFormat="1" applyFont="1" applyFill="1" applyBorder="1" applyAlignment="1">
      <alignment horizontal="center" vertical="center"/>
    </xf>
    <xf numFmtId="164" fontId="92" fillId="6" borderId="65" xfId="2" applyNumberFormat="1" applyFont="1" applyFill="1" applyBorder="1" applyAlignment="1">
      <alignment horizontal="center" vertical="center"/>
    </xf>
    <xf numFmtId="164" fontId="2" fillId="6" borderId="65" xfId="2" applyNumberFormat="1" applyFont="1" applyFill="1" applyBorder="1" applyAlignment="1">
      <alignment horizontal="center" vertical="center"/>
    </xf>
    <xf numFmtId="1" fontId="92" fillId="0" borderId="20" xfId="2" applyNumberFormat="1" applyFont="1" applyFill="1" applyBorder="1" applyAlignment="1">
      <alignment horizontal="center" vertical="center"/>
    </xf>
    <xf numFmtId="1" fontId="94" fillId="0" borderId="20" xfId="2" applyNumberFormat="1" applyFont="1" applyFill="1" applyBorder="1" applyAlignment="1">
      <alignment horizontal="center" vertical="center"/>
    </xf>
    <xf numFmtId="1" fontId="56" fillId="0" borderId="20" xfId="2" applyNumberFormat="1" applyFont="1" applyFill="1" applyBorder="1" applyAlignment="1">
      <alignment horizontal="center" vertical="center"/>
    </xf>
    <xf numFmtId="164" fontId="41" fillId="6" borderId="65" xfId="2" applyNumberFormat="1" applyFont="1" applyFill="1" applyBorder="1" applyAlignment="1">
      <alignment horizontal="center" vertical="center"/>
    </xf>
    <xf numFmtId="164" fontId="81" fillId="0" borderId="52" xfId="2" applyNumberFormat="1" applyFont="1" applyFill="1" applyBorder="1" applyAlignment="1">
      <alignment horizontal="center" vertical="center"/>
    </xf>
    <xf numFmtId="0" fontId="2" fillId="0" borderId="0" xfId="2" applyFill="1" applyAlignment="1">
      <alignment vertical="center"/>
    </xf>
    <xf numFmtId="1" fontId="92" fillId="0" borderId="78" xfId="2" applyNumberFormat="1" applyFont="1" applyFill="1" applyBorder="1" applyAlignment="1">
      <alignment horizontal="center" vertical="center"/>
    </xf>
    <xf numFmtId="1" fontId="94" fillId="0" borderId="52" xfId="2" applyNumberFormat="1" applyFont="1" applyFill="1" applyBorder="1" applyAlignment="1">
      <alignment horizontal="center" vertical="center"/>
    </xf>
    <xf numFmtId="1" fontId="56" fillId="0" borderId="78" xfId="2" applyNumberFormat="1" applyFont="1" applyFill="1" applyBorder="1" applyAlignment="1">
      <alignment horizontal="center" vertical="center"/>
    </xf>
    <xf numFmtId="1" fontId="2" fillId="0" borderId="52" xfId="2" applyNumberFormat="1" applyFont="1" applyFill="1" applyBorder="1" applyAlignment="1">
      <alignment horizontal="center" vertical="center"/>
    </xf>
    <xf numFmtId="164" fontId="81" fillId="0" borderId="20" xfId="2" applyNumberFormat="1" applyFont="1" applyFill="1" applyBorder="1" applyAlignment="1">
      <alignment horizontal="center" vertical="center"/>
    </xf>
    <xf numFmtId="1" fontId="64" fillId="0" borderId="20" xfId="2" applyNumberFormat="1" applyFont="1" applyBorder="1" applyAlignment="1">
      <alignment horizontal="center" vertical="center"/>
    </xf>
    <xf numFmtId="164" fontId="41" fillId="0" borderId="12" xfId="2" applyNumberFormat="1" applyFont="1" applyFill="1" applyBorder="1" applyAlignment="1">
      <alignment horizontal="center" vertical="center"/>
    </xf>
    <xf numFmtId="164" fontId="41" fillId="2" borderId="12" xfId="2" applyNumberFormat="1" applyFont="1" applyFill="1" applyBorder="1" applyAlignment="1">
      <alignment horizontal="center" vertical="center"/>
    </xf>
    <xf numFmtId="1" fontId="64" fillId="0" borderId="12" xfId="2" applyNumberFormat="1" applyFont="1" applyBorder="1" applyAlignment="1">
      <alignment horizontal="center" vertical="center"/>
    </xf>
    <xf numFmtId="164" fontId="2" fillId="3" borderId="59" xfId="2" applyNumberFormat="1" applyFont="1" applyFill="1" applyBorder="1" applyAlignment="1">
      <alignment horizontal="center" vertical="center"/>
    </xf>
    <xf numFmtId="164" fontId="2" fillId="3" borderId="29" xfId="2" applyNumberFormat="1" applyFont="1" applyFill="1" applyBorder="1" applyAlignment="1">
      <alignment horizontal="center" vertical="center"/>
    </xf>
    <xf numFmtId="164" fontId="5" fillId="3" borderId="29" xfId="2" applyNumberFormat="1" applyFont="1" applyFill="1" applyBorder="1" applyAlignment="1">
      <alignment horizontal="center" vertical="center"/>
    </xf>
    <xf numFmtId="164" fontId="6" fillId="3" borderId="29" xfId="2" applyNumberFormat="1" applyFont="1" applyFill="1" applyBorder="1" applyAlignment="1">
      <alignment horizontal="center" vertical="center"/>
    </xf>
    <xf numFmtId="164" fontId="7" fillId="3" borderId="29" xfId="2" applyNumberFormat="1" applyFont="1" applyFill="1" applyBorder="1" applyAlignment="1">
      <alignment horizontal="center" vertical="center"/>
    </xf>
    <xf numFmtId="164" fontId="33" fillId="3" borderId="60" xfId="2" applyNumberFormat="1" applyFont="1" applyFill="1" applyBorder="1" applyAlignment="1">
      <alignment horizontal="center" vertical="center"/>
    </xf>
    <xf numFmtId="164" fontId="64" fillId="3" borderId="29" xfId="2" applyNumberFormat="1" applyFont="1" applyFill="1" applyBorder="1" applyAlignment="1">
      <alignment horizontal="center" vertical="center"/>
    </xf>
    <xf numFmtId="164" fontId="81" fillId="0" borderId="29" xfId="2" applyNumberFormat="1" applyFont="1" applyFill="1" applyBorder="1" applyAlignment="1">
      <alignment horizontal="center" vertical="center"/>
    </xf>
    <xf numFmtId="0" fontId="15" fillId="0" borderId="0" xfId="2" applyFont="1" applyBorder="1" applyAlignment="1">
      <alignment vertical="center"/>
    </xf>
    <xf numFmtId="164" fontId="2" fillId="0" borderId="0" xfId="2" applyNumberFormat="1" applyAlignment="1">
      <alignment horizontal="left"/>
    </xf>
    <xf numFmtId="164" fontId="5" fillId="0" borderId="0" xfId="2" applyNumberFormat="1" applyFont="1" applyBorder="1" applyAlignment="1">
      <alignment horizontal="center" vertical="center"/>
    </xf>
    <xf numFmtId="164" fontId="6" fillId="0" borderId="0" xfId="2" applyNumberFormat="1" applyFont="1" applyBorder="1" applyAlignment="1">
      <alignment horizontal="center" vertical="center"/>
    </xf>
    <xf numFmtId="164" fontId="2" fillId="0" borderId="0" xfId="2" applyNumberFormat="1" applyBorder="1" applyAlignment="1">
      <alignment horizontal="center" vertical="center"/>
    </xf>
    <xf numFmtId="164" fontId="7" fillId="0" borderId="0" xfId="2" applyNumberFormat="1" applyFont="1" applyBorder="1" applyAlignment="1">
      <alignment horizontal="center" vertical="center"/>
    </xf>
    <xf numFmtId="164" fontId="27" fillId="0" borderId="0" xfId="2" applyNumberFormat="1" applyFont="1" applyBorder="1" applyAlignment="1">
      <alignment horizontal="center" vertical="center"/>
    </xf>
    <xf numFmtId="164" fontId="96" fillId="0" borderId="0" xfId="2" applyNumberFormat="1" applyFont="1" applyBorder="1" applyAlignment="1">
      <alignment horizontal="center" vertical="center"/>
    </xf>
    <xf numFmtId="0" fontId="97" fillId="0" borderId="0" xfId="2" applyFont="1" applyBorder="1" applyAlignment="1">
      <alignment horizontal="center" vertical="center"/>
    </xf>
    <xf numFmtId="164" fontId="16" fillId="0" borderId="0" xfId="2" applyNumberFormat="1" applyFont="1" applyBorder="1" applyAlignment="1">
      <alignment horizontal="center" vertical="center"/>
    </xf>
    <xf numFmtId="164" fontId="98" fillId="0" borderId="0" xfId="2" applyNumberFormat="1" applyFont="1" applyBorder="1" applyAlignment="1">
      <alignment horizontal="center" vertical="center"/>
    </xf>
    <xf numFmtId="1" fontId="11" fillId="0" borderId="0" xfId="2" applyNumberFormat="1" applyFont="1" applyAlignment="1">
      <alignment horizontal="center"/>
    </xf>
    <xf numFmtId="1" fontId="99" fillId="0" borderId="0" xfId="2" applyNumberFormat="1" applyFont="1" applyAlignment="1">
      <alignment horizontal="center"/>
    </xf>
    <xf numFmtId="164" fontId="5" fillId="0" borderId="0" xfId="2" applyNumberFormat="1" applyFont="1" applyAlignment="1">
      <alignment horizontal="left"/>
    </xf>
    <xf numFmtId="0" fontId="21" fillId="0" borderId="0" xfId="2" applyFont="1" applyFill="1" applyBorder="1"/>
    <xf numFmtId="0" fontId="2" fillId="0" borderId="0" xfId="2" applyFont="1" applyFill="1" applyBorder="1"/>
    <xf numFmtId="0" fontId="2" fillId="0" borderId="0" xfId="2" applyFill="1" applyBorder="1"/>
    <xf numFmtId="164" fontId="2" fillId="0" borderId="0" xfId="2" applyNumberFormat="1" applyAlignment="1"/>
    <xf numFmtId="0" fontId="2" fillId="0" borderId="0" xfId="2" applyBorder="1" applyAlignment="1">
      <alignment horizontal="center" vertical="center"/>
    </xf>
    <xf numFmtId="164" fontId="11" fillId="0" borderId="0" xfId="2" applyNumberFormat="1" applyFont="1" applyAlignment="1">
      <alignment horizontal="center"/>
    </xf>
    <xf numFmtId="164" fontId="24" fillId="0" borderId="0" xfId="2" applyNumberFormat="1" applyFont="1" applyAlignment="1">
      <alignment horizontal="center"/>
    </xf>
    <xf numFmtId="164" fontId="25" fillId="0" borderId="0" xfId="2" applyNumberFormat="1" applyFont="1" applyAlignment="1">
      <alignment horizontal="center"/>
    </xf>
    <xf numFmtId="164" fontId="100" fillId="0" borderId="0" xfId="2" applyNumberFormat="1" applyFont="1" applyAlignment="1">
      <alignment horizontal="center"/>
    </xf>
    <xf numFmtId="164" fontId="24" fillId="0" borderId="0" xfId="2" applyNumberFormat="1" applyFont="1" applyBorder="1" applyAlignment="1">
      <alignment horizontal="center" vertical="center"/>
    </xf>
    <xf numFmtId="164" fontId="25" fillId="0" borderId="0" xfId="2" applyNumberFormat="1" applyFont="1" applyBorder="1" applyAlignment="1">
      <alignment horizontal="center" vertical="center"/>
    </xf>
    <xf numFmtId="164" fontId="11" fillId="0" borderId="0" xfId="2" applyNumberFormat="1" applyFont="1" applyBorder="1" applyAlignment="1">
      <alignment horizontal="center" vertical="center"/>
    </xf>
    <xf numFmtId="164" fontId="100" fillId="0" borderId="0" xfId="2" applyNumberFormat="1" applyFont="1" applyBorder="1" applyAlignment="1">
      <alignment horizontal="center" vertical="center"/>
    </xf>
    <xf numFmtId="0" fontId="11" fillId="0" borderId="0" xfId="2" applyFont="1" applyAlignment="1">
      <alignment vertical="center"/>
    </xf>
    <xf numFmtId="0" fontId="2" fillId="0" borderId="0" xfId="2" applyAlignment="1"/>
    <xf numFmtId="0" fontId="3" fillId="8" borderId="46" xfId="2" applyFont="1" applyFill="1" applyBorder="1" applyAlignment="1">
      <alignment vertical="center"/>
    </xf>
    <xf numFmtId="164" fontId="33" fillId="3" borderId="61" xfId="2" applyNumberFormat="1" applyFont="1" applyFill="1" applyBorder="1" applyAlignment="1">
      <alignment horizontal="center" vertical="center"/>
    </xf>
    <xf numFmtId="164" fontId="2" fillId="3" borderId="31" xfId="2" applyNumberFormat="1" applyFont="1" applyFill="1" applyBorder="1" applyAlignment="1">
      <alignment horizontal="center" vertical="center"/>
    </xf>
    <xf numFmtId="164" fontId="2" fillId="0" borderId="29" xfId="2" applyNumberFormat="1" applyFill="1" applyBorder="1" applyAlignment="1">
      <alignment horizontal="center" vertical="center"/>
    </xf>
    <xf numFmtId="164" fontId="105" fillId="3" borderId="29" xfId="2" applyNumberFormat="1" applyFont="1" applyFill="1" applyBorder="1" applyAlignment="1">
      <alignment horizontal="center" vertical="center"/>
    </xf>
    <xf numFmtId="164" fontId="2" fillId="0" borderId="29" xfId="2" applyNumberFormat="1" applyBorder="1" applyAlignment="1">
      <alignment horizontal="center" vertical="center"/>
    </xf>
    <xf numFmtId="164" fontId="5" fillId="0" borderId="29" xfId="2" applyNumberFormat="1" applyFont="1" applyBorder="1" applyAlignment="1">
      <alignment horizontal="center" vertical="center"/>
    </xf>
    <xf numFmtId="164" fontId="35" fillId="0" borderId="29" xfId="2" applyNumberFormat="1" applyFont="1" applyBorder="1" applyAlignment="1">
      <alignment horizontal="center" vertical="center"/>
    </xf>
    <xf numFmtId="164" fontId="2" fillId="0" borderId="29" xfId="2" applyNumberFormat="1" applyFont="1" applyBorder="1" applyAlignment="1">
      <alignment horizontal="center" vertical="center"/>
    </xf>
    <xf numFmtId="164" fontId="6" fillId="0" borderId="29" xfId="2" applyNumberFormat="1" applyFont="1" applyBorder="1" applyAlignment="1">
      <alignment horizontal="center" vertical="center"/>
    </xf>
    <xf numFmtId="164" fontId="7" fillId="0" borderId="63" xfId="2" applyNumberFormat="1" applyFont="1" applyBorder="1" applyAlignment="1">
      <alignment horizontal="center" vertical="center"/>
    </xf>
    <xf numFmtId="172" fontId="15" fillId="0" borderId="83" xfId="3" applyNumberFormat="1" applyFont="1" applyBorder="1" applyAlignment="1">
      <alignment vertical="center"/>
    </xf>
    <xf numFmtId="164" fontId="2" fillId="3" borderId="0" xfId="2" applyNumberFormat="1" applyFont="1" applyFill="1" applyBorder="1" applyAlignment="1">
      <alignment horizontal="center" vertical="center"/>
    </xf>
    <xf numFmtId="164" fontId="5" fillId="3" borderId="0" xfId="2" applyNumberFormat="1" applyFont="1" applyFill="1" applyBorder="1" applyAlignment="1">
      <alignment horizontal="center" vertical="center"/>
    </xf>
    <xf numFmtId="164" fontId="6" fillId="3" borderId="0" xfId="2" applyNumberFormat="1" applyFont="1" applyFill="1" applyBorder="1" applyAlignment="1">
      <alignment horizontal="center" vertical="center"/>
    </xf>
    <xf numFmtId="164" fontId="7" fillId="3" borderId="0" xfId="2" applyNumberFormat="1" applyFont="1" applyFill="1" applyBorder="1" applyAlignment="1">
      <alignment horizontal="center" vertical="center"/>
    </xf>
    <xf numFmtId="164" fontId="33" fillId="3" borderId="0" xfId="2" applyNumberFormat="1" applyFont="1" applyFill="1" applyBorder="1" applyAlignment="1">
      <alignment horizontal="center" vertical="center"/>
    </xf>
    <xf numFmtId="164" fontId="2" fillId="0" borderId="0" xfId="2" applyNumberFormat="1" applyFill="1" applyBorder="1" applyAlignment="1">
      <alignment horizontal="center" vertical="center"/>
    </xf>
    <xf numFmtId="164" fontId="2" fillId="0" borderId="0" xfId="2" applyNumberFormat="1" applyFont="1" applyFill="1" applyBorder="1" applyAlignment="1">
      <alignment horizontal="center" vertical="center"/>
    </xf>
    <xf numFmtId="164" fontId="105" fillId="3" borderId="0" xfId="2" applyNumberFormat="1" applyFont="1" applyFill="1" applyBorder="1" applyAlignment="1">
      <alignment horizontal="center" vertical="center"/>
    </xf>
    <xf numFmtId="164" fontId="35" fillId="0" borderId="0" xfId="2" applyNumberFormat="1" applyFont="1" applyBorder="1" applyAlignment="1">
      <alignment horizontal="center" vertical="center"/>
    </xf>
    <xf numFmtId="164" fontId="2" fillId="0" borderId="0" xfId="2" applyNumberFormat="1" applyFont="1" applyBorder="1" applyAlignment="1">
      <alignment horizontal="center" vertical="center"/>
    </xf>
    <xf numFmtId="172" fontId="37" fillId="0" borderId="0" xfId="3" applyNumberFormat="1" applyFont="1" applyBorder="1" applyAlignment="1">
      <alignment horizontal="center" vertical="center"/>
    </xf>
    <xf numFmtId="172" fontId="15" fillId="0" borderId="0" xfId="3" applyNumberFormat="1" applyFont="1" applyBorder="1" applyAlignment="1">
      <alignment vertical="center"/>
    </xf>
    <xf numFmtId="173" fontId="31" fillId="0" borderId="0" xfId="2" applyNumberFormat="1" applyFont="1" applyBorder="1" applyAlignment="1">
      <alignment horizontal="center" vertical="center"/>
    </xf>
    <xf numFmtId="172" fontId="38" fillId="0" borderId="0" xfId="3" applyNumberFormat="1" applyFont="1" applyBorder="1"/>
    <xf numFmtId="172" fontId="39" fillId="0" borderId="0" xfId="3" applyNumberFormat="1" applyFont="1" applyBorder="1" applyAlignment="1">
      <alignment vertical="center"/>
    </xf>
    <xf numFmtId="172" fontId="5" fillId="0" borderId="0" xfId="3" applyNumberFormat="1" applyFont="1" applyBorder="1" applyAlignment="1">
      <alignment vertical="center"/>
    </xf>
    <xf numFmtId="0" fontId="2" fillId="0" borderId="0" xfId="2" applyFont="1" applyFill="1" applyBorder="1" applyAlignment="1"/>
    <xf numFmtId="0" fontId="21" fillId="0" borderId="0" xfId="2" applyFont="1" applyFill="1" applyBorder="1" applyAlignment="1"/>
    <xf numFmtId="0" fontId="2" fillId="0" borderId="0" xfId="2" applyFill="1" applyBorder="1" applyAlignment="1"/>
    <xf numFmtId="164" fontId="7" fillId="0" borderId="29" xfId="2" applyNumberFormat="1" applyFont="1" applyBorder="1" applyAlignment="1">
      <alignment horizontal="center" vertical="center"/>
    </xf>
    <xf numFmtId="164" fontId="33" fillId="0" borderId="61" xfId="2" applyNumberFormat="1" applyFont="1" applyBorder="1" applyAlignment="1">
      <alignment horizontal="center" vertical="center"/>
    </xf>
    <xf numFmtId="164" fontId="2" fillId="0" borderId="59" xfId="2" applyNumberFormat="1" applyFont="1" applyBorder="1" applyAlignment="1">
      <alignment horizontal="center" vertical="center"/>
    </xf>
    <xf numFmtId="1" fontId="82" fillId="0" borderId="81" xfId="2" applyNumberFormat="1" applyFont="1" applyBorder="1" applyAlignment="1">
      <alignment horizontal="center" vertical="center"/>
    </xf>
    <xf numFmtId="1" fontId="83" fillId="0" borderId="82" xfId="2" applyNumberFormat="1" applyFont="1" applyBorder="1" applyAlignment="1">
      <alignment horizontal="center" vertical="center"/>
    </xf>
    <xf numFmtId="1" fontId="83" fillId="0" borderId="84" xfId="2" applyNumberFormat="1" applyFont="1" applyBorder="1" applyAlignment="1">
      <alignment horizontal="center" vertical="center"/>
    </xf>
    <xf numFmtId="1" fontId="39" fillId="0" borderId="82" xfId="2" applyNumberFormat="1" applyFont="1" applyBorder="1" applyAlignment="1">
      <alignment horizontal="center" vertical="center"/>
    </xf>
    <xf numFmtId="0" fontId="2" fillId="0" borderId="85" xfId="2" applyBorder="1" applyAlignment="1">
      <alignment vertical="center"/>
    </xf>
    <xf numFmtId="1" fontId="2" fillId="0" borderId="83" xfId="2" applyNumberFormat="1" applyBorder="1" applyAlignment="1">
      <alignment horizontal="center" vertical="center"/>
    </xf>
    <xf numFmtId="0" fontId="25" fillId="0" borderId="0" xfId="2" applyFont="1" applyBorder="1" applyAlignment="1">
      <alignment horizontal="center" textRotation="90"/>
    </xf>
    <xf numFmtId="0" fontId="107" fillId="0" borderId="0" xfId="2" applyFont="1" applyBorder="1" applyAlignment="1">
      <alignment horizontal="justify" textRotation="90"/>
    </xf>
    <xf numFmtId="0" fontId="100" fillId="0" borderId="0" xfId="2" applyFont="1" applyBorder="1" applyAlignment="1">
      <alignment horizontal="justify" textRotation="90"/>
    </xf>
    <xf numFmtId="0" fontId="24" fillId="0" borderId="0" xfId="2" applyFont="1" applyBorder="1" applyAlignment="1">
      <alignment horizontal="justify" textRotation="90"/>
    </xf>
    <xf numFmtId="164" fontId="16" fillId="9" borderId="11" xfId="2" applyNumberFormat="1" applyFont="1" applyFill="1" applyBorder="1" applyAlignment="1">
      <alignment horizontal="center" vertical="center"/>
    </xf>
    <xf numFmtId="164" fontId="98" fillId="9" borderId="8" xfId="2" applyNumberFormat="1" applyFont="1" applyFill="1" applyBorder="1" applyAlignment="1">
      <alignment horizontal="center" vertical="center"/>
    </xf>
    <xf numFmtId="0" fontId="2" fillId="9" borderId="8" xfId="2" applyFill="1" applyBorder="1"/>
    <xf numFmtId="0" fontId="21" fillId="9" borderId="8" xfId="2" applyFont="1" applyFill="1" applyBorder="1"/>
    <xf numFmtId="0" fontId="2" fillId="9" borderId="8" xfId="2" applyFont="1" applyFill="1" applyBorder="1"/>
    <xf numFmtId="0" fontId="2" fillId="9" borderId="9" xfId="2" applyFill="1" applyBorder="1"/>
    <xf numFmtId="164" fontId="16" fillId="9" borderId="16" xfId="2" applyNumberFormat="1" applyFont="1" applyFill="1" applyBorder="1" applyAlignment="1">
      <alignment horizontal="center" vertical="center"/>
    </xf>
    <xf numFmtId="164" fontId="112" fillId="10" borderId="75" xfId="2" applyNumberFormat="1" applyFont="1" applyFill="1" applyBorder="1" applyAlignment="1">
      <alignment horizontal="left" vertical="center"/>
    </xf>
    <xf numFmtId="164" fontId="27" fillId="10" borderId="89" xfId="2" applyNumberFormat="1" applyFont="1" applyFill="1" applyBorder="1" applyAlignment="1">
      <alignment horizontal="center"/>
    </xf>
    <xf numFmtId="0" fontId="27" fillId="10" borderId="89" xfId="2" applyFont="1" applyFill="1" applyBorder="1"/>
    <xf numFmtId="0" fontId="2" fillId="10" borderId="89" xfId="2" applyFill="1" applyBorder="1"/>
    <xf numFmtId="0" fontId="2" fillId="10" borderId="76" xfId="2" applyFill="1" applyBorder="1"/>
    <xf numFmtId="0" fontId="2" fillId="9" borderId="17" xfId="2" applyFill="1" applyBorder="1"/>
    <xf numFmtId="0" fontId="111" fillId="0" borderId="12" xfId="2" applyFont="1" applyBorder="1" applyAlignment="1">
      <alignment horizontal="justify"/>
    </xf>
    <xf numFmtId="164" fontId="7" fillId="0" borderId="0" xfId="2" applyNumberFormat="1" applyFont="1" applyAlignment="1">
      <alignment horizontal="center" vertical="center"/>
    </xf>
    <xf numFmtId="164" fontId="2" fillId="9" borderId="27" xfId="2" applyNumberFormat="1" applyFill="1" applyBorder="1" applyAlignment="1">
      <alignment horizontal="center"/>
    </xf>
    <xf numFmtId="0" fontId="2" fillId="9" borderId="32" xfId="2" applyFill="1" applyBorder="1"/>
    <xf numFmtId="164" fontId="115" fillId="9" borderId="32" xfId="2" applyNumberFormat="1" applyFont="1" applyFill="1" applyBorder="1" applyAlignment="1">
      <alignment horizontal="center"/>
    </xf>
    <xf numFmtId="164" fontId="2" fillId="9" borderId="32" xfId="2" applyNumberFormat="1" applyFill="1" applyBorder="1" applyAlignment="1">
      <alignment horizontal="center"/>
    </xf>
    <xf numFmtId="0" fontId="2" fillId="9" borderId="35" xfId="2" applyFill="1" applyBorder="1"/>
    <xf numFmtId="0" fontId="116" fillId="0" borderId="12" xfId="2" applyFont="1" applyBorder="1" applyAlignment="1">
      <alignment horizontal="justify"/>
    </xf>
    <xf numFmtId="164" fontId="2" fillId="0" borderId="0" xfId="2" applyNumberFormat="1" applyBorder="1" applyAlignment="1">
      <alignment horizontal="center"/>
    </xf>
    <xf numFmtId="0" fontId="15" fillId="0" borderId="0" xfId="2" applyFont="1"/>
    <xf numFmtId="164" fontId="9" fillId="0" borderId="0" xfId="2" applyNumberFormat="1" applyFont="1" applyAlignment="1">
      <alignment horizontal="center"/>
    </xf>
    <xf numFmtId="164" fontId="64" fillId="0" borderId="0" xfId="2" applyNumberFormat="1" applyFont="1" applyAlignment="1">
      <alignment horizontal="center"/>
    </xf>
    <xf numFmtId="39" fontId="11" fillId="0" borderId="87" xfId="2" applyNumberFormat="1" applyFont="1" applyBorder="1" applyAlignment="1">
      <alignment horizontal="right"/>
    </xf>
    <xf numFmtId="164" fontId="114" fillId="0" borderId="88" xfId="2" applyNumberFormat="1" applyFont="1" applyBorder="1" applyAlignment="1">
      <alignment horizontal="center"/>
    </xf>
    <xf numFmtId="177" fontId="2" fillId="0" borderId="0" xfId="2" applyNumberFormat="1" applyAlignment="1">
      <alignment horizontal="center"/>
    </xf>
    <xf numFmtId="0" fontId="3" fillId="0" borderId="12" xfId="2" applyFont="1" applyBorder="1"/>
    <xf numFmtId="172" fontId="113" fillId="0" borderId="72" xfId="3" applyNumberFormat="1" applyFont="1" applyBorder="1" applyAlignment="1">
      <alignment horizontal="center"/>
    </xf>
    <xf numFmtId="164" fontId="96" fillId="0" borderId="12" xfId="2" applyNumberFormat="1" applyFont="1" applyBorder="1" applyAlignment="1">
      <alignment horizontal="center" vertical="center"/>
    </xf>
    <xf numFmtId="0" fontId="118" fillId="0" borderId="12" xfId="2" applyFont="1" applyBorder="1" applyAlignment="1">
      <alignment horizontal="center" vertical="center"/>
    </xf>
    <xf numFmtId="164" fontId="16" fillId="0" borderId="12" xfId="2" applyNumberFormat="1" applyFont="1" applyBorder="1" applyAlignment="1">
      <alignment horizontal="center" vertical="center"/>
    </xf>
    <xf numFmtId="164" fontId="98" fillId="0" borderId="12" xfId="2" applyNumberFormat="1" applyFont="1" applyBorder="1" applyAlignment="1">
      <alignment horizontal="center" vertical="center"/>
    </xf>
    <xf numFmtId="164" fontId="16" fillId="5" borderId="11" xfId="2" applyNumberFormat="1" applyFont="1" applyFill="1" applyBorder="1" applyAlignment="1">
      <alignment horizontal="center" vertical="center"/>
    </xf>
    <xf numFmtId="164" fontId="98" fillId="5" borderId="8" xfId="2" applyNumberFormat="1" applyFont="1" applyFill="1" applyBorder="1" applyAlignment="1">
      <alignment horizontal="center" vertical="center"/>
    </xf>
    <xf numFmtId="0" fontId="2" fillId="5" borderId="8" xfId="2" applyFill="1" applyBorder="1"/>
    <xf numFmtId="0" fontId="21" fillId="5" borderId="8" xfId="2" applyFont="1" applyFill="1" applyBorder="1"/>
    <xf numFmtId="0" fontId="2" fillId="5" borderId="8" xfId="2" applyFont="1" applyFill="1" applyBorder="1"/>
    <xf numFmtId="0" fontId="2" fillId="5" borderId="9" xfId="2" applyFill="1" applyBorder="1"/>
    <xf numFmtId="164" fontId="16" fillId="5" borderId="16" xfId="2" applyNumberFormat="1" applyFont="1" applyFill="1" applyBorder="1" applyAlignment="1">
      <alignment horizontal="center" vertical="center"/>
    </xf>
    <xf numFmtId="164" fontId="119" fillId="5" borderId="75" xfId="2" applyNumberFormat="1" applyFont="1" applyFill="1" applyBorder="1" applyAlignment="1">
      <alignment horizontal="left"/>
    </xf>
    <xf numFmtId="164" fontId="27" fillId="5" borderId="89" xfId="2" applyNumberFormat="1" applyFont="1" applyFill="1" applyBorder="1" applyAlignment="1">
      <alignment horizontal="center"/>
    </xf>
    <xf numFmtId="0" fontId="27" fillId="5" borderId="89" xfId="2" applyFont="1" applyFill="1" applyBorder="1"/>
    <xf numFmtId="0" fontId="2" fillId="5" borderId="89" xfId="2" applyFill="1" applyBorder="1"/>
    <xf numFmtId="0" fontId="2" fillId="5" borderId="76" xfId="2" applyFill="1" applyBorder="1"/>
    <xf numFmtId="0" fontId="2" fillId="5" borderId="17" xfId="2" applyFill="1" applyBorder="1"/>
    <xf numFmtId="0" fontId="3" fillId="0" borderId="12" xfId="2" applyFont="1" applyFill="1" applyBorder="1" applyAlignment="1">
      <alignment vertical="center"/>
    </xf>
    <xf numFmtId="164" fontId="2" fillId="5" borderId="27" xfId="2" applyNumberFormat="1" applyFill="1" applyBorder="1" applyAlignment="1">
      <alignment horizontal="center"/>
    </xf>
    <xf numFmtId="0" fontId="2" fillId="5" borderId="32" xfId="2" applyFill="1" applyBorder="1"/>
    <xf numFmtId="164" fontId="120" fillId="5" borderId="32" xfId="2" applyNumberFormat="1" applyFont="1" applyFill="1" applyBorder="1" applyAlignment="1">
      <alignment horizontal="center"/>
    </xf>
    <xf numFmtId="164" fontId="2" fillId="5" borderId="32" xfId="2" applyNumberFormat="1" applyFill="1" applyBorder="1" applyAlignment="1">
      <alignment horizontal="center"/>
    </xf>
    <xf numFmtId="0" fontId="2" fillId="5" borderId="35" xfId="2" applyFill="1" applyBorder="1"/>
    <xf numFmtId="0" fontId="3" fillId="0" borderId="12" xfId="2" applyFont="1" applyBorder="1" applyAlignment="1">
      <alignment vertical="center"/>
    </xf>
    <xf numFmtId="0" fontId="3" fillId="0" borderId="0" xfId="2" applyFont="1" applyFill="1" applyAlignment="1">
      <alignment horizontal="center"/>
    </xf>
    <xf numFmtId="164" fontId="2" fillId="0" borderId="0" xfId="2" applyNumberFormat="1" applyFill="1" applyAlignment="1">
      <alignment horizontal="center"/>
    </xf>
    <xf numFmtId="164" fontId="2" fillId="0" borderId="0" xfId="2" applyNumberFormat="1" applyFont="1" applyFill="1" applyBorder="1" applyAlignment="1">
      <alignment horizontal="center"/>
    </xf>
    <xf numFmtId="2" fontId="2" fillId="0" borderId="0" xfId="2" applyNumberFormat="1" applyFont="1" applyFill="1" applyBorder="1" applyAlignment="1">
      <alignment horizontal="center"/>
    </xf>
    <xf numFmtId="2" fontId="2" fillId="0" borderId="0" xfId="2" applyNumberFormat="1" applyFont="1" applyFill="1" applyBorder="1" applyAlignment="1">
      <alignment horizontal="left"/>
    </xf>
    <xf numFmtId="0" fontId="2" fillId="0" borderId="0" xfId="2" applyFill="1"/>
    <xf numFmtId="178" fontId="64" fillId="0" borderId="0" xfId="2" applyNumberFormat="1" applyFont="1" applyFill="1" applyBorder="1" applyAlignment="1">
      <alignment horizontal="center"/>
    </xf>
    <xf numFmtId="0" fontId="2" fillId="0" borderId="0" xfId="2" applyFont="1" applyFill="1" applyBorder="1" applyAlignment="1">
      <alignment horizontal="center"/>
    </xf>
    <xf numFmtId="178" fontId="31" fillId="0" borderId="0" xfId="2" applyNumberFormat="1" applyFont="1" applyAlignment="1">
      <alignment horizontal="center"/>
    </xf>
    <xf numFmtId="0" fontId="122" fillId="8" borderId="12" xfId="2" applyFont="1" applyFill="1" applyBorder="1"/>
    <xf numFmtId="2" fontId="2" fillId="0" borderId="0" xfId="2" applyNumberFormat="1" applyBorder="1" applyAlignment="1">
      <alignment horizontal="center"/>
    </xf>
    <xf numFmtId="0" fontId="127" fillId="0" borderId="12" xfId="2" applyFont="1" applyBorder="1" applyAlignment="1">
      <alignment vertical="center"/>
    </xf>
    <xf numFmtId="172" fontId="128" fillId="0" borderId="0" xfId="2" applyNumberFormat="1" applyFont="1" applyBorder="1" applyAlignment="1">
      <alignment horizontal="center"/>
    </xf>
    <xf numFmtId="172" fontId="129" fillId="10" borderId="92" xfId="3" applyNumberFormat="1" applyFont="1" applyFill="1" applyBorder="1" applyAlignment="1">
      <alignment horizontal="center"/>
    </xf>
    <xf numFmtId="164" fontId="130" fillId="0" borderId="0" xfId="2" applyNumberFormat="1" applyFont="1" applyAlignment="1"/>
    <xf numFmtId="172" fontId="2" fillId="0" borderId="12" xfId="3" applyNumberFormat="1" applyBorder="1"/>
    <xf numFmtId="164" fontId="2" fillId="0" borderId="47" xfId="2" applyNumberFormat="1" applyBorder="1" applyAlignment="1">
      <alignment horizontal="left"/>
    </xf>
    <xf numFmtId="164" fontId="2" fillId="0" borderId="25" xfId="2" applyNumberFormat="1" applyBorder="1" applyAlignment="1">
      <alignment horizontal="center"/>
    </xf>
    <xf numFmtId="2" fontId="64" fillId="0" borderId="0" xfId="2" applyNumberFormat="1" applyFont="1" applyFill="1" applyBorder="1" applyAlignment="1">
      <alignment horizontal="center"/>
    </xf>
    <xf numFmtId="180" fontId="2" fillId="0" borderId="0" xfId="4" applyNumberFormat="1" applyFont="1" applyFill="1" applyBorder="1" applyAlignment="1">
      <alignment horizontal="center"/>
    </xf>
    <xf numFmtId="180" fontId="2" fillId="0" borderId="0" xfId="4" applyNumberFormat="1" applyAlignment="1">
      <alignment horizontal="center"/>
    </xf>
    <xf numFmtId="180" fontId="2" fillId="0" borderId="0" xfId="4" applyNumberFormat="1" applyFont="1" applyFill="1" applyBorder="1" applyAlignment="1"/>
    <xf numFmtId="176" fontId="131" fillId="0" borderId="0" xfId="3" applyNumberFormat="1" applyFont="1"/>
    <xf numFmtId="164" fontId="131" fillId="0" borderId="0" xfId="2" applyNumberFormat="1" applyFont="1" applyAlignment="1">
      <alignment horizontal="left"/>
    </xf>
    <xf numFmtId="164" fontId="132" fillId="0" borderId="0" xfId="2" applyNumberFormat="1" applyFont="1" applyAlignment="1">
      <alignment horizontal="center"/>
    </xf>
    <xf numFmtId="2" fontId="134" fillId="0" borderId="0" xfId="2" applyNumberFormat="1" applyFont="1" applyFill="1" applyBorder="1" applyAlignment="1">
      <alignment horizontal="center"/>
    </xf>
    <xf numFmtId="0" fontId="134" fillId="0" borderId="0" xfId="2" applyFont="1" applyFill="1" applyBorder="1" applyAlignment="1"/>
    <xf numFmtId="164" fontId="2" fillId="0" borderId="72" xfId="2" applyNumberFormat="1" applyBorder="1" applyAlignment="1">
      <alignment horizontal="center"/>
    </xf>
    <xf numFmtId="164" fontId="5" fillId="0" borderId="72" xfId="2" applyNumberFormat="1" applyFont="1" applyBorder="1" applyAlignment="1">
      <alignment horizontal="center"/>
    </xf>
    <xf numFmtId="164" fontId="6" fillId="0" borderId="72" xfId="2" applyNumberFormat="1" applyFont="1" applyBorder="1" applyAlignment="1">
      <alignment horizontal="center"/>
    </xf>
    <xf numFmtId="164" fontId="7" fillId="0" borderId="72" xfId="2" applyNumberFormat="1" applyFont="1" applyBorder="1" applyAlignment="1">
      <alignment horizontal="center"/>
    </xf>
    <xf numFmtId="180" fontId="2" fillId="0" borderId="0" xfId="4" applyNumberFormat="1" applyAlignment="1"/>
    <xf numFmtId="181" fontId="14" fillId="0" borderId="0" xfId="5" applyNumberFormat="1" applyFont="1" applyFill="1" applyBorder="1" applyAlignment="1">
      <alignment horizontal="center"/>
    </xf>
    <xf numFmtId="172" fontId="2" fillId="0" borderId="5" xfId="3" applyNumberFormat="1" applyBorder="1"/>
    <xf numFmtId="164" fontId="2" fillId="0" borderId="5" xfId="2" applyNumberFormat="1" applyBorder="1" applyAlignment="1">
      <alignment horizontal="left"/>
    </xf>
    <xf numFmtId="164" fontId="2" fillId="0" borderId="5" xfId="2" applyNumberFormat="1" applyBorder="1" applyAlignment="1">
      <alignment horizontal="center"/>
    </xf>
    <xf numFmtId="164" fontId="5" fillId="0" borderId="5" xfId="2" applyNumberFormat="1" applyFont="1" applyBorder="1" applyAlignment="1">
      <alignment horizontal="center"/>
    </xf>
    <xf numFmtId="164" fontId="6" fillId="0" borderId="5" xfId="2" applyNumberFormat="1" applyFont="1" applyBorder="1" applyAlignment="1">
      <alignment horizontal="center"/>
    </xf>
    <xf numFmtId="164" fontId="7" fillId="0" borderId="5" xfId="2" applyNumberFormat="1" applyFont="1" applyBorder="1" applyAlignment="1">
      <alignment horizontal="center"/>
    </xf>
    <xf numFmtId="164" fontId="7" fillId="0" borderId="0" xfId="2" applyNumberFormat="1" applyFont="1" applyBorder="1" applyAlignment="1">
      <alignment horizontal="center"/>
    </xf>
    <xf numFmtId="164" fontId="7" fillId="0" borderId="25" xfId="2" applyNumberFormat="1" applyFont="1" applyBorder="1" applyAlignment="1">
      <alignment horizontal="center"/>
    </xf>
    <xf numFmtId="2" fontId="2" fillId="0" borderId="0" xfId="2" applyNumberFormat="1" applyAlignment="1">
      <alignment horizontal="center"/>
    </xf>
    <xf numFmtId="172" fontId="2" fillId="0" borderId="0" xfId="3" applyNumberFormat="1" applyBorder="1"/>
    <xf numFmtId="164" fontId="2" fillId="0" borderId="0" xfId="2" applyNumberFormat="1" applyBorder="1" applyAlignment="1">
      <alignment horizontal="left"/>
    </xf>
    <xf numFmtId="164" fontId="5" fillId="0" borderId="0" xfId="2" applyNumberFormat="1" applyFont="1" applyBorder="1" applyAlignment="1">
      <alignment horizontal="center"/>
    </xf>
    <xf numFmtId="164" fontId="6" fillId="0" borderId="0" xfId="2" applyNumberFormat="1" applyFont="1" applyBorder="1" applyAlignment="1">
      <alignment horizontal="center"/>
    </xf>
    <xf numFmtId="180" fontId="2" fillId="0" borderId="0" xfId="2" applyNumberFormat="1" applyAlignment="1">
      <alignment horizontal="center"/>
    </xf>
    <xf numFmtId="0" fontId="2" fillId="0" borderId="0" xfId="2" applyAlignment="1">
      <alignment horizontal="center"/>
    </xf>
    <xf numFmtId="176" fontId="130" fillId="0" borderId="0" xfId="3" applyNumberFormat="1" applyFont="1"/>
    <xf numFmtId="164" fontId="130" fillId="0" borderId="0" xfId="2" applyNumberFormat="1" applyFont="1" applyAlignment="1">
      <alignment horizontal="left"/>
    </xf>
    <xf numFmtId="164" fontId="135" fillId="0" borderId="0" xfId="2" applyNumberFormat="1" applyFont="1" applyAlignment="1">
      <alignment horizontal="center"/>
    </xf>
    <xf numFmtId="164" fontId="136" fillId="0" borderId="0" xfId="2" applyNumberFormat="1" applyFont="1" applyAlignment="1">
      <alignment horizontal="center"/>
    </xf>
    <xf numFmtId="164" fontId="132" fillId="0" borderId="0" xfId="2" applyNumberFormat="1" applyFont="1" applyBorder="1" applyAlignment="1">
      <alignment horizontal="center"/>
    </xf>
    <xf numFmtId="164" fontId="135" fillId="0" borderId="0" xfId="2" applyNumberFormat="1" applyFont="1" applyBorder="1" applyAlignment="1">
      <alignment horizontal="center"/>
    </xf>
    <xf numFmtId="164" fontId="137" fillId="5" borderId="47" xfId="2" applyNumberFormat="1" applyFont="1" applyFill="1" applyBorder="1" applyAlignment="1">
      <alignment vertical="center"/>
    </xf>
    <xf numFmtId="164" fontId="138" fillId="5" borderId="72" xfId="2" applyNumberFormat="1" applyFont="1" applyFill="1" applyBorder="1" applyAlignment="1">
      <alignment horizontal="center"/>
    </xf>
    <xf numFmtId="164" fontId="138" fillId="5" borderId="25" xfId="2" applyNumberFormat="1" applyFont="1" applyFill="1" applyBorder="1" applyAlignment="1">
      <alignment horizontal="center"/>
    </xf>
    <xf numFmtId="176" fontId="2" fillId="0" borderId="0" xfId="3" applyNumberFormat="1"/>
    <xf numFmtId="176" fontId="2" fillId="0" borderId="12" xfId="3" applyNumberFormat="1" applyBorder="1"/>
    <xf numFmtId="2" fontId="2" fillId="0" borderId="0" xfId="2" applyNumberFormat="1" applyFont="1" applyFill="1" applyBorder="1" applyAlignment="1">
      <alignment horizontal="center"/>
    </xf>
    <xf numFmtId="184" fontId="130" fillId="0" borderId="0" xfId="3" applyNumberFormat="1" applyFont="1"/>
    <xf numFmtId="184" fontId="131" fillId="0" borderId="0" xfId="3" applyNumberFormat="1" applyFont="1"/>
    <xf numFmtId="0" fontId="2" fillId="0" borderId="1" xfId="2" applyFont="1" applyFill="1" applyBorder="1" applyAlignment="1"/>
    <xf numFmtId="2" fontId="139" fillId="0" borderId="2" xfId="2" applyNumberFormat="1" applyFont="1" applyFill="1" applyBorder="1" applyAlignment="1">
      <alignment horizontal="center"/>
    </xf>
    <xf numFmtId="0" fontId="139" fillId="0" borderId="2" xfId="2" applyFont="1" applyFill="1" applyBorder="1" applyAlignment="1"/>
    <xf numFmtId="0" fontId="139" fillId="0" borderId="3" xfId="2" applyFont="1" applyFill="1" applyBorder="1" applyAlignment="1"/>
    <xf numFmtId="0" fontId="2" fillId="0" borderId="23" xfId="2" applyFont="1" applyFill="1" applyBorder="1" applyAlignment="1"/>
    <xf numFmtId="2" fontId="141" fillId="0" borderId="0" xfId="2" applyNumberFormat="1" applyFont="1" applyFill="1" applyBorder="1" applyAlignment="1">
      <alignment horizontal="center"/>
    </xf>
    <xf numFmtId="0" fontId="139" fillId="0" borderId="0" xfId="2" applyFont="1" applyFill="1" applyBorder="1" applyAlignment="1"/>
    <xf numFmtId="180" fontId="139" fillId="0" borderId="22" xfId="4" applyNumberFormat="1" applyFont="1" applyFill="1" applyBorder="1" applyAlignment="1">
      <alignment horizontal="center"/>
    </xf>
    <xf numFmtId="2" fontId="139" fillId="0" borderId="0" xfId="2" applyNumberFormat="1" applyFont="1" applyFill="1" applyBorder="1" applyAlignment="1">
      <alignment horizontal="center"/>
    </xf>
    <xf numFmtId="180" fontId="139" fillId="0" borderId="22" xfId="4" applyNumberFormat="1" applyFont="1" applyFill="1" applyBorder="1" applyAlignment="1"/>
    <xf numFmtId="2" fontId="142" fillId="0" borderId="0" xfId="2" applyNumberFormat="1" applyFont="1" applyFill="1" applyBorder="1" applyAlignment="1">
      <alignment horizontal="center"/>
    </xf>
    <xf numFmtId="0" fontId="142" fillId="0" borderId="0" xfId="2" applyFont="1" applyFill="1" applyBorder="1" applyAlignment="1"/>
    <xf numFmtId="0" fontId="139" fillId="0" borderId="23" xfId="2" applyFont="1" applyFill="1" applyBorder="1" applyAlignment="1"/>
    <xf numFmtId="0" fontId="143" fillId="0" borderId="0" xfId="2" applyFont="1" applyFill="1" applyBorder="1" applyAlignment="1"/>
    <xf numFmtId="0" fontId="139" fillId="0" borderId="0" xfId="2" applyFont="1" applyBorder="1"/>
    <xf numFmtId="0" fontId="139" fillId="0" borderId="4" xfId="2" applyFont="1" applyFill="1" applyBorder="1" applyAlignment="1"/>
    <xf numFmtId="181" fontId="145" fillId="0" borderId="5" xfId="5" applyNumberFormat="1" applyFont="1" applyFill="1" applyBorder="1" applyAlignment="1">
      <alignment horizontal="center"/>
    </xf>
    <xf numFmtId="0" fontId="139" fillId="0" borderId="5" xfId="2" applyFont="1" applyBorder="1"/>
    <xf numFmtId="0" fontId="139" fillId="0" borderId="5" xfId="2" applyFont="1" applyFill="1" applyBorder="1" applyAlignment="1"/>
    <xf numFmtId="181" fontId="139" fillId="0" borderId="5" xfId="5" applyNumberFormat="1" applyFont="1" applyFill="1" applyBorder="1" applyAlignment="1">
      <alignment horizontal="center"/>
    </xf>
    <xf numFmtId="180" fontId="139" fillId="0" borderId="6" xfId="4" applyNumberFormat="1" applyFont="1" applyFill="1" applyBorder="1" applyAlignment="1">
      <alignment horizontal="center"/>
    </xf>
    <xf numFmtId="184" fontId="64" fillId="0" borderId="0" xfId="3" applyNumberFormat="1" applyFont="1"/>
    <xf numFmtId="164" fontId="64" fillId="0" borderId="0" xfId="2" applyNumberFormat="1" applyFont="1" applyAlignment="1">
      <alignment horizontal="left"/>
    </xf>
    <xf numFmtId="172" fontId="146" fillId="5" borderId="93" xfId="3" applyNumberFormat="1" applyFont="1" applyFill="1" applyBorder="1" applyAlignment="1">
      <alignment horizontal="center"/>
    </xf>
    <xf numFmtId="164" fontId="64" fillId="0" borderId="94" xfId="2" applyNumberFormat="1" applyFont="1" applyBorder="1" applyAlignment="1">
      <alignment horizontal="left"/>
    </xf>
    <xf numFmtId="164" fontId="2" fillId="0" borderId="94" xfId="2" applyNumberFormat="1" applyBorder="1" applyAlignment="1">
      <alignment horizontal="center"/>
    </xf>
    <xf numFmtId="164" fontId="147" fillId="0" borderId="94" xfId="2" applyNumberFormat="1" applyFont="1" applyBorder="1" applyAlignment="1"/>
    <xf numFmtId="164" fontId="6" fillId="0" borderId="94" xfId="2" applyNumberFormat="1" applyFont="1" applyBorder="1" applyAlignment="1">
      <alignment horizontal="center"/>
    </xf>
    <xf numFmtId="164" fontId="7" fillId="0" borderId="94" xfId="2" applyNumberFormat="1" applyFont="1" applyBorder="1" applyAlignment="1">
      <alignment horizontal="center"/>
    </xf>
    <xf numFmtId="0" fontId="2" fillId="0" borderId="94" xfId="2" applyBorder="1"/>
    <xf numFmtId="0" fontId="2" fillId="0" borderId="95" xfId="2" applyBorder="1"/>
    <xf numFmtId="172" fontId="2" fillId="0" borderId="96" xfId="3" applyNumberFormat="1" applyBorder="1"/>
    <xf numFmtId="164" fontId="130" fillId="0" borderId="0" xfId="2" applyNumberFormat="1" applyFont="1" applyBorder="1" applyAlignment="1"/>
    <xf numFmtId="0" fontId="2" fillId="0" borderId="97" xfId="2" applyBorder="1"/>
    <xf numFmtId="172" fontId="2" fillId="0" borderId="98" xfId="3" applyNumberFormat="1" applyBorder="1"/>
    <xf numFmtId="0" fontId="2" fillId="0" borderId="96" xfId="2" applyBorder="1"/>
    <xf numFmtId="176" fontId="131" fillId="0" borderId="96" xfId="3" applyNumberFormat="1" applyFont="1" applyBorder="1"/>
    <xf numFmtId="164" fontId="131" fillId="0" borderId="0" xfId="2" applyNumberFormat="1" applyFont="1" applyBorder="1" applyAlignment="1">
      <alignment horizontal="left"/>
    </xf>
    <xf numFmtId="172" fontId="2" fillId="0" borderId="99" xfId="3" applyNumberFormat="1" applyBorder="1"/>
    <xf numFmtId="184" fontId="64" fillId="0" borderId="96" xfId="3" applyNumberFormat="1" applyFont="1" applyBorder="1"/>
    <xf numFmtId="164" fontId="64" fillId="0" borderId="0" xfId="2" applyNumberFormat="1" applyFont="1" applyBorder="1" applyAlignment="1">
      <alignment horizontal="left"/>
    </xf>
    <xf numFmtId="172" fontId="2" fillId="0" borderId="100" xfId="3" applyNumberFormat="1" applyBorder="1"/>
    <xf numFmtId="164" fontId="2" fillId="0" borderId="101" xfId="2" applyNumberFormat="1" applyBorder="1" applyAlignment="1">
      <alignment horizontal="left"/>
    </xf>
    <xf numFmtId="164" fontId="2" fillId="0" borderId="101" xfId="2" applyNumberFormat="1" applyBorder="1" applyAlignment="1">
      <alignment horizontal="center"/>
    </xf>
    <xf numFmtId="164" fontId="5" fillId="0" borderId="101" xfId="2" applyNumberFormat="1" applyFont="1" applyBorder="1" applyAlignment="1">
      <alignment horizontal="center"/>
    </xf>
    <xf numFmtId="164" fontId="6" fillId="0" borderId="101" xfId="2" applyNumberFormat="1" applyFont="1" applyBorder="1" applyAlignment="1">
      <alignment horizontal="center"/>
    </xf>
    <xf numFmtId="164" fontId="7" fillId="0" borderId="101" xfId="2" applyNumberFormat="1" applyFont="1" applyBorder="1" applyAlignment="1">
      <alignment horizontal="center"/>
    </xf>
    <xf numFmtId="0" fontId="2" fillId="0" borderId="101" xfId="2" applyBorder="1"/>
    <xf numFmtId="0" fontId="2" fillId="0" borderId="103" xfId="2" applyBorder="1"/>
    <xf numFmtId="164" fontId="2" fillId="0" borderId="0" xfId="2" applyNumberFormat="1" applyFont="1" applyFill="1" applyBorder="1" applyAlignment="1">
      <alignment horizontal="left"/>
    </xf>
    <xf numFmtId="0" fontId="87" fillId="0" borderId="0" xfId="2" applyFont="1" applyFill="1" applyBorder="1" applyAlignment="1"/>
    <xf numFmtId="0" fontId="64" fillId="0" borderId="0" xfId="2" applyFont="1" applyFill="1" applyBorder="1" applyAlignment="1">
      <alignment horizontal="center"/>
    </xf>
    <xf numFmtId="164" fontId="2" fillId="0" borderId="0" xfId="2" applyNumberFormat="1" applyFont="1" applyFill="1" applyBorder="1" applyAlignment="1">
      <alignment horizontal="center"/>
    </xf>
    <xf numFmtId="185" fontId="64" fillId="0" borderId="0" xfId="2" applyNumberFormat="1" applyFont="1" applyFill="1" applyBorder="1" applyAlignment="1">
      <alignment horizontal="center"/>
    </xf>
    <xf numFmtId="185" fontId="2" fillId="0" borderId="0" xfId="2" applyNumberFormat="1" applyFont="1" applyFill="1" applyBorder="1" applyAlignment="1">
      <alignment horizontal="center"/>
    </xf>
    <xf numFmtId="0" fontId="3" fillId="8" borderId="12" xfId="2" applyFont="1" applyFill="1" applyBorder="1" applyAlignment="1">
      <alignment vertical="center"/>
    </xf>
    <xf numFmtId="164" fontId="2" fillId="0" borderId="11" xfId="2" applyNumberFormat="1" applyBorder="1" applyAlignment="1">
      <alignment horizontal="center"/>
    </xf>
    <xf numFmtId="164" fontId="2" fillId="0" borderId="8" xfId="2" applyNumberFormat="1" applyBorder="1" applyAlignment="1">
      <alignment horizontal="center"/>
    </xf>
    <xf numFmtId="164" fontId="5" fillId="0" borderId="8" xfId="2" applyNumberFormat="1" applyFont="1" applyBorder="1" applyAlignment="1">
      <alignment horizontal="center"/>
    </xf>
    <xf numFmtId="164" fontId="6" fillId="0" borderId="8" xfId="2" applyNumberFormat="1" applyFont="1" applyBorder="1" applyAlignment="1">
      <alignment horizontal="center"/>
    </xf>
    <xf numFmtId="164" fontId="7" fillId="0" borderId="8" xfId="2" applyNumberFormat="1" applyFont="1" applyBorder="1" applyAlignment="1">
      <alignment horizontal="center"/>
    </xf>
    <xf numFmtId="0" fontId="2" fillId="0" borderId="8" xfId="2" applyBorder="1"/>
    <xf numFmtId="2" fontId="2" fillId="0" borderId="8" xfId="2" applyNumberFormat="1" applyBorder="1" applyAlignment="1">
      <alignment horizontal="center"/>
    </xf>
    <xf numFmtId="0" fontId="2" fillId="0" borderId="9" xfId="2" applyBorder="1"/>
    <xf numFmtId="164" fontId="2" fillId="0" borderId="16" xfId="2" applyNumberFormat="1" applyBorder="1" applyAlignment="1">
      <alignment horizontal="center"/>
    </xf>
    <xf numFmtId="164" fontId="154" fillId="0" borderId="0" xfId="2" applyNumberFormat="1" applyFont="1" applyBorder="1" applyAlignment="1">
      <alignment horizontal="left"/>
    </xf>
    <xf numFmtId="0" fontId="2" fillId="0" borderId="17" xfId="2" applyBorder="1"/>
    <xf numFmtId="164" fontId="158" fillId="0" borderId="16" xfId="2" applyNumberFormat="1" applyFont="1" applyBorder="1" applyAlignment="1">
      <alignment horizontal="center"/>
    </xf>
    <xf numFmtId="0" fontId="155" fillId="0" borderId="0" xfId="2" applyFont="1" applyBorder="1"/>
    <xf numFmtId="164" fontId="14" fillId="0" borderId="0" xfId="2" applyNumberFormat="1" applyFont="1" applyBorder="1" applyAlignment="1"/>
    <xf numFmtId="164" fontId="2" fillId="0" borderId="0" xfId="2" applyNumberFormat="1" applyBorder="1" applyAlignment="1"/>
    <xf numFmtId="164" fontId="64" fillId="0" borderId="0" xfId="2" applyNumberFormat="1" applyFont="1" applyBorder="1" applyAlignment="1">
      <alignment horizontal="left" indent="2"/>
    </xf>
    <xf numFmtId="164" fontId="2" fillId="0" borderId="27" xfId="2" applyNumberFormat="1" applyBorder="1" applyAlignment="1">
      <alignment horizontal="center"/>
    </xf>
    <xf numFmtId="164" fontId="2" fillId="0" borderId="32" xfId="2" applyNumberFormat="1" applyBorder="1" applyAlignment="1">
      <alignment horizontal="center"/>
    </xf>
    <xf numFmtId="164" fontId="5" fillId="0" borderId="32" xfId="2" applyNumberFormat="1" applyFont="1" applyBorder="1" applyAlignment="1">
      <alignment horizontal="center"/>
    </xf>
    <xf numFmtId="164" fontId="6" fillId="0" borderId="32" xfId="2" applyNumberFormat="1" applyFont="1" applyBorder="1" applyAlignment="1">
      <alignment horizontal="center"/>
    </xf>
    <xf numFmtId="164" fontId="7" fillId="0" borderId="32" xfId="2" applyNumberFormat="1" applyFont="1" applyBorder="1" applyAlignment="1">
      <alignment horizontal="center"/>
    </xf>
    <xf numFmtId="0" fontId="2" fillId="0" borderId="32" xfId="2" applyBorder="1"/>
    <xf numFmtId="172" fontId="128" fillId="0" borderId="32" xfId="2" applyNumberFormat="1" applyFont="1" applyBorder="1" applyAlignment="1">
      <alignment horizontal="center"/>
    </xf>
    <xf numFmtId="0" fontId="2" fillId="0" borderId="35" xfId="2" applyBorder="1"/>
    <xf numFmtId="172" fontId="165" fillId="5" borderId="92" xfId="3" applyNumberFormat="1" applyFont="1" applyFill="1" applyBorder="1" applyAlignment="1">
      <alignment horizontal="center"/>
    </xf>
    <xf numFmtId="164" fontId="166" fillId="0" borderId="8" xfId="2" applyNumberFormat="1" applyFont="1" applyBorder="1" applyAlignment="1">
      <alignment horizontal="left"/>
    </xf>
    <xf numFmtId="164" fontId="167" fillId="0" borderId="8" xfId="2" applyNumberFormat="1" applyFont="1" applyBorder="1" applyAlignment="1">
      <alignment horizontal="center"/>
    </xf>
    <xf numFmtId="164" fontId="167" fillId="0" borderId="8" xfId="2" applyNumberFormat="1" applyFont="1" applyBorder="1" applyAlignment="1"/>
    <xf numFmtId="164" fontId="168" fillId="0" borderId="8" xfId="2" applyNumberFormat="1" applyFont="1" applyBorder="1" applyAlignment="1">
      <alignment horizontal="center"/>
    </xf>
    <xf numFmtId="0" fontId="167" fillId="0" borderId="8" xfId="2" applyFont="1" applyBorder="1"/>
    <xf numFmtId="0" fontId="167" fillId="0" borderId="9" xfId="2" applyFont="1" applyBorder="1"/>
    <xf numFmtId="172" fontId="167" fillId="0" borderId="16" xfId="3" applyNumberFormat="1" applyFont="1" applyBorder="1"/>
    <xf numFmtId="164" fontId="167" fillId="0" borderId="0" xfId="2" applyNumberFormat="1" applyFont="1" applyBorder="1" applyAlignment="1">
      <alignment horizontal="left"/>
    </xf>
    <xf numFmtId="164" fontId="169" fillId="0" borderId="0" xfId="2" applyNumberFormat="1" applyFont="1" applyBorder="1" applyAlignment="1"/>
    <xf numFmtId="164" fontId="167" fillId="0" borderId="0" xfId="2" applyNumberFormat="1" applyFont="1" applyBorder="1" applyAlignment="1">
      <alignment horizontal="center"/>
    </xf>
    <xf numFmtId="164" fontId="168" fillId="0" borderId="0" xfId="2" applyNumberFormat="1" applyFont="1" applyBorder="1" applyAlignment="1">
      <alignment horizontal="center"/>
    </xf>
    <xf numFmtId="0" fontId="167" fillId="0" borderId="0" xfId="2" applyFont="1" applyBorder="1"/>
    <xf numFmtId="0" fontId="167" fillId="0" borderId="17" xfId="2" applyFont="1" applyBorder="1"/>
    <xf numFmtId="172" fontId="167" fillId="0" borderId="38" xfId="3" applyNumberFormat="1" applyFont="1" applyBorder="1"/>
    <xf numFmtId="164" fontId="167" fillId="0" borderId="47" xfId="2" applyNumberFormat="1" applyFont="1" applyBorder="1" applyAlignment="1">
      <alignment horizontal="left"/>
    </xf>
    <xf numFmtId="164" fontId="167" fillId="0" borderId="25" xfId="2" applyNumberFormat="1" applyFont="1" applyBorder="1" applyAlignment="1">
      <alignment horizontal="center"/>
    </xf>
    <xf numFmtId="0" fontId="167" fillId="0" borderId="16" xfId="2" applyFont="1" applyBorder="1"/>
    <xf numFmtId="184" fontId="169" fillId="0" borderId="16" xfId="3" applyNumberFormat="1" applyFont="1" applyBorder="1"/>
    <xf numFmtId="164" fontId="169" fillId="0" borderId="0" xfId="2" applyNumberFormat="1" applyFont="1" applyBorder="1" applyAlignment="1">
      <alignment horizontal="left"/>
    </xf>
    <xf numFmtId="164" fontId="170" fillId="0" borderId="0" xfId="2" applyNumberFormat="1" applyFont="1" applyBorder="1" applyAlignment="1">
      <alignment horizontal="center"/>
    </xf>
    <xf numFmtId="164" fontId="167" fillId="0" borderId="72" xfId="2" applyNumberFormat="1" applyFont="1" applyBorder="1" applyAlignment="1">
      <alignment horizontal="center"/>
    </xf>
    <xf numFmtId="164" fontId="168" fillId="0" borderId="72" xfId="2" applyNumberFormat="1" applyFont="1" applyBorder="1" applyAlignment="1">
      <alignment horizontal="center"/>
    </xf>
    <xf numFmtId="172" fontId="167" fillId="0" borderId="50" xfId="3" applyNumberFormat="1" applyFont="1" applyBorder="1"/>
    <xf numFmtId="164" fontId="167" fillId="0" borderId="5" xfId="2" applyNumberFormat="1" applyFont="1" applyBorder="1" applyAlignment="1">
      <alignment horizontal="left"/>
    </xf>
    <xf numFmtId="164" fontId="167" fillId="0" borderId="5" xfId="2" applyNumberFormat="1" applyFont="1" applyBorder="1" applyAlignment="1">
      <alignment horizontal="center"/>
    </xf>
    <xf numFmtId="164" fontId="168" fillId="0" borderId="5" xfId="2" applyNumberFormat="1" applyFont="1" applyBorder="1" applyAlignment="1">
      <alignment horizontal="center"/>
    </xf>
    <xf numFmtId="164" fontId="168" fillId="0" borderId="25" xfId="2" applyNumberFormat="1" applyFont="1" applyBorder="1" applyAlignment="1">
      <alignment horizontal="center"/>
    </xf>
    <xf numFmtId="184" fontId="166" fillId="0" borderId="16" xfId="3" applyNumberFormat="1" applyFont="1" applyBorder="1"/>
    <xf numFmtId="164" fontId="166" fillId="0" borderId="0" xfId="2" applyNumberFormat="1" applyFont="1" applyBorder="1" applyAlignment="1">
      <alignment horizontal="left"/>
    </xf>
    <xf numFmtId="172" fontId="167" fillId="0" borderId="27" xfId="3" applyNumberFormat="1" applyFont="1" applyBorder="1"/>
    <xf numFmtId="164" fontId="167" fillId="0" borderId="32" xfId="2" applyNumberFormat="1" applyFont="1" applyBorder="1" applyAlignment="1">
      <alignment horizontal="left"/>
    </xf>
    <xf numFmtId="164" fontId="167" fillId="0" borderId="32" xfId="2" applyNumberFormat="1" applyFont="1" applyBorder="1" applyAlignment="1">
      <alignment horizontal="center"/>
    </xf>
    <xf numFmtId="164" fontId="168" fillId="0" borderId="32" xfId="2" applyNumberFormat="1" applyFont="1" applyBorder="1" applyAlignment="1">
      <alignment horizontal="center"/>
    </xf>
    <xf numFmtId="0" fontId="167" fillId="0" borderId="32" xfId="2" applyFont="1" applyBorder="1"/>
    <xf numFmtId="0" fontId="167" fillId="0" borderId="35" xfId="2" applyFont="1" applyBorder="1"/>
    <xf numFmtId="164" fontId="2" fillId="2" borderId="20" xfId="2" applyNumberFormat="1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/>
    </xf>
    <xf numFmtId="164" fontId="2" fillId="0" borderId="0" xfId="2" applyNumberFormat="1" applyFont="1" applyFill="1" applyBorder="1" applyAlignment="1">
      <alignment horizontal="center"/>
    </xf>
    <xf numFmtId="2" fontId="2" fillId="0" borderId="0" xfId="2" applyNumberFormat="1" applyFont="1" applyFill="1" applyBorder="1" applyAlignment="1">
      <alignment horizontal="center"/>
    </xf>
    <xf numFmtId="164" fontId="56" fillId="0" borderId="54" xfId="2" applyNumberFormat="1" applyFont="1" applyFill="1" applyBorder="1" applyAlignment="1">
      <alignment horizontal="center" vertical="center"/>
    </xf>
    <xf numFmtId="164" fontId="56" fillId="0" borderId="25" xfId="2" applyNumberFormat="1" applyFont="1" applyFill="1" applyBorder="1" applyAlignment="1">
      <alignment horizontal="center" vertical="center"/>
    </xf>
    <xf numFmtId="164" fontId="2" fillId="0" borderId="25" xfId="2" applyNumberFormat="1" applyFont="1" applyBorder="1" applyAlignment="1">
      <alignment horizontal="center" vertical="center"/>
    </xf>
    <xf numFmtId="164" fontId="41" fillId="2" borderId="52" xfId="2" applyNumberFormat="1" applyFont="1" applyFill="1" applyBorder="1" applyAlignment="1">
      <alignment horizontal="center" vertical="center"/>
    </xf>
    <xf numFmtId="164" fontId="56" fillId="0" borderId="25" xfId="2" applyNumberFormat="1" applyFont="1" applyFill="1" applyBorder="1" applyAlignment="1">
      <alignment horizontal="center" vertical="center"/>
    </xf>
    <xf numFmtId="164" fontId="2" fillId="0" borderId="25" xfId="2" applyNumberFormat="1" applyFont="1" applyBorder="1" applyAlignment="1">
      <alignment horizontal="center" vertical="center"/>
    </xf>
    <xf numFmtId="164" fontId="56" fillId="0" borderId="54" xfId="2" applyNumberFormat="1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/>
    </xf>
    <xf numFmtId="2" fontId="2" fillId="0" borderId="0" xfId="2" applyNumberFormat="1" applyFont="1" applyFill="1" applyBorder="1" applyAlignment="1">
      <alignment horizontal="center"/>
    </xf>
    <xf numFmtId="164" fontId="2" fillId="0" borderId="0" xfId="2" applyNumberFormat="1" applyFont="1" applyFill="1" applyBorder="1" applyAlignment="1">
      <alignment horizontal="center"/>
    </xf>
    <xf numFmtId="0" fontId="175" fillId="0" borderId="46" xfId="2" applyFont="1" applyBorder="1" applyAlignment="1">
      <alignment horizontal="center"/>
    </xf>
    <xf numFmtId="0" fontId="175" fillId="0" borderId="46" xfId="2" applyFont="1" applyFill="1" applyBorder="1" applyAlignment="1">
      <alignment horizontal="center"/>
    </xf>
    <xf numFmtId="0" fontId="3" fillId="0" borderId="46" xfId="2" applyFont="1" applyFill="1" applyBorder="1" applyAlignment="1">
      <alignment vertical="center"/>
    </xf>
    <xf numFmtId="1" fontId="2" fillId="0" borderId="20" xfId="2" applyNumberFormat="1" applyFont="1" applyFill="1" applyBorder="1" applyAlignment="1">
      <alignment horizontal="center" vertical="center"/>
    </xf>
    <xf numFmtId="1" fontId="2" fillId="11" borderId="12" xfId="2" applyNumberForma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/>
    </xf>
    <xf numFmtId="164" fontId="2" fillId="0" borderId="0" xfId="2" applyNumberFormat="1" applyFont="1" applyFill="1" applyBorder="1" applyAlignment="1">
      <alignment horizontal="center"/>
    </xf>
    <xf numFmtId="2" fontId="2" fillId="0" borderId="0" xfId="2" applyNumberFormat="1" applyFont="1" applyFill="1" applyBorder="1" applyAlignment="1">
      <alignment horizontal="center"/>
    </xf>
    <xf numFmtId="0" fontId="3" fillId="7" borderId="26" xfId="2" applyFont="1" applyFill="1" applyBorder="1"/>
    <xf numFmtId="164" fontId="2" fillId="3" borderId="117" xfId="2" applyNumberFormat="1" applyFont="1" applyFill="1" applyBorder="1" applyAlignment="1">
      <alignment horizontal="center" vertical="center"/>
    </xf>
    <xf numFmtId="164" fontId="2" fillId="3" borderId="34" xfId="2" applyNumberFormat="1" applyFont="1" applyFill="1" applyBorder="1" applyAlignment="1">
      <alignment horizontal="center" vertical="center"/>
    </xf>
    <xf numFmtId="164" fontId="5" fillId="3" borderId="34" xfId="2" applyNumberFormat="1" applyFont="1" applyFill="1" applyBorder="1" applyAlignment="1">
      <alignment horizontal="center" vertical="center"/>
    </xf>
    <xf numFmtId="164" fontId="6" fillId="3" borderId="34" xfId="2" applyNumberFormat="1" applyFont="1" applyFill="1" applyBorder="1" applyAlignment="1">
      <alignment horizontal="center" vertical="center"/>
    </xf>
    <xf numFmtId="164" fontId="7" fillId="3" borderId="34" xfId="2" applyNumberFormat="1" applyFont="1" applyFill="1" applyBorder="1" applyAlignment="1">
      <alignment horizontal="center" vertical="center"/>
    </xf>
    <xf numFmtId="164" fontId="33" fillId="3" borderId="35" xfId="2" applyNumberFormat="1" applyFont="1" applyFill="1" applyBorder="1" applyAlignment="1">
      <alignment horizontal="center" vertical="center"/>
    </xf>
    <xf numFmtId="164" fontId="64" fillId="3" borderId="34" xfId="2" applyNumberFormat="1" applyFont="1" applyFill="1" applyBorder="1" applyAlignment="1">
      <alignment horizontal="center" vertical="center"/>
    </xf>
    <xf numFmtId="164" fontId="81" fillId="0" borderId="34" xfId="2" applyNumberFormat="1" applyFont="1" applyFill="1" applyBorder="1" applyAlignment="1">
      <alignment horizontal="center" vertical="center"/>
    </xf>
    <xf numFmtId="164" fontId="33" fillId="3" borderId="39" xfId="2" applyNumberFormat="1" applyFont="1" applyFill="1" applyBorder="1" applyAlignment="1">
      <alignment horizontal="center" vertical="center"/>
    </xf>
    <xf numFmtId="164" fontId="64" fillId="3" borderId="12" xfId="2" applyNumberFormat="1" applyFont="1" applyFill="1" applyBorder="1" applyAlignment="1">
      <alignment horizontal="center" vertical="center"/>
    </xf>
    <xf numFmtId="164" fontId="2" fillId="12" borderId="59" xfId="2" applyNumberFormat="1" applyFont="1" applyFill="1" applyBorder="1" applyAlignment="1">
      <alignment horizontal="center" vertical="center"/>
    </xf>
    <xf numFmtId="164" fontId="2" fillId="12" borderId="29" xfId="2" applyNumberFormat="1" applyFont="1" applyFill="1" applyBorder="1" applyAlignment="1">
      <alignment horizontal="center" vertical="center"/>
    </xf>
    <xf numFmtId="164" fontId="5" fillId="12" borderId="29" xfId="2" applyNumberFormat="1" applyFont="1" applyFill="1" applyBorder="1" applyAlignment="1">
      <alignment horizontal="center" vertical="center"/>
    </xf>
    <xf numFmtId="164" fontId="6" fillId="12" borderId="29" xfId="2" applyNumberFormat="1" applyFont="1" applyFill="1" applyBorder="1" applyAlignment="1">
      <alignment horizontal="center" vertical="center"/>
    </xf>
    <xf numFmtId="164" fontId="7" fillId="12" borderId="29" xfId="2" applyNumberFormat="1" applyFont="1" applyFill="1" applyBorder="1" applyAlignment="1">
      <alignment horizontal="center" vertical="center"/>
    </xf>
    <xf numFmtId="164" fontId="33" fillId="12" borderId="60" xfId="2" applyNumberFormat="1" applyFont="1" applyFill="1" applyBorder="1" applyAlignment="1">
      <alignment horizontal="center" vertical="center"/>
    </xf>
    <xf numFmtId="164" fontId="2" fillId="12" borderId="31" xfId="2" applyNumberFormat="1" applyFont="1" applyFill="1" applyBorder="1" applyAlignment="1">
      <alignment horizontal="center" vertical="center"/>
    </xf>
    <xf numFmtId="164" fontId="34" fillId="12" borderId="29" xfId="2" applyNumberFormat="1" applyFont="1" applyFill="1" applyBorder="1" applyAlignment="1">
      <alignment horizontal="center" vertical="center"/>
    </xf>
    <xf numFmtId="164" fontId="2" fillId="12" borderId="29" xfId="2" applyNumberFormat="1" applyFill="1" applyBorder="1" applyAlignment="1">
      <alignment horizontal="center" vertical="center"/>
    </xf>
    <xf numFmtId="164" fontId="35" fillId="12" borderId="29" xfId="2" applyNumberFormat="1" applyFont="1" applyFill="1" applyBorder="1" applyAlignment="1">
      <alignment horizontal="center" vertical="center"/>
    </xf>
    <xf numFmtId="171" fontId="36" fillId="12" borderId="29" xfId="2" applyNumberFormat="1" applyFont="1" applyFill="1" applyBorder="1" applyAlignment="1">
      <alignment horizontal="center" vertical="center"/>
    </xf>
    <xf numFmtId="164" fontId="7" fillId="12" borderId="61" xfId="2" applyNumberFormat="1" applyFont="1" applyFill="1" applyBorder="1" applyAlignment="1">
      <alignment horizontal="center" vertical="center"/>
    </xf>
    <xf numFmtId="164" fontId="2" fillId="12" borderId="117" xfId="2" applyNumberFormat="1" applyFont="1" applyFill="1" applyBorder="1" applyAlignment="1">
      <alignment horizontal="center" vertical="center"/>
    </xf>
    <xf numFmtId="164" fontId="2" fillId="12" borderId="34" xfId="2" applyNumberFormat="1" applyFont="1" applyFill="1" applyBorder="1" applyAlignment="1">
      <alignment horizontal="center" vertical="center"/>
    </xf>
    <xf numFmtId="164" fontId="5" fillId="12" borderId="34" xfId="2" applyNumberFormat="1" applyFont="1" applyFill="1" applyBorder="1" applyAlignment="1">
      <alignment horizontal="center" vertical="center"/>
    </xf>
    <xf numFmtId="164" fontId="6" fillId="12" borderId="34" xfId="2" applyNumberFormat="1" applyFont="1" applyFill="1" applyBorder="1" applyAlignment="1">
      <alignment horizontal="center" vertical="center"/>
    </xf>
    <xf numFmtId="164" fontId="7" fillId="12" borderId="34" xfId="2" applyNumberFormat="1" applyFont="1" applyFill="1" applyBorder="1" applyAlignment="1">
      <alignment horizontal="center" vertical="center"/>
    </xf>
    <xf numFmtId="164" fontId="33" fillId="12" borderId="35" xfId="2" applyNumberFormat="1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/>
    </xf>
    <xf numFmtId="164" fontId="2" fillId="0" borderId="0" xfId="2" applyNumberFormat="1" applyFont="1" applyFill="1" applyBorder="1" applyAlignment="1">
      <alignment horizontal="center"/>
    </xf>
    <xf numFmtId="2" fontId="2" fillId="0" borderId="0" xfId="2" applyNumberFormat="1" applyFont="1" applyFill="1" applyBorder="1" applyAlignment="1">
      <alignment horizontal="center"/>
    </xf>
    <xf numFmtId="164" fontId="56" fillId="0" borderId="54" xfId="2" applyNumberFormat="1" applyFont="1" applyFill="1" applyBorder="1" applyAlignment="1">
      <alignment horizontal="center" vertical="center"/>
    </xf>
    <xf numFmtId="164" fontId="56" fillId="0" borderId="25" xfId="2" applyNumberFormat="1" applyFont="1" applyFill="1" applyBorder="1" applyAlignment="1">
      <alignment horizontal="center" vertical="center"/>
    </xf>
    <xf numFmtId="164" fontId="2" fillId="0" borderId="25" xfId="2" applyNumberFormat="1" applyFont="1" applyBorder="1" applyAlignment="1">
      <alignment horizontal="center" vertical="center"/>
    </xf>
    <xf numFmtId="164" fontId="2" fillId="0" borderId="59" xfId="2" applyNumberFormat="1" applyFont="1" applyFill="1" applyBorder="1" applyAlignment="1">
      <alignment horizontal="center" vertical="center"/>
    </xf>
    <xf numFmtId="164" fontId="5" fillId="0" borderId="29" xfId="2" applyNumberFormat="1" applyFont="1" applyFill="1" applyBorder="1" applyAlignment="1">
      <alignment horizontal="center" vertical="center"/>
    </xf>
    <xf numFmtId="164" fontId="6" fillId="0" borderId="29" xfId="2" applyNumberFormat="1" applyFont="1" applyFill="1" applyBorder="1" applyAlignment="1">
      <alignment horizontal="center" vertical="center"/>
    </xf>
    <xf numFmtId="164" fontId="7" fillId="0" borderId="29" xfId="2" applyNumberFormat="1" applyFont="1" applyFill="1" applyBorder="1" applyAlignment="1">
      <alignment horizontal="center" vertical="center"/>
    </xf>
    <xf numFmtId="164" fontId="33" fillId="0" borderId="60" xfId="2" applyNumberFormat="1" applyFont="1" applyFill="1" applyBorder="1" applyAlignment="1">
      <alignment horizontal="center" vertical="center"/>
    </xf>
    <xf numFmtId="164" fontId="2" fillId="0" borderId="31" xfId="2" applyNumberFormat="1" applyFont="1" applyFill="1" applyBorder="1" applyAlignment="1">
      <alignment horizontal="center" vertical="center"/>
    </xf>
    <xf numFmtId="164" fontId="35" fillId="0" borderId="29" xfId="2" applyNumberFormat="1" applyFont="1" applyFill="1" applyBorder="1" applyAlignment="1">
      <alignment horizontal="center" vertical="center"/>
    </xf>
    <xf numFmtId="171" fontId="36" fillId="0" borderId="29" xfId="2" applyNumberFormat="1" applyFont="1" applyFill="1" applyBorder="1" applyAlignment="1">
      <alignment horizontal="center" vertical="center"/>
    </xf>
    <xf numFmtId="164" fontId="7" fillId="0" borderId="61" xfId="2" applyNumberFormat="1" applyFont="1" applyFill="1" applyBorder="1" applyAlignment="1">
      <alignment horizontal="center" vertical="center"/>
    </xf>
    <xf numFmtId="164" fontId="2" fillId="0" borderId="117" xfId="2" applyNumberFormat="1" applyFont="1" applyFill="1" applyBorder="1" applyAlignment="1">
      <alignment horizontal="center" vertical="center"/>
    </xf>
    <xf numFmtId="164" fontId="2" fillId="0" borderId="34" xfId="2" applyNumberFormat="1" applyFont="1" applyFill="1" applyBorder="1" applyAlignment="1">
      <alignment horizontal="center" vertical="center"/>
    </xf>
    <xf numFmtId="164" fontId="5" fillId="0" borderId="34" xfId="2" applyNumberFormat="1" applyFont="1" applyFill="1" applyBorder="1" applyAlignment="1">
      <alignment horizontal="center" vertical="center"/>
    </xf>
    <xf numFmtId="164" fontId="6" fillId="0" borderId="34" xfId="2" applyNumberFormat="1" applyFont="1" applyFill="1" applyBorder="1" applyAlignment="1">
      <alignment horizontal="center" vertical="center"/>
    </xf>
    <xf numFmtId="164" fontId="7" fillId="0" borderId="34" xfId="2" applyNumberFormat="1" applyFont="1" applyFill="1" applyBorder="1" applyAlignment="1">
      <alignment horizontal="center" vertical="center"/>
    </xf>
    <xf numFmtId="164" fontId="33" fillId="0" borderId="35" xfId="2" applyNumberFormat="1" applyFont="1" applyFill="1" applyBorder="1" applyAlignment="1">
      <alignment horizontal="center" vertical="center"/>
    </xf>
    <xf numFmtId="164" fontId="176" fillId="0" borderId="12" xfId="2" applyNumberFormat="1" applyFont="1" applyBorder="1" applyAlignment="1">
      <alignment horizontal="center" vertical="center"/>
    </xf>
    <xf numFmtId="164" fontId="56" fillId="0" borderId="25" xfId="2" applyNumberFormat="1" applyFont="1" applyFill="1" applyBorder="1" applyAlignment="1">
      <alignment horizontal="center" vertical="center"/>
    </xf>
    <xf numFmtId="164" fontId="2" fillId="0" borderId="25" xfId="2" applyNumberFormat="1" applyFont="1" applyBorder="1" applyAlignment="1">
      <alignment horizontal="center" vertical="center"/>
    </xf>
    <xf numFmtId="164" fontId="56" fillId="0" borderId="54" xfId="2" applyNumberFormat="1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/>
    </xf>
    <xf numFmtId="2" fontId="2" fillId="0" borderId="0" xfId="2" applyNumberFormat="1" applyFont="1" applyFill="1" applyBorder="1" applyAlignment="1">
      <alignment horizontal="center"/>
    </xf>
    <xf numFmtId="164" fontId="2" fillId="0" borderId="0" xfId="2" applyNumberFormat="1" applyFont="1" applyFill="1" applyBorder="1" applyAlignment="1">
      <alignment horizontal="center"/>
    </xf>
    <xf numFmtId="189" fontId="0" fillId="0" borderId="0" xfId="0" applyNumberFormat="1"/>
    <xf numFmtId="0" fontId="2" fillId="0" borderId="0" xfId="2" applyFont="1" applyFill="1" applyBorder="1" applyAlignment="1">
      <alignment horizontal="center"/>
    </xf>
    <xf numFmtId="164" fontId="2" fillId="0" borderId="0" xfId="2" applyNumberFormat="1" applyFont="1" applyFill="1" applyBorder="1" applyAlignment="1">
      <alignment horizontal="center"/>
    </xf>
    <xf numFmtId="2" fontId="2" fillId="0" borderId="0" xfId="2" applyNumberFormat="1" applyFont="1" applyFill="1" applyBorder="1" applyAlignment="1">
      <alignment horizontal="center"/>
    </xf>
    <xf numFmtId="164" fontId="56" fillId="0" borderId="54" xfId="2" applyNumberFormat="1" applyFont="1" applyFill="1" applyBorder="1" applyAlignment="1">
      <alignment horizontal="center" vertical="center"/>
    </xf>
    <xf numFmtId="164" fontId="56" fillId="0" borderId="25" xfId="2" applyNumberFormat="1" applyFont="1" applyFill="1" applyBorder="1" applyAlignment="1">
      <alignment horizontal="center" vertical="center"/>
    </xf>
    <xf numFmtId="164" fontId="2" fillId="0" borderId="25" xfId="2" applyNumberFormat="1" applyFont="1" applyBorder="1" applyAlignment="1">
      <alignment horizontal="center" vertical="center"/>
    </xf>
    <xf numFmtId="0" fontId="175" fillId="5" borderId="46" xfId="2" applyFont="1" applyFill="1" applyBorder="1" applyAlignment="1">
      <alignment horizontal="left" indent="1"/>
    </xf>
    <xf numFmtId="164" fontId="43" fillId="13" borderId="38" xfId="2" applyNumberFormat="1" applyFont="1" applyFill="1" applyBorder="1" applyAlignment="1">
      <alignment horizontal="center" vertical="center"/>
    </xf>
    <xf numFmtId="164" fontId="43" fillId="13" borderId="12" xfId="2" applyNumberFormat="1" applyFont="1" applyFill="1" applyBorder="1" applyAlignment="1">
      <alignment horizontal="center" vertical="center"/>
    </xf>
    <xf numFmtId="164" fontId="44" fillId="13" borderId="12" xfId="2" applyNumberFormat="1" applyFont="1" applyFill="1" applyBorder="1" applyAlignment="1">
      <alignment horizontal="center" vertical="center"/>
    </xf>
    <xf numFmtId="164" fontId="45" fillId="13" borderId="12" xfId="2" applyNumberFormat="1" applyFont="1" applyFill="1" applyBorder="1" applyAlignment="1">
      <alignment horizontal="center" vertical="center"/>
    </xf>
    <xf numFmtId="164" fontId="2" fillId="13" borderId="12" xfId="2" applyNumberFormat="1" applyFont="1" applyFill="1" applyBorder="1" applyAlignment="1">
      <alignment horizontal="center" vertical="center"/>
    </xf>
    <xf numFmtId="164" fontId="46" fillId="13" borderId="12" xfId="2" applyNumberFormat="1" applyFont="1" applyFill="1" applyBorder="1" applyAlignment="1">
      <alignment horizontal="center" vertical="center"/>
    </xf>
    <xf numFmtId="164" fontId="47" fillId="13" borderId="39" xfId="2" applyNumberFormat="1" applyFont="1" applyFill="1" applyBorder="1" applyAlignment="1">
      <alignment horizontal="center" vertical="center"/>
    </xf>
    <xf numFmtId="164" fontId="87" fillId="13" borderId="12" xfId="2" applyNumberFormat="1" applyFont="1" applyFill="1" applyBorder="1" applyAlignment="1">
      <alignment horizontal="center" vertical="center"/>
    </xf>
    <xf numFmtId="164" fontId="85" fillId="13" borderId="65" xfId="2" applyNumberFormat="1" applyFont="1" applyFill="1" applyBorder="1" applyAlignment="1">
      <alignment horizontal="center" vertical="center"/>
    </xf>
    <xf numFmtId="0" fontId="3" fillId="13" borderId="46" xfId="2" applyFont="1" applyFill="1" applyBorder="1" applyAlignment="1">
      <alignment vertical="center"/>
    </xf>
    <xf numFmtId="176" fontId="100" fillId="0" borderId="47" xfId="3" applyNumberFormat="1" applyFont="1" applyBorder="1" applyAlignment="1">
      <alignment horizontal="center"/>
    </xf>
    <xf numFmtId="176" fontId="100" fillId="0" borderId="25" xfId="3" applyNumberFormat="1" applyFont="1" applyBorder="1" applyAlignment="1">
      <alignment horizontal="center"/>
    </xf>
    <xf numFmtId="172" fontId="64" fillId="0" borderId="47" xfId="3" applyNumberFormat="1" applyFont="1" applyBorder="1" applyAlignment="1">
      <alignment horizontal="center"/>
    </xf>
    <xf numFmtId="172" fontId="64" fillId="0" borderId="72" xfId="3" applyNumberFormat="1" applyFont="1" applyBorder="1" applyAlignment="1">
      <alignment horizontal="center"/>
    </xf>
    <xf numFmtId="39" fontId="11" fillId="0" borderId="87" xfId="3" applyNumberFormat="1" applyFont="1" applyBorder="1" applyAlignment="1">
      <alignment horizontal="right"/>
    </xf>
    <xf numFmtId="0" fontId="2" fillId="0" borderId="0" xfId="2" applyFont="1" applyFill="1" applyBorder="1" applyAlignment="1">
      <alignment horizontal="center"/>
    </xf>
    <xf numFmtId="177" fontId="2" fillId="0" borderId="47" xfId="3" applyNumberFormat="1" applyFont="1" applyBorder="1" applyAlignment="1">
      <alignment horizontal="center"/>
    </xf>
    <xf numFmtId="177" fontId="2" fillId="0" borderId="25" xfId="3" applyNumberFormat="1" applyFont="1" applyBorder="1" applyAlignment="1">
      <alignment horizontal="center"/>
    </xf>
    <xf numFmtId="172" fontId="114" fillId="0" borderId="90" xfId="3" applyNumberFormat="1" applyFont="1" applyBorder="1" applyAlignment="1">
      <alignment horizontal="center"/>
    </xf>
    <xf numFmtId="172" fontId="114" fillId="0" borderId="91" xfId="3" applyNumberFormat="1" applyFont="1" applyBorder="1" applyAlignment="1">
      <alignment horizontal="center"/>
    </xf>
    <xf numFmtId="172" fontId="11" fillId="0" borderId="47" xfId="3" applyNumberFormat="1" applyFont="1" applyBorder="1" applyAlignment="1">
      <alignment horizontal="center"/>
    </xf>
    <xf numFmtId="172" fontId="11" fillId="0" borderId="25" xfId="3" applyNumberFormat="1" applyFont="1" applyBorder="1" applyAlignment="1">
      <alignment horizontal="center"/>
    </xf>
    <xf numFmtId="176" fontId="11" fillId="0" borderId="47" xfId="3" applyNumberFormat="1" applyFont="1" applyBorder="1" applyAlignment="1">
      <alignment horizontal="center"/>
    </xf>
    <xf numFmtId="176" fontId="11" fillId="0" borderId="25" xfId="3" applyNumberFormat="1" applyFont="1" applyBorder="1" applyAlignment="1">
      <alignment horizontal="center"/>
    </xf>
    <xf numFmtId="164" fontId="2" fillId="0" borderId="0" xfId="2" applyNumberFormat="1" applyFont="1" applyFill="1" applyBorder="1" applyAlignment="1">
      <alignment horizontal="center"/>
    </xf>
    <xf numFmtId="2" fontId="2" fillId="0" borderId="0" xfId="2" applyNumberFormat="1" applyFont="1" applyFill="1" applyBorder="1" applyAlignment="1">
      <alignment horizontal="center"/>
    </xf>
    <xf numFmtId="164" fontId="2" fillId="0" borderId="28" xfId="2" applyNumberFormat="1" applyFont="1" applyFill="1" applyBorder="1" applyAlignment="1">
      <alignment horizontal="center" vertical="center"/>
    </xf>
    <xf numFmtId="164" fontId="34" fillId="0" borderId="34" xfId="2" applyNumberFormat="1" applyFont="1" applyFill="1" applyBorder="1" applyAlignment="1">
      <alignment horizontal="center" vertical="center"/>
    </xf>
    <xf numFmtId="164" fontId="2" fillId="0" borderId="34" xfId="2" applyNumberFormat="1" applyFill="1" applyBorder="1" applyAlignment="1">
      <alignment horizontal="center" vertical="center"/>
    </xf>
    <xf numFmtId="164" fontId="35" fillId="0" borderId="34" xfId="2" applyNumberFormat="1" applyFont="1" applyFill="1" applyBorder="1" applyAlignment="1">
      <alignment horizontal="center" vertical="center"/>
    </xf>
    <xf numFmtId="171" fontId="36" fillId="0" borderId="34" xfId="2" applyNumberFormat="1" applyFont="1" applyFill="1" applyBorder="1" applyAlignment="1">
      <alignment horizontal="center" vertical="center"/>
    </xf>
    <xf numFmtId="164" fontId="7" fillId="0" borderId="30" xfId="2" applyNumberFormat="1" applyFont="1" applyFill="1" applyBorder="1" applyAlignment="1">
      <alignment horizontal="center" vertical="center"/>
    </xf>
    <xf numFmtId="172" fontId="15" fillId="0" borderId="26" xfId="3" applyNumberFormat="1" applyFont="1" applyBorder="1" applyAlignment="1">
      <alignment vertical="center"/>
    </xf>
    <xf numFmtId="164" fontId="56" fillId="0" borderId="25" xfId="2" applyNumberFormat="1" applyFont="1" applyFill="1" applyBorder="1" applyAlignment="1">
      <alignment horizontal="center" vertical="center"/>
    </xf>
    <xf numFmtId="164" fontId="2" fillId="0" borderId="25" xfId="2" applyNumberFormat="1" applyFont="1" applyBorder="1" applyAlignment="1">
      <alignment horizontal="center" vertical="center"/>
    </xf>
    <xf numFmtId="164" fontId="56" fillId="0" borderId="54" xfId="2" applyNumberFormat="1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/>
    </xf>
    <xf numFmtId="176" fontId="11" fillId="0" borderId="47" xfId="3" applyNumberFormat="1" applyFont="1" applyBorder="1" applyAlignment="1">
      <alignment horizontal="center"/>
    </xf>
    <xf numFmtId="176" fontId="11" fillId="0" borderId="25" xfId="3" applyNumberFormat="1" applyFont="1" applyBorder="1" applyAlignment="1">
      <alignment horizontal="center"/>
    </xf>
    <xf numFmtId="172" fontId="64" fillId="0" borderId="47" xfId="3" applyNumberFormat="1" applyFont="1" applyBorder="1" applyAlignment="1">
      <alignment horizontal="center"/>
    </xf>
    <xf numFmtId="172" fontId="64" fillId="0" borderId="72" xfId="3" applyNumberFormat="1" applyFont="1" applyBorder="1" applyAlignment="1">
      <alignment horizontal="center"/>
    </xf>
    <xf numFmtId="39" fontId="11" fillId="0" borderId="87" xfId="3" applyNumberFormat="1" applyFont="1" applyBorder="1" applyAlignment="1">
      <alignment horizontal="right"/>
    </xf>
    <xf numFmtId="176" fontId="100" fillId="0" borderId="47" xfId="3" applyNumberFormat="1" applyFont="1" applyBorder="1" applyAlignment="1">
      <alignment horizontal="center"/>
    </xf>
    <xf numFmtId="176" fontId="100" fillId="0" borderId="25" xfId="3" applyNumberFormat="1" applyFont="1" applyBorder="1" applyAlignment="1">
      <alignment horizontal="center"/>
    </xf>
    <xf numFmtId="172" fontId="11" fillId="0" borderId="47" xfId="3" applyNumberFormat="1" applyFont="1" applyBorder="1" applyAlignment="1">
      <alignment horizontal="center"/>
    </xf>
    <xf numFmtId="172" fontId="11" fillId="0" borderId="25" xfId="3" applyNumberFormat="1" applyFont="1" applyBorder="1" applyAlignment="1">
      <alignment horizontal="center"/>
    </xf>
    <xf numFmtId="172" fontId="114" fillId="0" borderId="90" xfId="3" applyNumberFormat="1" applyFont="1" applyBorder="1" applyAlignment="1">
      <alignment horizontal="center"/>
    </xf>
    <xf numFmtId="172" fontId="114" fillId="0" borderId="91" xfId="3" applyNumberFormat="1" applyFont="1" applyBorder="1" applyAlignment="1">
      <alignment horizontal="center"/>
    </xf>
    <xf numFmtId="177" fontId="2" fillId="0" borderId="47" xfId="3" applyNumberFormat="1" applyFont="1" applyBorder="1" applyAlignment="1">
      <alignment horizontal="center"/>
    </xf>
    <xf numFmtId="177" fontId="2" fillId="0" borderId="25" xfId="3" applyNumberFormat="1" applyFont="1" applyBorder="1" applyAlignment="1">
      <alignment horizontal="center"/>
    </xf>
    <xf numFmtId="2" fontId="2" fillId="0" borderId="0" xfId="2" applyNumberFormat="1" applyFont="1" applyFill="1" applyBorder="1" applyAlignment="1">
      <alignment horizontal="center"/>
    </xf>
    <xf numFmtId="164" fontId="2" fillId="0" borderId="0" xfId="2" applyNumberFormat="1" applyFont="1" applyFill="1" applyBorder="1" applyAlignment="1">
      <alignment horizontal="center"/>
    </xf>
    <xf numFmtId="164" fontId="177" fillId="2" borderId="12" xfId="2" applyNumberFormat="1" applyFont="1" applyFill="1" applyBorder="1" applyAlignment="1">
      <alignment horizontal="center" vertical="center"/>
    </xf>
    <xf numFmtId="164" fontId="177" fillId="2" borderId="47" xfId="2" applyNumberFormat="1" applyFont="1" applyFill="1" applyBorder="1" applyAlignment="1">
      <alignment horizontal="center" vertical="center"/>
    </xf>
    <xf numFmtId="164" fontId="56" fillId="2" borderId="12" xfId="2" applyNumberFormat="1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/>
    </xf>
    <xf numFmtId="177" fontId="2" fillId="0" borderId="47" xfId="3" applyNumberFormat="1" applyFont="1" applyBorder="1" applyAlignment="1">
      <alignment horizontal="center"/>
    </xf>
    <xf numFmtId="177" fontId="2" fillId="0" borderId="25" xfId="3" applyNumberFormat="1" applyFont="1" applyBorder="1" applyAlignment="1">
      <alignment horizontal="center"/>
    </xf>
    <xf numFmtId="172" fontId="114" fillId="0" borderId="90" xfId="3" applyNumberFormat="1" applyFont="1" applyBorder="1" applyAlignment="1">
      <alignment horizontal="center"/>
    </xf>
    <xf numFmtId="172" fontId="114" fillId="0" borderId="91" xfId="3" applyNumberFormat="1" applyFont="1" applyBorder="1" applyAlignment="1">
      <alignment horizontal="center"/>
    </xf>
    <xf numFmtId="172" fontId="11" fillId="0" borderId="47" xfId="3" applyNumberFormat="1" applyFont="1" applyBorder="1" applyAlignment="1">
      <alignment horizontal="center"/>
    </xf>
    <xf numFmtId="172" fontId="11" fillId="0" borderId="25" xfId="3" applyNumberFormat="1" applyFont="1" applyBorder="1" applyAlignment="1">
      <alignment horizontal="center"/>
    </xf>
    <xf numFmtId="176" fontId="11" fillId="0" borderId="47" xfId="3" applyNumberFormat="1" applyFont="1" applyBorder="1" applyAlignment="1">
      <alignment horizontal="center"/>
    </xf>
    <xf numFmtId="176" fontId="11" fillId="0" borderId="25" xfId="3" applyNumberFormat="1" applyFont="1" applyBorder="1" applyAlignment="1">
      <alignment horizontal="center"/>
    </xf>
    <xf numFmtId="176" fontId="100" fillId="0" borderId="47" xfId="3" applyNumberFormat="1" applyFont="1" applyBorder="1" applyAlignment="1">
      <alignment horizontal="center"/>
    </xf>
    <xf numFmtId="176" fontId="100" fillId="0" borderId="25" xfId="3" applyNumberFormat="1" applyFont="1" applyBorder="1" applyAlignment="1">
      <alignment horizontal="center"/>
    </xf>
    <xf numFmtId="172" fontId="64" fillId="0" borderId="47" xfId="3" applyNumberFormat="1" applyFont="1" applyBorder="1" applyAlignment="1">
      <alignment horizontal="center"/>
    </xf>
    <xf numFmtId="172" fontId="64" fillId="0" borderId="72" xfId="3" applyNumberFormat="1" applyFont="1" applyBorder="1" applyAlignment="1">
      <alignment horizontal="center"/>
    </xf>
    <xf numFmtId="39" fontId="11" fillId="0" borderId="87" xfId="3" applyNumberFormat="1" applyFont="1" applyBorder="1" applyAlignment="1">
      <alignment horizontal="right"/>
    </xf>
    <xf numFmtId="164" fontId="2" fillId="0" borderId="0" xfId="2" applyNumberFormat="1" applyFont="1" applyFill="1" applyBorder="1" applyAlignment="1">
      <alignment horizontal="center"/>
    </xf>
    <xf numFmtId="2" fontId="2" fillId="0" borderId="0" xfId="2" applyNumberFormat="1" applyFont="1" applyFill="1" applyBorder="1" applyAlignment="1">
      <alignment horizontal="center"/>
    </xf>
    <xf numFmtId="164" fontId="56" fillId="0" borderId="54" xfId="2" applyNumberFormat="1" applyFont="1" applyFill="1" applyBorder="1" applyAlignment="1">
      <alignment horizontal="center" vertical="center"/>
    </xf>
    <xf numFmtId="164" fontId="56" fillId="0" borderId="25" xfId="2" applyNumberFormat="1" applyFont="1" applyFill="1" applyBorder="1" applyAlignment="1">
      <alignment horizontal="center" vertical="center"/>
    </xf>
    <xf numFmtId="164" fontId="2" fillId="0" borderId="25" xfId="2" applyNumberFormat="1" applyFont="1" applyBorder="1" applyAlignment="1">
      <alignment horizontal="center" vertical="center"/>
    </xf>
    <xf numFmtId="164" fontId="178" fillId="6" borderId="65" xfId="2" applyNumberFormat="1" applyFont="1" applyFill="1" applyBorder="1" applyAlignment="1">
      <alignment horizontal="center" vertical="center"/>
    </xf>
    <xf numFmtId="171" fontId="36" fillId="14" borderId="12" xfId="2" applyNumberFormat="1" applyFont="1" applyFill="1" applyBorder="1" applyAlignment="1">
      <alignment horizontal="center" vertical="center"/>
    </xf>
    <xf numFmtId="164" fontId="2" fillId="5" borderId="12" xfId="2" applyNumberFormat="1" applyFill="1" applyBorder="1" applyAlignment="1">
      <alignment horizontal="center" vertical="center"/>
    </xf>
    <xf numFmtId="164" fontId="2" fillId="5" borderId="12" xfId="2" applyNumberFormat="1" applyFont="1" applyFill="1" applyBorder="1" applyAlignment="1">
      <alignment horizontal="center" vertical="center"/>
    </xf>
    <xf numFmtId="164" fontId="5" fillId="5" borderId="12" xfId="2" applyNumberFormat="1" applyFont="1" applyFill="1" applyBorder="1" applyAlignment="1">
      <alignment horizontal="center" vertical="center"/>
    </xf>
    <xf numFmtId="164" fontId="35" fillId="5" borderId="12" xfId="2" applyNumberFormat="1" applyFont="1" applyFill="1" applyBorder="1" applyAlignment="1">
      <alignment horizontal="center" vertical="center"/>
    </xf>
    <xf numFmtId="164" fontId="6" fillId="5" borderId="12" xfId="2" applyNumberFormat="1" applyFont="1" applyFill="1" applyBorder="1" applyAlignment="1">
      <alignment horizontal="center" vertical="center"/>
    </xf>
    <xf numFmtId="171" fontId="36" fillId="5" borderId="12" xfId="2" applyNumberFormat="1" applyFont="1" applyFill="1" applyBorder="1" applyAlignment="1">
      <alignment horizontal="center" vertical="center"/>
    </xf>
    <xf numFmtId="164" fontId="7" fillId="5" borderId="48" xfId="2" applyNumberFormat="1" applyFont="1" applyFill="1" applyBorder="1" applyAlignment="1">
      <alignment horizontal="center" vertical="center"/>
    </xf>
    <xf numFmtId="172" fontId="15" fillId="5" borderId="46" xfId="3" applyNumberFormat="1" applyFont="1" applyFill="1" applyBorder="1" applyAlignment="1">
      <alignment vertical="center"/>
    </xf>
    <xf numFmtId="164" fontId="56" fillId="0" borderId="25" xfId="2" applyNumberFormat="1" applyFont="1" applyFill="1" applyBorder="1" applyAlignment="1">
      <alignment horizontal="center" vertical="center"/>
    </xf>
    <xf numFmtId="164" fontId="2" fillId="0" borderId="25" xfId="2" applyNumberFormat="1" applyFont="1" applyBorder="1" applyAlignment="1">
      <alignment horizontal="center" vertical="center"/>
    </xf>
    <xf numFmtId="164" fontId="56" fillId="0" borderId="54" xfId="2" applyNumberFormat="1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/>
    </xf>
    <xf numFmtId="176" fontId="11" fillId="0" borderId="47" xfId="3" applyNumberFormat="1" applyFont="1" applyBorder="1" applyAlignment="1">
      <alignment horizontal="center"/>
    </xf>
    <xf numFmtId="176" fontId="11" fillId="0" borderId="25" xfId="3" applyNumberFormat="1" applyFont="1" applyBorder="1" applyAlignment="1">
      <alignment horizontal="center"/>
    </xf>
    <xf numFmtId="172" fontId="64" fillId="0" borderId="47" xfId="3" applyNumberFormat="1" applyFont="1" applyBorder="1" applyAlignment="1">
      <alignment horizontal="center"/>
    </xf>
    <xf numFmtId="172" fontId="64" fillId="0" borderId="72" xfId="3" applyNumberFormat="1" applyFont="1" applyBorder="1" applyAlignment="1">
      <alignment horizontal="center"/>
    </xf>
    <xf numFmtId="39" fontId="11" fillId="0" borderId="87" xfId="3" applyNumberFormat="1" applyFont="1" applyBorder="1" applyAlignment="1">
      <alignment horizontal="right"/>
    </xf>
    <xf numFmtId="176" fontId="100" fillId="0" borderId="47" xfId="3" applyNumberFormat="1" applyFont="1" applyBorder="1" applyAlignment="1">
      <alignment horizontal="center"/>
    </xf>
    <xf numFmtId="176" fontId="100" fillId="0" borderId="25" xfId="3" applyNumberFormat="1" applyFont="1" applyBorder="1" applyAlignment="1">
      <alignment horizontal="center"/>
    </xf>
    <xf numFmtId="172" fontId="11" fillId="0" borderId="47" xfId="3" applyNumberFormat="1" applyFont="1" applyBorder="1" applyAlignment="1">
      <alignment horizontal="center"/>
    </xf>
    <xf numFmtId="172" fontId="11" fillId="0" borderId="25" xfId="3" applyNumberFormat="1" applyFont="1" applyBorder="1" applyAlignment="1">
      <alignment horizontal="center"/>
    </xf>
    <xf numFmtId="177" fontId="2" fillId="0" borderId="47" xfId="3" applyNumberFormat="1" applyFont="1" applyBorder="1" applyAlignment="1">
      <alignment horizontal="center"/>
    </xf>
    <xf numFmtId="177" fontId="2" fillId="0" borderId="25" xfId="3" applyNumberFormat="1" applyFont="1" applyBorder="1" applyAlignment="1">
      <alignment horizontal="center"/>
    </xf>
    <xf numFmtId="172" fontId="114" fillId="0" borderId="90" xfId="3" applyNumberFormat="1" applyFont="1" applyBorder="1" applyAlignment="1">
      <alignment horizontal="center"/>
    </xf>
    <xf numFmtId="172" fontId="114" fillId="0" borderId="91" xfId="3" applyNumberFormat="1" applyFont="1" applyBorder="1" applyAlignment="1">
      <alignment horizontal="center"/>
    </xf>
    <xf numFmtId="2" fontId="2" fillId="0" borderId="0" xfId="2" applyNumberFormat="1" applyFont="1" applyFill="1" applyBorder="1" applyAlignment="1">
      <alignment horizontal="center"/>
    </xf>
    <xf numFmtId="164" fontId="2" fillId="0" borderId="0" xfId="2" applyNumberFormat="1" applyFont="1" applyFill="1" applyBorder="1" applyAlignment="1">
      <alignment horizontal="center"/>
    </xf>
    <xf numFmtId="165" fontId="9" fillId="2" borderId="1" xfId="2" applyNumberFormat="1" applyFont="1" applyFill="1" applyBorder="1" applyAlignment="1">
      <alignment horizontal="center" vertical="center"/>
    </xf>
    <xf numFmtId="165" fontId="9" fillId="2" borderId="2" xfId="2" applyNumberFormat="1" applyFont="1" applyFill="1" applyBorder="1" applyAlignment="1">
      <alignment horizontal="center" vertical="center"/>
    </xf>
    <xf numFmtId="165" fontId="9" fillId="2" borderId="3" xfId="2" applyNumberFormat="1" applyFont="1" applyFill="1" applyBorder="1" applyAlignment="1">
      <alignment horizontal="center" vertical="center"/>
    </xf>
    <xf numFmtId="165" fontId="9" fillId="2" borderId="4" xfId="2" applyNumberFormat="1" applyFont="1" applyFill="1" applyBorder="1" applyAlignment="1">
      <alignment horizontal="center" vertical="center"/>
    </xf>
    <xf numFmtId="165" fontId="9" fillId="2" borderId="5" xfId="2" applyNumberFormat="1" applyFont="1" applyFill="1" applyBorder="1" applyAlignment="1">
      <alignment horizontal="center" vertical="center"/>
    </xf>
    <xf numFmtId="165" fontId="9" fillId="2" borderId="6" xfId="2" applyNumberFormat="1" applyFont="1" applyFill="1" applyBorder="1" applyAlignment="1">
      <alignment horizontal="center" vertical="center"/>
    </xf>
    <xf numFmtId="166" fontId="10" fillId="0" borderId="0" xfId="2" applyNumberFormat="1" applyFont="1" applyAlignment="1">
      <alignment horizontal="center" vertical="center"/>
    </xf>
    <xf numFmtId="0" fontId="15" fillId="0" borderId="7" xfId="2" applyFont="1" applyBorder="1" applyAlignment="1">
      <alignment horizontal="center" vertical="center" textRotation="45" wrapText="1"/>
    </xf>
    <xf numFmtId="0" fontId="15" fillId="0" borderId="14" xfId="2" applyFont="1" applyBorder="1" applyAlignment="1">
      <alignment horizontal="center" vertical="center" textRotation="45" wrapText="1"/>
    </xf>
    <xf numFmtId="0" fontId="15" fillId="0" borderId="26" xfId="2" applyFont="1" applyBorder="1" applyAlignment="1">
      <alignment horizontal="center" vertical="center" textRotation="45" wrapText="1"/>
    </xf>
    <xf numFmtId="168" fontId="16" fillId="0" borderId="8" xfId="2" applyNumberFormat="1" applyFont="1" applyBorder="1" applyAlignment="1">
      <alignment horizontal="center" vertical="center"/>
    </xf>
    <xf numFmtId="168" fontId="16" fillId="0" borderId="5" xfId="2" applyNumberFormat="1" applyFont="1" applyBorder="1" applyAlignment="1">
      <alignment horizontal="center" vertical="center"/>
    </xf>
    <xf numFmtId="168" fontId="17" fillId="0" borderId="8" xfId="2" applyNumberFormat="1" applyFont="1" applyBorder="1" applyAlignment="1">
      <alignment horizontal="center" vertical="center" wrapText="1" shrinkToFit="1"/>
    </xf>
    <xf numFmtId="168" fontId="17" fillId="0" borderId="9" xfId="2" applyNumberFormat="1" applyFont="1" applyBorder="1" applyAlignment="1">
      <alignment horizontal="center" vertical="center" wrapText="1" shrinkToFit="1"/>
    </xf>
    <xf numFmtId="168" fontId="17" fillId="0" borderId="5" xfId="2" applyNumberFormat="1" applyFont="1" applyBorder="1" applyAlignment="1">
      <alignment horizontal="center" vertical="center" wrapText="1" shrinkToFit="1"/>
    </xf>
    <xf numFmtId="168" fontId="17" fillId="0" borderId="15" xfId="2" applyNumberFormat="1" applyFont="1" applyBorder="1" applyAlignment="1">
      <alignment horizontal="center" vertical="center" wrapText="1" shrinkToFit="1"/>
    </xf>
    <xf numFmtId="168" fontId="16" fillId="0" borderId="8" xfId="2" applyNumberFormat="1" applyFont="1" applyFill="1" applyBorder="1" applyAlignment="1">
      <alignment horizontal="center" vertical="center"/>
    </xf>
    <xf numFmtId="168" fontId="16" fillId="0" borderId="5" xfId="2" applyNumberFormat="1" applyFont="1" applyFill="1" applyBorder="1" applyAlignment="1">
      <alignment horizontal="center" vertical="center"/>
    </xf>
    <xf numFmtId="168" fontId="18" fillId="0" borderId="8" xfId="2" applyNumberFormat="1" applyFont="1" applyFill="1" applyBorder="1" applyAlignment="1">
      <alignment horizontal="center" vertical="center" wrapText="1" shrinkToFit="1"/>
    </xf>
    <xf numFmtId="168" fontId="18" fillId="0" borderId="9" xfId="2" applyNumberFormat="1" applyFont="1" applyFill="1" applyBorder="1" applyAlignment="1">
      <alignment horizontal="center" vertical="center" wrapText="1" shrinkToFit="1"/>
    </xf>
    <xf numFmtId="168" fontId="18" fillId="0" borderId="5" xfId="2" applyNumberFormat="1" applyFont="1" applyFill="1" applyBorder="1" applyAlignment="1">
      <alignment horizontal="center" vertical="center" wrapText="1" shrinkToFit="1"/>
    </xf>
    <xf numFmtId="168" fontId="18" fillId="0" borderId="15" xfId="2" applyNumberFormat="1" applyFont="1" applyFill="1" applyBorder="1" applyAlignment="1">
      <alignment horizontal="center" vertical="center" wrapText="1" shrinkToFit="1"/>
    </xf>
    <xf numFmtId="168" fontId="19" fillId="0" borderId="10" xfId="2" applyNumberFormat="1" applyFont="1" applyBorder="1" applyAlignment="1">
      <alignment horizontal="center" vertical="center"/>
    </xf>
    <xf numFmtId="168" fontId="19" fillId="0" borderId="8" xfId="2" applyNumberFormat="1" applyFont="1" applyBorder="1" applyAlignment="1">
      <alignment horizontal="center" vertical="center"/>
    </xf>
    <xf numFmtId="168" fontId="19" fillId="0" borderId="4" xfId="2" applyNumberFormat="1" applyFont="1" applyBorder="1" applyAlignment="1">
      <alignment horizontal="center" vertical="center"/>
    </xf>
    <xf numFmtId="168" fontId="19" fillId="0" borderId="5" xfId="2" applyNumberFormat="1" applyFont="1" applyBorder="1" applyAlignment="1">
      <alignment horizontal="center" vertical="center"/>
    </xf>
    <xf numFmtId="164" fontId="11" fillId="0" borderId="6" xfId="2" applyNumberFormat="1" applyFont="1" applyBorder="1" applyAlignment="1">
      <alignment horizontal="center" vertical="center" textRotation="90" wrapText="1"/>
    </xf>
    <xf numFmtId="0" fontId="11" fillId="0" borderId="20" xfId="2" applyFont="1" applyBorder="1" applyAlignment="1">
      <alignment horizontal="center" vertical="center" wrapText="1"/>
    </xf>
    <xf numFmtId="0" fontId="11" fillId="0" borderId="25" xfId="2" applyFont="1" applyBorder="1" applyAlignment="1">
      <alignment horizontal="center" vertical="center" wrapText="1"/>
    </xf>
    <xf numFmtId="0" fontId="11" fillId="0" borderId="12" xfId="2" applyFont="1" applyBorder="1" applyAlignment="1">
      <alignment horizontal="center" vertical="center" wrapText="1"/>
    </xf>
    <xf numFmtId="0" fontId="11" fillId="0" borderId="31" xfId="2" applyFont="1" applyBorder="1" applyAlignment="1">
      <alignment horizontal="center" vertical="center" wrapText="1"/>
    </xf>
    <xf numFmtId="0" fontId="11" fillId="0" borderId="29" xfId="2" applyFont="1" applyBorder="1" applyAlignment="1">
      <alignment horizontal="center" vertical="center" wrapText="1"/>
    </xf>
    <xf numFmtId="164" fontId="24" fillId="0" borderId="20" xfId="2" applyNumberFormat="1" applyFont="1" applyBorder="1" applyAlignment="1">
      <alignment horizontal="center" textRotation="75"/>
    </xf>
    <xf numFmtId="164" fontId="24" fillId="0" borderId="12" xfId="2" applyNumberFormat="1" applyFont="1" applyBorder="1" applyAlignment="1">
      <alignment horizontal="center" textRotation="75"/>
    </xf>
    <xf numFmtId="164" fontId="24" fillId="0" borderId="29" xfId="2" applyNumberFormat="1" applyFont="1" applyBorder="1" applyAlignment="1">
      <alignment horizontal="center" textRotation="75"/>
    </xf>
    <xf numFmtId="164" fontId="25" fillId="0" borderId="20" xfId="2" applyNumberFormat="1" applyFont="1" applyBorder="1" applyAlignment="1">
      <alignment horizontal="center" textRotation="75"/>
    </xf>
    <xf numFmtId="164" fontId="25" fillId="0" borderId="12" xfId="2" applyNumberFormat="1" applyFont="1" applyBorder="1" applyAlignment="1">
      <alignment horizontal="center" textRotation="75"/>
    </xf>
    <xf numFmtId="164" fontId="25" fillId="0" borderId="29" xfId="2" applyNumberFormat="1" applyFont="1" applyBorder="1" applyAlignment="1">
      <alignment horizontal="center" textRotation="75"/>
    </xf>
    <xf numFmtId="164" fontId="11" fillId="0" borderId="20" xfId="2" applyNumberFormat="1" applyFont="1" applyBorder="1" applyAlignment="1">
      <alignment horizontal="center" vertical="center" textRotation="90" wrapText="1"/>
    </xf>
    <xf numFmtId="164" fontId="26" fillId="0" borderId="20" xfId="2" applyNumberFormat="1" applyFont="1" applyBorder="1" applyAlignment="1">
      <alignment horizontal="center" textRotation="75"/>
    </xf>
    <xf numFmtId="164" fontId="26" fillId="0" borderId="12" xfId="2" applyNumberFormat="1" applyFont="1" applyBorder="1" applyAlignment="1">
      <alignment horizontal="center" textRotation="75"/>
    </xf>
    <xf numFmtId="164" fontId="26" fillId="0" borderId="29" xfId="2" applyNumberFormat="1" applyFont="1" applyBorder="1" applyAlignment="1">
      <alignment horizontal="center" textRotation="75"/>
    </xf>
    <xf numFmtId="0" fontId="5" fillId="0" borderId="13" xfId="2" applyFont="1" applyBorder="1" applyAlignment="1">
      <alignment horizontal="justify"/>
    </xf>
    <xf numFmtId="0" fontId="5" fillId="0" borderId="18" xfId="2" applyFont="1" applyBorder="1" applyAlignment="1">
      <alignment horizontal="justify"/>
    </xf>
    <xf numFmtId="0" fontId="5" fillId="0" borderId="36" xfId="2" applyFont="1" applyBorder="1" applyAlignment="1">
      <alignment horizontal="justify"/>
    </xf>
    <xf numFmtId="0" fontId="11" fillId="0" borderId="12" xfId="2" applyFont="1" applyBorder="1" applyAlignment="1">
      <alignment horizontal="center"/>
    </xf>
    <xf numFmtId="164" fontId="11" fillId="0" borderId="19" xfId="2" applyNumberFormat="1" applyFont="1" applyBorder="1" applyAlignment="1">
      <alignment horizontal="center" vertical="center" textRotation="90" wrapText="1"/>
    </xf>
    <xf numFmtId="0" fontId="2" fillId="0" borderId="3" xfId="2" applyFont="1" applyBorder="1"/>
    <xf numFmtId="0" fontId="2" fillId="0" borderId="16" xfId="2" applyFont="1" applyBorder="1"/>
    <xf numFmtId="0" fontId="2" fillId="0" borderId="22" xfId="2" applyFont="1" applyBorder="1"/>
    <xf numFmtId="0" fontId="2" fillId="0" borderId="27" xfId="2" applyFont="1" applyBorder="1"/>
    <xf numFmtId="0" fontId="2" fillId="0" borderId="28" xfId="2" applyFont="1" applyBorder="1"/>
    <xf numFmtId="164" fontId="27" fillId="0" borderId="20" xfId="2" applyNumberFormat="1" applyFont="1" applyBorder="1" applyAlignment="1">
      <alignment horizontal="center" textRotation="90"/>
    </xf>
    <xf numFmtId="164" fontId="27" fillId="0" borderId="12" xfId="2" applyNumberFormat="1" applyFont="1" applyBorder="1" applyAlignment="1">
      <alignment horizontal="center" textRotation="90"/>
    </xf>
    <xf numFmtId="164" fontId="27" fillId="0" borderId="29" xfId="2" applyNumberFormat="1" applyFont="1" applyBorder="1" applyAlignment="1">
      <alignment horizontal="center" textRotation="90"/>
    </xf>
    <xf numFmtId="168" fontId="28" fillId="0" borderId="21" xfId="2" applyNumberFormat="1" applyFont="1" applyBorder="1" applyAlignment="1">
      <alignment horizontal="center" vertical="center" textRotation="90"/>
    </xf>
    <xf numFmtId="168" fontId="28" fillId="0" borderId="30" xfId="2" applyNumberFormat="1" applyFont="1" applyBorder="1" applyAlignment="1">
      <alignment horizontal="center" vertical="center" textRotation="90"/>
    </xf>
    <xf numFmtId="168" fontId="20" fillId="0" borderId="9" xfId="2" applyNumberFormat="1" applyFont="1" applyBorder="1" applyAlignment="1">
      <alignment horizontal="center" vertical="center"/>
    </xf>
    <xf numFmtId="168" fontId="20" fillId="0" borderId="15" xfId="2" applyNumberFormat="1" applyFont="1" applyBorder="1" applyAlignment="1">
      <alignment horizontal="center" vertical="center"/>
    </xf>
    <xf numFmtId="0" fontId="15" fillId="0" borderId="11" xfId="2" applyFont="1" applyBorder="1" applyAlignment="1">
      <alignment horizontal="center" vertical="center" textRotation="75" wrapText="1"/>
    </xf>
    <xf numFmtId="0" fontId="15" fillId="0" borderId="8" xfId="2" applyFont="1" applyBorder="1" applyAlignment="1">
      <alignment horizontal="center" vertical="center" textRotation="75" wrapText="1"/>
    </xf>
    <xf numFmtId="0" fontId="15" fillId="0" borderId="9" xfId="2" applyFont="1" applyBorder="1" applyAlignment="1">
      <alignment horizontal="center" vertical="center" textRotation="75" wrapText="1"/>
    </xf>
    <xf numFmtId="0" fontId="15" fillId="0" borderId="16" xfId="2" applyFont="1" applyBorder="1" applyAlignment="1">
      <alignment horizontal="center" vertical="center" textRotation="75" wrapText="1"/>
    </xf>
    <xf numFmtId="0" fontId="15" fillId="0" borderId="0" xfId="2" applyFont="1" applyBorder="1" applyAlignment="1">
      <alignment horizontal="center" vertical="center" textRotation="75" wrapText="1"/>
    </xf>
    <xf numFmtId="0" fontId="15" fillId="0" borderId="17" xfId="2" applyFont="1" applyBorder="1" applyAlignment="1">
      <alignment horizontal="center" vertical="center" textRotation="75" wrapText="1"/>
    </xf>
    <xf numFmtId="0" fontId="15" fillId="0" borderId="27" xfId="2" applyFont="1" applyBorder="1" applyAlignment="1">
      <alignment horizontal="center" vertical="center" textRotation="75" wrapText="1"/>
    </xf>
    <xf numFmtId="0" fontId="15" fillId="0" borderId="32" xfId="2" applyFont="1" applyBorder="1" applyAlignment="1">
      <alignment horizontal="center" vertical="center" textRotation="75" wrapText="1"/>
    </xf>
    <xf numFmtId="0" fontId="15" fillId="0" borderId="35" xfId="2" applyFont="1" applyBorder="1" applyAlignment="1">
      <alignment horizontal="center" vertical="center" textRotation="75" wrapText="1"/>
    </xf>
    <xf numFmtId="0" fontId="21" fillId="0" borderId="7" xfId="2" applyFont="1" applyBorder="1" applyAlignment="1">
      <alignment horizontal="center" textRotation="85" wrapText="1" shrinkToFit="1"/>
    </xf>
    <xf numFmtId="0" fontId="21" fillId="0" borderId="14" xfId="2" applyFont="1" applyBorder="1" applyAlignment="1">
      <alignment horizontal="center" textRotation="85" wrapText="1" shrinkToFit="1"/>
    </xf>
    <xf numFmtId="0" fontId="22" fillId="0" borderId="12" xfId="2" applyFont="1" applyBorder="1" applyAlignment="1">
      <alignment horizontal="justify"/>
    </xf>
    <xf numFmtId="0" fontId="23" fillId="0" borderId="12" xfId="2" applyFont="1" applyBorder="1" applyAlignment="1">
      <alignment horizontal="justify"/>
    </xf>
    <xf numFmtId="169" fontId="14" fillId="0" borderId="12" xfId="2" applyNumberFormat="1" applyFont="1" applyBorder="1" applyAlignment="1">
      <alignment horizontal="center" vertical="center" textRotation="90"/>
    </xf>
    <xf numFmtId="164" fontId="27" fillId="0" borderId="23" xfId="2" applyNumberFormat="1" applyFont="1" applyBorder="1" applyAlignment="1">
      <alignment horizontal="center" textRotation="90"/>
    </xf>
    <xf numFmtId="164" fontId="27" fillId="0" borderId="33" xfId="2" applyNumberFormat="1" applyFont="1" applyBorder="1" applyAlignment="1">
      <alignment horizontal="center" textRotation="90"/>
    </xf>
    <xf numFmtId="164" fontId="11" fillId="0" borderId="23" xfId="2" applyNumberFormat="1" applyFont="1" applyBorder="1" applyAlignment="1">
      <alignment horizontal="center" vertical="center" textRotation="90" wrapText="1"/>
    </xf>
    <xf numFmtId="0" fontId="11" fillId="0" borderId="22" xfId="2" applyFont="1" applyBorder="1" applyAlignment="1">
      <alignment horizontal="center" vertical="center" wrapText="1"/>
    </xf>
    <xf numFmtId="0" fontId="11" fillId="0" borderId="23" xfId="2" applyFont="1" applyBorder="1" applyAlignment="1">
      <alignment horizontal="center" vertical="center" wrapText="1"/>
    </xf>
    <xf numFmtId="0" fontId="11" fillId="0" borderId="33" xfId="2" applyFont="1" applyBorder="1" applyAlignment="1">
      <alignment horizontal="center" vertical="center" wrapText="1"/>
    </xf>
    <xf numFmtId="0" fontId="11" fillId="0" borderId="28" xfId="2" applyFont="1" applyBorder="1" applyAlignment="1">
      <alignment horizontal="center" vertical="center" wrapText="1"/>
    </xf>
    <xf numFmtId="164" fontId="11" fillId="0" borderId="0" xfId="2" applyNumberFormat="1" applyFont="1" applyBorder="1" applyAlignment="1">
      <alignment horizontal="center" vertical="center" textRotation="90" wrapText="1"/>
    </xf>
    <xf numFmtId="0" fontId="11" fillId="0" borderId="0" xfId="2" applyFont="1" applyBorder="1" applyAlignment="1">
      <alignment horizontal="center" vertical="center" wrapText="1"/>
    </xf>
    <xf numFmtId="0" fontId="11" fillId="0" borderId="32" xfId="2" applyFont="1" applyBorder="1" applyAlignment="1">
      <alignment horizontal="center" vertical="center" wrapText="1"/>
    </xf>
    <xf numFmtId="164" fontId="2" fillId="0" borderId="41" xfId="2" applyNumberFormat="1" applyBorder="1" applyAlignment="1">
      <alignment horizontal="center" vertical="center"/>
    </xf>
    <xf numFmtId="164" fontId="2" fillId="0" borderId="42" xfId="2" applyNumberFormat="1" applyBorder="1" applyAlignment="1">
      <alignment horizontal="center" vertical="center"/>
    </xf>
    <xf numFmtId="172" fontId="37" fillId="0" borderId="43" xfId="3" applyNumberFormat="1" applyFont="1" applyBorder="1" applyAlignment="1">
      <alignment horizontal="center" vertical="center"/>
    </xf>
    <xf numFmtId="172" fontId="37" fillId="0" borderId="44" xfId="3" applyNumberFormat="1" applyFont="1" applyBorder="1" applyAlignment="1">
      <alignment horizontal="center" vertical="center"/>
    </xf>
    <xf numFmtId="164" fontId="2" fillId="0" borderId="49" xfId="2" applyNumberFormat="1" applyBorder="1" applyAlignment="1">
      <alignment horizontal="center" vertical="center"/>
    </xf>
    <xf numFmtId="164" fontId="2" fillId="0" borderId="25" xfId="2" applyNumberFormat="1" applyBorder="1" applyAlignment="1">
      <alignment horizontal="center" vertical="center"/>
    </xf>
    <xf numFmtId="172" fontId="37" fillId="0" borderId="47" xfId="3" applyNumberFormat="1" applyFont="1" applyBorder="1" applyAlignment="1">
      <alignment horizontal="center" vertical="center"/>
    </xf>
    <xf numFmtId="172" fontId="37" fillId="0" borderId="39" xfId="3" applyNumberFormat="1" applyFont="1" applyBorder="1" applyAlignment="1">
      <alignment horizontal="center" vertical="center"/>
    </xf>
    <xf numFmtId="164" fontId="29" fillId="0" borderId="20" xfId="2" applyNumberFormat="1" applyFont="1" applyBorder="1" applyAlignment="1">
      <alignment horizontal="center" textRotation="75"/>
    </xf>
    <xf numFmtId="164" fontId="29" fillId="0" borderId="12" xfId="2" applyNumberFormat="1" applyFont="1" applyBorder="1" applyAlignment="1">
      <alignment horizontal="center" textRotation="75"/>
    </xf>
    <xf numFmtId="164" fontId="29" fillId="0" borderId="29" xfId="2" applyNumberFormat="1" applyFont="1" applyBorder="1" applyAlignment="1">
      <alignment horizontal="center" textRotation="75"/>
    </xf>
    <xf numFmtId="164" fontId="30" fillId="0" borderId="24" xfId="2" applyNumberFormat="1" applyFont="1" applyBorder="1" applyAlignment="1">
      <alignment horizontal="center" vertical="center" textRotation="90"/>
    </xf>
    <xf numFmtId="164" fontId="30" fillId="0" borderId="34" xfId="2" applyNumberFormat="1" applyFont="1" applyBorder="1" applyAlignment="1">
      <alignment horizontal="center" vertical="center" textRotation="90"/>
    </xf>
    <xf numFmtId="164" fontId="27" fillId="0" borderId="21" xfId="2" applyNumberFormat="1" applyFont="1" applyBorder="1" applyAlignment="1">
      <alignment horizontal="center" textRotation="90"/>
    </xf>
    <xf numFmtId="164" fontId="27" fillId="0" borderId="30" xfId="2" applyNumberFormat="1" applyFont="1" applyBorder="1" applyAlignment="1">
      <alignment horizontal="center" textRotation="90"/>
    </xf>
    <xf numFmtId="169" fontId="31" fillId="0" borderId="12" xfId="2" applyNumberFormat="1" applyFont="1" applyBorder="1" applyAlignment="1">
      <alignment horizontal="center" vertical="center" textRotation="90"/>
    </xf>
    <xf numFmtId="164" fontId="56" fillId="0" borderId="49" xfId="2" applyNumberFormat="1" applyFont="1" applyFill="1" applyBorder="1" applyAlignment="1">
      <alignment horizontal="center" vertical="center"/>
    </xf>
    <xf numFmtId="164" fontId="56" fillId="0" borderId="25" xfId="2" applyNumberFormat="1" applyFont="1" applyFill="1" applyBorder="1" applyAlignment="1">
      <alignment horizontal="center" vertical="center"/>
    </xf>
    <xf numFmtId="172" fontId="59" fillId="0" borderId="47" xfId="3" applyNumberFormat="1" applyFont="1" applyFill="1" applyBorder="1" applyAlignment="1">
      <alignment horizontal="center" vertical="center"/>
    </xf>
    <xf numFmtId="172" fontId="59" fillId="0" borderId="39" xfId="3" applyNumberFormat="1" applyFont="1" applyFill="1" applyBorder="1" applyAlignment="1">
      <alignment horizontal="center" vertical="center"/>
    </xf>
    <xf numFmtId="164" fontId="61" fillId="0" borderId="49" xfId="2" applyNumberFormat="1" applyFont="1" applyBorder="1" applyAlignment="1">
      <alignment horizontal="center" vertical="center"/>
    </xf>
    <xf numFmtId="164" fontId="61" fillId="0" borderId="25" xfId="2" applyNumberFormat="1" applyFont="1" applyBorder="1" applyAlignment="1">
      <alignment horizontal="center" vertical="center"/>
    </xf>
    <xf numFmtId="172" fontId="59" fillId="3" borderId="47" xfId="3" applyNumberFormat="1" applyFont="1" applyFill="1" applyBorder="1" applyAlignment="1">
      <alignment horizontal="center" vertical="center"/>
    </xf>
    <xf numFmtId="172" fontId="59" fillId="3" borderId="39" xfId="3" applyNumberFormat="1" applyFont="1" applyFill="1" applyBorder="1" applyAlignment="1">
      <alignment horizontal="center" vertical="center"/>
    </xf>
    <xf numFmtId="164" fontId="56" fillId="0" borderId="50" xfId="2" applyNumberFormat="1" applyFont="1" applyFill="1" applyBorder="1" applyAlignment="1">
      <alignment horizontal="center" vertical="center"/>
    </xf>
    <xf numFmtId="164" fontId="56" fillId="0" borderId="6" xfId="2" applyNumberFormat="1" applyFont="1" applyFill="1" applyBorder="1" applyAlignment="1">
      <alignment horizontal="center" vertical="center"/>
    </xf>
    <xf numFmtId="172" fontId="59" fillId="0" borderId="4" xfId="3" applyNumberFormat="1" applyFont="1" applyFill="1" applyBorder="1" applyAlignment="1">
      <alignment horizontal="center" vertical="center"/>
    </xf>
    <xf numFmtId="172" fontId="59" fillId="0" borderId="15" xfId="3" applyNumberFormat="1" applyFont="1" applyFill="1" applyBorder="1" applyAlignment="1">
      <alignment horizontal="center" vertical="center"/>
    </xf>
    <xf numFmtId="164" fontId="2" fillId="0" borderId="49" xfId="2" applyNumberFormat="1" applyFont="1" applyBorder="1" applyAlignment="1">
      <alignment horizontal="center" vertical="center"/>
    </xf>
    <xf numFmtId="164" fontId="2" fillId="0" borderId="25" xfId="2" applyNumberFormat="1" applyFont="1" applyBorder="1" applyAlignment="1">
      <alignment horizontal="center" vertical="center"/>
    </xf>
    <xf numFmtId="164" fontId="56" fillId="0" borderId="56" xfId="2" applyNumberFormat="1" applyFont="1" applyFill="1" applyBorder="1" applyAlignment="1">
      <alignment horizontal="center" vertical="center"/>
    </xf>
    <xf numFmtId="164" fontId="56" fillId="0" borderId="54" xfId="2" applyNumberFormat="1" applyFont="1" applyFill="1" applyBorder="1" applyAlignment="1">
      <alignment horizontal="center" vertical="center"/>
    </xf>
    <xf numFmtId="172" fontId="59" fillId="0" borderId="57" xfId="3" applyNumberFormat="1" applyFont="1" applyFill="1" applyBorder="1" applyAlignment="1">
      <alignment horizontal="center" vertical="center"/>
    </xf>
    <xf numFmtId="172" fontId="59" fillId="0" borderId="53" xfId="3" applyNumberFormat="1" applyFont="1" applyFill="1" applyBorder="1" applyAlignment="1">
      <alignment horizontal="center" vertical="center"/>
    </xf>
    <xf numFmtId="164" fontId="2" fillId="0" borderId="27" xfId="2" applyNumberFormat="1" applyBorder="1" applyAlignment="1">
      <alignment horizontal="center" vertical="center"/>
    </xf>
    <xf numFmtId="164" fontId="2" fillId="0" borderId="28" xfId="2" applyNumberFormat="1" applyBorder="1" applyAlignment="1">
      <alignment horizontal="center" vertical="center"/>
    </xf>
    <xf numFmtId="172" fontId="37" fillId="0" borderId="33" xfId="3" applyNumberFormat="1" applyFont="1" applyBorder="1" applyAlignment="1">
      <alignment horizontal="center" vertical="center"/>
    </xf>
    <xf numFmtId="172" fontId="37" fillId="0" borderId="35" xfId="3" applyNumberFormat="1" applyFont="1" applyBorder="1" applyAlignment="1">
      <alignment horizontal="center" vertical="center"/>
    </xf>
    <xf numFmtId="172" fontId="67" fillId="0" borderId="12" xfId="3" applyNumberFormat="1" applyFont="1" applyBorder="1" applyAlignment="1">
      <alignment horizontal="center" vertical="center"/>
    </xf>
    <xf numFmtId="172" fontId="68" fillId="0" borderId="13" xfId="3" applyNumberFormat="1" applyFont="1" applyBorder="1" applyAlignment="1">
      <alignment horizontal="center" vertical="center"/>
    </xf>
    <xf numFmtId="172" fontId="68" fillId="0" borderId="36" xfId="3" applyNumberFormat="1" applyFont="1" applyBorder="1" applyAlignment="1">
      <alignment horizontal="center" vertical="center"/>
    </xf>
    <xf numFmtId="168" fontId="69" fillId="0" borderId="8" xfId="2" applyNumberFormat="1" applyFont="1" applyBorder="1" applyAlignment="1">
      <alignment horizontal="center" vertical="center"/>
    </xf>
    <xf numFmtId="168" fontId="69" fillId="0" borderId="5" xfId="2" applyNumberFormat="1" applyFont="1" applyBorder="1" applyAlignment="1">
      <alignment horizontal="center" vertical="center"/>
    </xf>
    <xf numFmtId="168" fontId="70" fillId="0" borderId="8" xfId="2" applyNumberFormat="1" applyFont="1" applyBorder="1" applyAlignment="1">
      <alignment horizontal="center" vertical="center"/>
    </xf>
    <xf numFmtId="168" fontId="70" fillId="0" borderId="9" xfId="2" applyNumberFormat="1" applyFont="1" applyBorder="1" applyAlignment="1">
      <alignment horizontal="center" vertical="center"/>
    </xf>
    <xf numFmtId="168" fontId="70" fillId="0" borderId="5" xfId="2" applyNumberFormat="1" applyFont="1" applyBorder="1" applyAlignment="1">
      <alignment horizontal="center" vertical="center"/>
    </xf>
    <xf numFmtId="168" fontId="70" fillId="0" borderId="15" xfId="2" applyNumberFormat="1" applyFont="1" applyBorder="1" applyAlignment="1">
      <alignment horizontal="center" vertical="center"/>
    </xf>
    <xf numFmtId="168" fontId="69" fillId="0" borderId="42" xfId="2" applyNumberFormat="1" applyFont="1" applyFill="1" applyBorder="1" applyAlignment="1">
      <alignment horizontal="center" vertical="center"/>
    </xf>
    <xf numFmtId="168" fontId="69" fillId="0" borderId="64" xfId="2" applyNumberFormat="1" applyFont="1" applyFill="1" applyBorder="1" applyAlignment="1">
      <alignment horizontal="center" vertical="center"/>
    </xf>
    <xf numFmtId="168" fontId="69" fillId="0" borderId="43" xfId="2" applyNumberFormat="1" applyFont="1" applyFill="1" applyBorder="1" applyAlignment="1">
      <alignment horizontal="center" vertical="center"/>
    </xf>
    <xf numFmtId="168" fontId="69" fillId="0" borderId="25" xfId="2" applyNumberFormat="1" applyFont="1" applyFill="1" applyBorder="1" applyAlignment="1">
      <alignment horizontal="center" vertical="center"/>
    </xf>
    <xf numFmtId="168" fontId="69" fillId="0" borderId="12" xfId="2" applyNumberFormat="1" applyFont="1" applyFill="1" applyBorder="1" applyAlignment="1">
      <alignment horizontal="center" vertical="center"/>
    </xf>
    <xf numFmtId="168" fontId="69" fillId="0" borderId="47" xfId="2" applyNumberFormat="1" applyFont="1" applyFill="1" applyBorder="1" applyAlignment="1">
      <alignment horizontal="center" vertical="center"/>
    </xf>
    <xf numFmtId="168" fontId="71" fillId="0" borderId="8" xfId="2" applyNumberFormat="1" applyFont="1" applyBorder="1" applyAlignment="1">
      <alignment horizontal="center" vertical="center"/>
    </xf>
    <xf numFmtId="168" fontId="71" fillId="0" borderId="9" xfId="2" applyNumberFormat="1" applyFont="1" applyBorder="1" applyAlignment="1">
      <alignment horizontal="center" vertical="center"/>
    </xf>
    <xf numFmtId="168" fontId="71" fillId="0" borderId="5" xfId="2" applyNumberFormat="1" applyFont="1" applyBorder="1" applyAlignment="1">
      <alignment horizontal="center" vertical="center"/>
    </xf>
    <xf numFmtId="168" fontId="71" fillId="0" borderId="15" xfId="2" applyNumberFormat="1" applyFont="1" applyBorder="1" applyAlignment="1">
      <alignment horizontal="center" vertical="center"/>
    </xf>
    <xf numFmtId="0" fontId="11" fillId="0" borderId="3" xfId="2" applyFont="1" applyBorder="1" applyAlignment="1">
      <alignment horizontal="center" vertical="center" wrapText="1"/>
    </xf>
    <xf numFmtId="0" fontId="11" fillId="0" borderId="16" xfId="2" applyFont="1" applyBorder="1" applyAlignment="1">
      <alignment horizontal="center" vertical="center" wrapText="1"/>
    </xf>
    <xf numFmtId="0" fontId="11" fillId="0" borderId="27" xfId="2" applyFont="1" applyBorder="1" applyAlignment="1">
      <alignment horizontal="center" vertical="center" wrapText="1"/>
    </xf>
    <xf numFmtId="164" fontId="11" fillId="0" borderId="1" xfId="2" applyNumberFormat="1" applyFont="1" applyBorder="1" applyAlignment="1">
      <alignment horizontal="center" vertical="center" textRotation="90" wrapText="1"/>
    </xf>
    <xf numFmtId="174" fontId="76" fillId="0" borderId="12" xfId="2" applyNumberFormat="1" applyFont="1" applyBorder="1" applyAlignment="1">
      <alignment horizontal="center" textRotation="90"/>
    </xf>
    <xf numFmtId="174" fontId="75" fillId="0" borderId="12" xfId="2" applyNumberFormat="1" applyFont="1" applyBorder="1" applyAlignment="1">
      <alignment horizontal="center" textRotation="90"/>
    </xf>
    <xf numFmtId="168" fontId="73" fillId="0" borderId="8" xfId="2" applyNumberFormat="1" applyFont="1" applyBorder="1" applyAlignment="1">
      <alignment horizontal="center" vertical="center" wrapText="1" shrinkToFit="1"/>
    </xf>
    <xf numFmtId="168" fontId="73" fillId="0" borderId="9" xfId="2" applyNumberFormat="1" applyFont="1" applyBorder="1" applyAlignment="1">
      <alignment horizontal="center" vertical="center" wrapText="1" shrinkToFit="1"/>
    </xf>
    <xf numFmtId="168" fontId="73" fillId="0" borderId="5" xfId="2" applyNumberFormat="1" applyFont="1" applyBorder="1" applyAlignment="1">
      <alignment horizontal="center" vertical="center" wrapText="1" shrinkToFit="1"/>
    </xf>
    <xf numFmtId="168" fontId="73" fillId="0" borderId="15" xfId="2" applyNumberFormat="1" applyFont="1" applyBorder="1" applyAlignment="1">
      <alignment horizontal="center" vertical="center" wrapText="1" shrinkToFit="1"/>
    </xf>
    <xf numFmtId="0" fontId="74" fillId="0" borderId="12" xfId="2" applyFont="1" applyBorder="1" applyAlignment="1">
      <alignment horizontal="center" textRotation="90"/>
    </xf>
    <xf numFmtId="174" fontId="75" fillId="0" borderId="12" xfId="2" applyNumberFormat="1" applyFont="1" applyFill="1" applyBorder="1" applyAlignment="1">
      <alignment horizontal="center" textRotation="90"/>
    </xf>
    <xf numFmtId="168" fontId="28" fillId="0" borderId="17" xfId="2" applyNumberFormat="1" applyFont="1" applyBorder="1" applyAlignment="1">
      <alignment horizontal="center" vertical="center" textRotation="90"/>
    </xf>
    <xf numFmtId="168" fontId="28" fillId="0" borderId="35" xfId="2" applyNumberFormat="1" applyFont="1" applyBorder="1" applyAlignment="1">
      <alignment horizontal="center" vertical="center" textRotation="90"/>
    </xf>
    <xf numFmtId="0" fontId="11" fillId="0" borderId="3" xfId="2" applyFont="1" applyBorder="1" applyAlignment="1">
      <alignment horizontal="center" vertical="center" textRotation="90" wrapText="1"/>
    </xf>
    <xf numFmtId="0" fontId="11" fillId="0" borderId="16" xfId="2" applyFont="1" applyBorder="1" applyAlignment="1">
      <alignment horizontal="center" vertical="center" textRotation="90" wrapText="1"/>
    </xf>
    <xf numFmtId="0" fontId="11" fillId="0" borderId="22" xfId="2" applyFont="1" applyBorder="1" applyAlignment="1">
      <alignment horizontal="center" vertical="center" textRotation="90" wrapText="1"/>
    </xf>
    <xf numFmtId="0" fontId="11" fillId="0" borderId="27" xfId="2" applyFont="1" applyBorder="1" applyAlignment="1">
      <alignment horizontal="center" vertical="center" textRotation="90" wrapText="1"/>
    </xf>
    <xf numFmtId="0" fontId="11" fillId="0" borderId="28" xfId="2" applyFont="1" applyBorder="1" applyAlignment="1">
      <alignment horizontal="center" vertical="center" textRotation="90" wrapText="1"/>
    </xf>
    <xf numFmtId="0" fontId="2" fillId="0" borderId="3" xfId="2" applyBorder="1" applyAlignment="1">
      <alignment horizontal="center" vertical="center" wrapText="1"/>
    </xf>
    <xf numFmtId="0" fontId="2" fillId="0" borderId="23" xfId="2" applyBorder="1" applyAlignment="1">
      <alignment horizontal="center" vertical="center" wrapText="1"/>
    </xf>
    <xf numFmtId="0" fontId="2" fillId="0" borderId="22" xfId="2" applyBorder="1" applyAlignment="1">
      <alignment horizontal="center" vertical="center" wrapText="1"/>
    </xf>
    <xf numFmtId="0" fontId="2" fillId="0" borderId="33" xfId="2" applyBorder="1" applyAlignment="1">
      <alignment horizontal="center" vertical="center" wrapText="1"/>
    </xf>
    <xf numFmtId="0" fontId="2" fillId="0" borderId="28" xfId="2" applyBorder="1" applyAlignment="1">
      <alignment horizontal="center" vertical="center" wrapText="1"/>
    </xf>
    <xf numFmtId="0" fontId="6" fillId="0" borderId="65" xfId="2" applyFont="1" applyBorder="1" applyAlignment="1">
      <alignment horizontal="center" textRotation="85" wrapText="1" shrinkToFit="1"/>
    </xf>
    <xf numFmtId="0" fontId="6" fillId="0" borderId="24" xfId="2" applyFont="1" applyBorder="1" applyAlignment="1">
      <alignment horizontal="center" textRotation="85" wrapText="1" shrinkToFit="1"/>
    </xf>
    <xf numFmtId="0" fontId="6" fillId="0" borderId="20" xfId="2" applyFont="1" applyBorder="1" applyAlignment="1">
      <alignment horizontal="center" textRotation="85" wrapText="1" shrinkToFit="1"/>
    </xf>
    <xf numFmtId="174" fontId="77" fillId="0" borderId="66" xfId="2" applyNumberFormat="1" applyFont="1" applyBorder="1" applyAlignment="1">
      <alignment horizontal="center" vertical="center" textRotation="90"/>
    </xf>
    <xf numFmtId="174" fontId="77" fillId="0" borderId="67" xfId="2" applyNumberFormat="1" applyFont="1" applyBorder="1" applyAlignment="1">
      <alignment horizontal="center" vertical="center" textRotation="90"/>
    </xf>
    <xf numFmtId="174" fontId="77" fillId="0" borderId="68" xfId="2" applyNumberFormat="1" applyFont="1" applyBorder="1" applyAlignment="1">
      <alignment horizontal="center" vertical="center" textRotation="90"/>
    </xf>
    <xf numFmtId="174" fontId="77" fillId="0" borderId="69" xfId="2" applyNumberFormat="1" applyFont="1" applyBorder="1" applyAlignment="1">
      <alignment horizontal="center" vertical="center" textRotation="90"/>
    </xf>
    <xf numFmtId="174" fontId="77" fillId="0" borderId="70" xfId="2" applyNumberFormat="1" applyFont="1" applyBorder="1" applyAlignment="1">
      <alignment horizontal="center" vertical="center" textRotation="90"/>
    </xf>
    <xf numFmtId="174" fontId="77" fillId="0" borderId="71" xfId="2" applyNumberFormat="1" applyFont="1" applyBorder="1" applyAlignment="1">
      <alignment horizontal="center" vertical="center" textRotation="90"/>
    </xf>
    <xf numFmtId="0" fontId="31" fillId="0" borderId="12" xfId="2" applyFont="1" applyBorder="1" applyAlignment="1">
      <alignment horizontal="center"/>
    </xf>
    <xf numFmtId="173" fontId="78" fillId="0" borderId="20" xfId="2" applyNumberFormat="1" applyFont="1" applyBorder="1" applyAlignment="1">
      <alignment horizontal="center" vertical="center"/>
    </xf>
    <xf numFmtId="0" fontId="78" fillId="0" borderId="20" xfId="2" applyFont="1" applyBorder="1" applyAlignment="1">
      <alignment horizontal="center" vertical="center"/>
    </xf>
    <xf numFmtId="0" fontId="78" fillId="0" borderId="12" xfId="2" applyFont="1" applyBorder="1" applyAlignment="1">
      <alignment horizontal="center" vertical="center"/>
    </xf>
    <xf numFmtId="0" fontId="6" fillId="0" borderId="12" xfId="2" applyFont="1" applyBorder="1" applyAlignment="1">
      <alignment horizontal="center" textRotation="90"/>
    </xf>
    <xf numFmtId="0" fontId="2" fillId="0" borderId="23" xfId="2" applyBorder="1" applyAlignment="1">
      <alignment horizontal="center"/>
    </xf>
    <xf numFmtId="0" fontId="32" fillId="0" borderId="1" xfId="2" applyFont="1" applyBorder="1" applyAlignment="1">
      <alignment horizontal="justify" textRotation="90"/>
    </xf>
    <xf numFmtId="0" fontId="32" fillId="0" borderId="3" xfId="2" applyFont="1" applyBorder="1" applyAlignment="1">
      <alignment horizontal="justify" textRotation="90"/>
    </xf>
    <xf numFmtId="0" fontId="32" fillId="0" borderId="23" xfId="2" applyFont="1" applyBorder="1" applyAlignment="1">
      <alignment horizontal="justify" textRotation="90"/>
    </xf>
    <xf numFmtId="0" fontId="32" fillId="0" borderId="22" xfId="2" applyFont="1" applyBorder="1" applyAlignment="1">
      <alignment horizontal="justify" textRotation="90"/>
    </xf>
    <xf numFmtId="0" fontId="32" fillId="0" borderId="4" xfId="2" applyFont="1" applyBorder="1" applyAlignment="1">
      <alignment horizontal="justify" textRotation="90"/>
    </xf>
    <xf numFmtId="0" fontId="32" fillId="0" borderId="6" xfId="2" applyFont="1" applyBorder="1" applyAlignment="1">
      <alignment horizontal="justify" textRotation="90"/>
    </xf>
    <xf numFmtId="172" fontId="2" fillId="0" borderId="47" xfId="2" applyNumberFormat="1" applyBorder="1" applyAlignment="1">
      <alignment horizontal="center" vertical="center"/>
    </xf>
    <xf numFmtId="172" fontId="2" fillId="0" borderId="25" xfId="2" applyNumberFormat="1" applyBorder="1" applyAlignment="1">
      <alignment horizontal="center" vertical="center"/>
    </xf>
    <xf numFmtId="0" fontId="2" fillId="0" borderId="73" xfId="2" applyBorder="1" applyAlignment="1">
      <alignment horizontal="center" vertical="center"/>
    </xf>
    <xf numFmtId="0" fontId="2" fillId="0" borderId="74" xfId="2" applyBorder="1" applyAlignment="1">
      <alignment horizontal="center" vertical="center"/>
    </xf>
    <xf numFmtId="0" fontId="2" fillId="0" borderId="75" xfId="2" applyBorder="1" applyAlignment="1">
      <alignment horizontal="center" vertical="center"/>
    </xf>
    <xf numFmtId="0" fontId="2" fillId="0" borderId="76" xfId="2" applyBorder="1" applyAlignment="1">
      <alignment horizontal="center" vertical="center"/>
    </xf>
    <xf numFmtId="172" fontId="2" fillId="0" borderId="72" xfId="2" applyNumberFormat="1" applyBorder="1" applyAlignment="1">
      <alignment horizontal="center" vertical="center"/>
    </xf>
    <xf numFmtId="0" fontId="2" fillId="0" borderId="73" xfId="2" applyFont="1" applyBorder="1" applyAlignment="1">
      <alignment horizontal="center" vertical="center"/>
    </xf>
    <xf numFmtId="0" fontId="2" fillId="0" borderId="74" xfId="2" applyFont="1" applyBorder="1" applyAlignment="1">
      <alignment horizontal="center" vertical="center"/>
    </xf>
    <xf numFmtId="172" fontId="56" fillId="0" borderId="4" xfId="2" applyNumberFormat="1" applyFont="1" applyBorder="1" applyAlignment="1">
      <alignment horizontal="center" vertical="center"/>
    </xf>
    <xf numFmtId="172" fontId="56" fillId="0" borderId="6" xfId="2" applyNumberFormat="1" applyFont="1" applyBorder="1" applyAlignment="1">
      <alignment horizontal="center" vertical="center"/>
    </xf>
    <xf numFmtId="0" fontId="2" fillId="0" borderId="70" xfId="2" applyBorder="1" applyAlignment="1">
      <alignment horizontal="center" vertical="center"/>
    </xf>
    <xf numFmtId="0" fontId="2" fillId="0" borderId="71" xfId="2" applyBorder="1" applyAlignment="1">
      <alignment horizontal="center" vertical="center"/>
    </xf>
    <xf numFmtId="172" fontId="2" fillId="0" borderId="57" xfId="2" applyNumberFormat="1" applyBorder="1" applyAlignment="1">
      <alignment horizontal="center" vertical="center"/>
    </xf>
    <xf numFmtId="172" fontId="2" fillId="0" borderId="54" xfId="2" applyNumberFormat="1" applyBorder="1" applyAlignment="1">
      <alignment horizontal="center" vertical="center"/>
    </xf>
    <xf numFmtId="0" fontId="2" fillId="0" borderId="79" xfId="2" applyBorder="1" applyAlignment="1">
      <alignment horizontal="center" vertical="center"/>
    </xf>
    <xf numFmtId="0" fontId="2" fillId="0" borderId="80" xfId="2" applyBorder="1" applyAlignment="1">
      <alignment horizontal="center" vertical="center"/>
    </xf>
    <xf numFmtId="164" fontId="99" fillId="0" borderId="0" xfId="2" applyNumberFormat="1" applyFont="1" applyAlignment="1">
      <alignment horizontal="center" vertical="center"/>
    </xf>
    <xf numFmtId="0" fontId="99" fillId="0" borderId="0" xfId="2" applyFont="1" applyAlignment="1">
      <alignment horizontal="center" vertical="center"/>
    </xf>
    <xf numFmtId="0" fontId="2" fillId="0" borderId="1" xfId="2" applyBorder="1" applyAlignment="1">
      <alignment horizontal="center" vertical="center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2" fillId="0" borderId="6" xfId="2" applyBorder="1" applyAlignment="1">
      <alignment horizontal="center" vertical="center"/>
    </xf>
    <xf numFmtId="164" fontId="2" fillId="5" borderId="49" xfId="2" applyNumberFormat="1" applyFont="1" applyFill="1" applyBorder="1" applyAlignment="1">
      <alignment horizontal="center" vertical="center"/>
    </xf>
    <xf numFmtId="164" fontId="2" fillId="5" borderId="25" xfId="2" applyNumberFormat="1" applyFont="1" applyFill="1" applyBorder="1" applyAlignment="1">
      <alignment horizontal="center" vertical="center"/>
    </xf>
    <xf numFmtId="172" fontId="179" fillId="5" borderId="47" xfId="3" applyNumberFormat="1" applyFont="1" applyFill="1" applyBorder="1" applyAlignment="1">
      <alignment horizontal="center" vertical="center"/>
    </xf>
    <xf numFmtId="172" fontId="179" fillId="5" borderId="39" xfId="3" applyNumberFormat="1" applyFont="1" applyFill="1" applyBorder="1" applyAlignment="1">
      <alignment horizontal="center" vertical="center"/>
    </xf>
    <xf numFmtId="172" fontId="180" fillId="0" borderId="47" xfId="3" applyNumberFormat="1" applyFont="1" applyFill="1" applyBorder="1" applyAlignment="1">
      <alignment horizontal="center" vertical="center"/>
    </xf>
    <xf numFmtId="172" fontId="180" fillId="0" borderId="39" xfId="3" applyNumberFormat="1" applyFont="1" applyFill="1" applyBorder="1" applyAlignment="1">
      <alignment horizontal="center" vertical="center"/>
    </xf>
    <xf numFmtId="168" fontId="104" fillId="0" borderId="10" xfId="2" applyNumberFormat="1" applyFont="1" applyBorder="1" applyAlignment="1">
      <alignment horizontal="center" vertical="center"/>
    </xf>
    <xf numFmtId="168" fontId="104" fillId="0" borderId="8" xfId="2" applyNumberFormat="1" applyFont="1" applyBorder="1" applyAlignment="1">
      <alignment horizontal="center" vertical="center"/>
    </xf>
    <xf numFmtId="168" fontId="104" fillId="0" borderId="4" xfId="2" applyNumberFormat="1" applyFont="1" applyBorder="1" applyAlignment="1">
      <alignment horizontal="center" vertical="center"/>
    </xf>
    <xf numFmtId="168" fontId="104" fillId="0" borderId="5" xfId="2" applyNumberFormat="1" applyFont="1" applyBorder="1" applyAlignment="1">
      <alignment horizontal="center" vertical="center"/>
    </xf>
    <xf numFmtId="164" fontId="2" fillId="0" borderId="81" xfId="2" applyNumberFormat="1" applyBorder="1" applyAlignment="1">
      <alignment horizontal="center" vertical="center"/>
    </xf>
    <xf numFmtId="164" fontId="2" fillId="0" borderId="82" xfId="2" applyNumberFormat="1" applyBorder="1" applyAlignment="1">
      <alignment horizontal="center" vertical="center"/>
    </xf>
    <xf numFmtId="172" fontId="37" fillId="0" borderId="82" xfId="3" applyNumberFormat="1" applyFont="1" applyBorder="1" applyAlignment="1">
      <alignment horizontal="center" vertical="center"/>
    </xf>
    <xf numFmtId="168" fontId="16" fillId="0" borderId="11" xfId="2" applyNumberFormat="1" applyFont="1" applyBorder="1" applyAlignment="1">
      <alignment horizontal="center" vertical="center"/>
    </xf>
    <xf numFmtId="168" fontId="16" fillId="0" borderId="50" xfId="2" applyNumberFormat="1" applyFont="1" applyBorder="1" applyAlignment="1">
      <alignment horizontal="center" vertical="center"/>
    </xf>
    <xf numFmtId="168" fontId="106" fillId="0" borderId="8" xfId="2" applyNumberFormat="1" applyFont="1" applyBorder="1" applyAlignment="1">
      <alignment horizontal="center" vertical="center"/>
    </xf>
    <xf numFmtId="168" fontId="106" fillId="0" borderId="9" xfId="2" applyNumberFormat="1" applyFont="1" applyBorder="1" applyAlignment="1">
      <alignment horizontal="center" vertical="center"/>
    </xf>
    <xf numFmtId="168" fontId="106" fillId="0" borderId="5" xfId="2" applyNumberFormat="1" applyFont="1" applyBorder="1" applyAlignment="1">
      <alignment horizontal="center" vertical="center"/>
    </xf>
    <xf numFmtId="168" fontId="106" fillId="0" borderId="15" xfId="2" applyNumberFormat="1" applyFont="1" applyBorder="1" applyAlignment="1">
      <alignment horizontal="center" vertical="center"/>
    </xf>
    <xf numFmtId="168" fontId="16" fillId="0" borderId="42" xfId="2" applyNumberFormat="1" applyFont="1" applyBorder="1" applyAlignment="1">
      <alignment horizontal="center" vertical="center"/>
    </xf>
    <xf numFmtId="168" fontId="16" fillId="0" borderId="64" xfId="2" applyNumberFormat="1" applyFont="1" applyBorder="1" applyAlignment="1">
      <alignment horizontal="center" vertical="center"/>
    </xf>
    <xf numFmtId="168" fontId="16" fillId="0" borderId="43" xfId="2" applyNumberFormat="1" applyFont="1" applyBorder="1" applyAlignment="1">
      <alignment horizontal="center" vertical="center"/>
    </xf>
    <xf numFmtId="168" fontId="16" fillId="0" borderId="25" xfId="2" applyNumberFormat="1" applyFont="1" applyBorder="1" applyAlignment="1">
      <alignment horizontal="center" vertical="center"/>
    </xf>
    <xf numFmtId="168" fontId="16" fillId="0" borderId="12" xfId="2" applyNumberFormat="1" applyFont="1" applyBorder="1" applyAlignment="1">
      <alignment horizontal="center" vertical="center"/>
    </xf>
    <xf numFmtId="168" fontId="16" fillId="0" borderId="47" xfId="2" applyNumberFormat="1" applyFont="1" applyBorder="1" applyAlignment="1">
      <alignment horizontal="center" vertical="center"/>
    </xf>
    <xf numFmtId="168" fontId="102" fillId="0" borderId="8" xfId="2" applyNumberFormat="1" applyFont="1" applyBorder="1" applyAlignment="1">
      <alignment horizontal="center" vertical="center"/>
    </xf>
    <xf numFmtId="168" fontId="102" fillId="0" borderId="9" xfId="2" applyNumberFormat="1" applyFont="1" applyBorder="1" applyAlignment="1">
      <alignment horizontal="center" vertical="center"/>
    </xf>
    <xf numFmtId="168" fontId="102" fillId="0" borderId="5" xfId="2" applyNumberFormat="1" applyFont="1" applyBorder="1" applyAlignment="1">
      <alignment horizontal="center" vertical="center"/>
    </xf>
    <xf numFmtId="168" fontId="102" fillId="0" borderId="15" xfId="2" applyNumberFormat="1" applyFont="1" applyBorder="1" applyAlignment="1">
      <alignment horizontal="center" vertical="center"/>
    </xf>
    <xf numFmtId="168" fontId="101" fillId="0" borderId="8" xfId="2" applyNumberFormat="1" applyFont="1" applyBorder="1" applyAlignment="1">
      <alignment horizontal="center" vertical="center" wrapText="1" shrinkToFit="1"/>
    </xf>
    <xf numFmtId="168" fontId="101" fillId="0" borderId="9" xfId="2" applyNumberFormat="1" applyFont="1" applyBorder="1" applyAlignment="1">
      <alignment horizontal="center" vertical="center" wrapText="1" shrinkToFit="1"/>
    </xf>
    <xf numFmtId="168" fontId="101" fillId="0" borderId="5" xfId="2" applyNumberFormat="1" applyFont="1" applyBorder="1" applyAlignment="1">
      <alignment horizontal="center" vertical="center" wrapText="1" shrinkToFit="1"/>
    </xf>
    <xf numFmtId="168" fontId="101" fillId="0" borderId="15" xfId="2" applyNumberFormat="1" applyFont="1" applyBorder="1" applyAlignment="1">
      <alignment horizontal="center" vertical="center" wrapText="1" shrinkToFit="1"/>
    </xf>
    <xf numFmtId="168" fontId="69" fillId="0" borderId="11" xfId="2" applyNumberFormat="1" applyFont="1" applyFill="1" applyBorder="1" applyAlignment="1">
      <alignment horizontal="center" vertical="center"/>
    </xf>
    <xf numFmtId="168" fontId="69" fillId="0" borderId="8" xfId="2" applyNumberFormat="1" applyFont="1" applyFill="1" applyBorder="1" applyAlignment="1">
      <alignment horizontal="center" vertical="center"/>
    </xf>
    <xf numFmtId="168" fontId="69" fillId="0" borderId="50" xfId="2" applyNumberFormat="1" applyFont="1" applyFill="1" applyBorder="1" applyAlignment="1">
      <alignment horizontal="center" vertical="center"/>
    </xf>
    <xf numFmtId="168" fontId="69" fillId="0" borderId="5" xfId="2" applyNumberFormat="1" applyFont="1" applyFill="1" applyBorder="1" applyAlignment="1">
      <alignment horizontal="center" vertical="center"/>
    </xf>
    <xf numFmtId="168" fontId="103" fillId="0" borderId="8" xfId="2" applyNumberFormat="1" applyFont="1" applyBorder="1" applyAlignment="1">
      <alignment horizontal="center" vertical="center"/>
    </xf>
    <xf numFmtId="168" fontId="103" fillId="0" borderId="9" xfId="2" applyNumberFormat="1" applyFont="1" applyBorder="1" applyAlignment="1">
      <alignment horizontal="center" vertical="center"/>
    </xf>
    <xf numFmtId="168" fontId="103" fillId="0" borderId="5" xfId="2" applyNumberFormat="1" applyFont="1" applyBorder="1" applyAlignment="1">
      <alignment horizontal="center" vertical="center"/>
    </xf>
    <xf numFmtId="168" fontId="103" fillId="0" borderId="15" xfId="2" applyNumberFormat="1" applyFont="1" applyBorder="1" applyAlignment="1">
      <alignment horizontal="center" vertical="center"/>
    </xf>
    <xf numFmtId="0" fontId="24" fillId="0" borderId="65" xfId="2" applyFont="1" applyBorder="1" applyAlignment="1">
      <alignment horizontal="justify" textRotation="90"/>
    </xf>
    <xf numFmtId="0" fontId="24" fillId="0" borderId="24" xfId="2" applyFont="1" applyBorder="1" applyAlignment="1">
      <alignment horizontal="justify" textRotation="90"/>
    </xf>
    <xf numFmtId="0" fontId="24" fillId="0" borderId="20" xfId="2" applyFont="1" applyBorder="1" applyAlignment="1">
      <alignment horizontal="justify" textRotation="90"/>
    </xf>
    <xf numFmtId="172" fontId="100" fillId="0" borderId="12" xfId="3" applyNumberFormat="1" applyFont="1" applyBorder="1" applyAlignment="1">
      <alignment horizontal="center" vertical="center"/>
    </xf>
    <xf numFmtId="176" fontId="100" fillId="0" borderId="12" xfId="3" applyNumberFormat="1" applyFont="1" applyBorder="1" applyAlignment="1">
      <alignment horizontal="center" vertical="center"/>
    </xf>
    <xf numFmtId="172" fontId="113" fillId="0" borderId="12" xfId="3" applyNumberFormat="1" applyFont="1" applyBorder="1" applyAlignment="1">
      <alignment horizontal="center" vertical="center"/>
    </xf>
    <xf numFmtId="172" fontId="113" fillId="0" borderId="47" xfId="3" applyNumberFormat="1" applyFont="1" applyBorder="1" applyAlignment="1">
      <alignment horizontal="center" vertical="center"/>
    </xf>
    <xf numFmtId="39" fontId="11" fillId="9" borderId="87" xfId="3" applyNumberFormat="1" applyFont="1" applyFill="1" applyBorder="1" applyAlignment="1">
      <alignment horizontal="right" vertical="center"/>
    </xf>
    <xf numFmtId="172" fontId="114" fillId="0" borderId="90" xfId="3" applyNumberFormat="1" applyFont="1" applyBorder="1" applyAlignment="1">
      <alignment horizontal="center" vertical="center"/>
    </xf>
    <xf numFmtId="172" fontId="114" fillId="0" borderId="91" xfId="3" applyNumberFormat="1" applyFont="1" applyBorder="1" applyAlignment="1">
      <alignment horizontal="center" vertical="center"/>
    </xf>
    <xf numFmtId="177" fontId="2" fillId="0" borderId="12" xfId="3" applyNumberFormat="1" applyBorder="1" applyAlignment="1">
      <alignment horizontal="center" vertical="center"/>
    </xf>
    <xf numFmtId="172" fontId="2" fillId="0" borderId="84" xfId="2" applyNumberFormat="1" applyBorder="1" applyAlignment="1">
      <alignment horizontal="center" vertical="center"/>
    </xf>
    <xf numFmtId="172" fontId="2" fillId="0" borderId="86" xfId="2" applyNumberFormat="1" applyBorder="1" applyAlignment="1">
      <alignment horizontal="center" vertical="center"/>
    </xf>
    <xf numFmtId="0" fontId="2" fillId="0" borderId="0" xfId="2" applyFont="1" applyFill="1" applyBorder="1" applyAlignment="1">
      <alignment horizontal="center"/>
    </xf>
    <xf numFmtId="164" fontId="11" fillId="0" borderId="12" xfId="2" applyNumberFormat="1" applyFont="1" applyBorder="1" applyAlignment="1">
      <alignment horizontal="center" vertical="center" wrapText="1"/>
    </xf>
    <xf numFmtId="164" fontId="108" fillId="0" borderId="1" xfId="2" applyNumberFormat="1" applyFont="1" applyBorder="1" applyAlignment="1">
      <alignment horizontal="center" vertical="center" wrapText="1"/>
    </xf>
    <xf numFmtId="164" fontId="100" fillId="0" borderId="3" xfId="2" applyNumberFormat="1" applyFont="1" applyBorder="1" applyAlignment="1">
      <alignment horizontal="center" vertical="center" wrapText="1"/>
    </xf>
    <xf numFmtId="164" fontId="100" fillId="0" borderId="23" xfId="2" applyNumberFormat="1" applyFont="1" applyBorder="1" applyAlignment="1">
      <alignment horizontal="center" vertical="center" wrapText="1"/>
    </xf>
    <xf numFmtId="164" fontId="100" fillId="0" borderId="22" xfId="2" applyNumberFormat="1" applyFont="1" applyBorder="1" applyAlignment="1">
      <alignment horizontal="center" vertical="center" wrapText="1"/>
    </xf>
    <xf numFmtId="164" fontId="100" fillId="0" borderId="4" xfId="2" applyNumberFormat="1" applyFont="1" applyBorder="1" applyAlignment="1">
      <alignment horizontal="center" vertical="center" wrapText="1"/>
    </xf>
    <xf numFmtId="164" fontId="100" fillId="0" borderId="6" xfId="2" applyNumberFormat="1" applyFont="1" applyBorder="1" applyAlignment="1">
      <alignment horizontal="center" vertical="center" wrapText="1"/>
    </xf>
    <xf numFmtId="164" fontId="109" fillId="0" borderId="12" xfId="2" applyNumberFormat="1" applyFont="1" applyBorder="1" applyAlignment="1">
      <alignment horizontal="justify"/>
    </xf>
    <xf numFmtId="164" fontId="109" fillId="0" borderId="47" xfId="2" applyNumberFormat="1" applyFont="1" applyBorder="1" applyAlignment="1">
      <alignment horizontal="justify"/>
    </xf>
    <xf numFmtId="164" fontId="11" fillId="0" borderId="87" xfId="2" applyNumberFormat="1" applyFont="1" applyBorder="1" applyAlignment="1">
      <alignment horizontal="justify"/>
    </xf>
    <xf numFmtId="164" fontId="110" fillId="0" borderId="88" xfId="2" applyNumberFormat="1" applyFont="1" applyBorder="1" applyAlignment="1">
      <alignment horizontal="justify"/>
    </xf>
    <xf numFmtId="164" fontId="111" fillId="0" borderId="1" xfId="2" applyNumberFormat="1" applyFont="1" applyBorder="1" applyAlignment="1">
      <alignment horizontal="justify"/>
    </xf>
    <xf numFmtId="164" fontId="111" fillId="0" borderId="3" xfId="2" applyNumberFormat="1" applyFont="1" applyBorder="1" applyAlignment="1">
      <alignment horizontal="justify"/>
    </xf>
    <xf numFmtId="164" fontId="111" fillId="0" borderId="23" xfId="2" applyNumberFormat="1" applyFont="1" applyBorder="1" applyAlignment="1">
      <alignment horizontal="justify"/>
    </xf>
    <xf numFmtId="164" fontId="111" fillId="0" borderId="22" xfId="2" applyNumberFormat="1" applyFont="1" applyBorder="1" applyAlignment="1">
      <alignment horizontal="justify"/>
    </xf>
    <xf numFmtId="164" fontId="111" fillId="0" borderId="4" xfId="2" applyNumberFormat="1" applyFont="1" applyBorder="1" applyAlignment="1">
      <alignment horizontal="justify"/>
    </xf>
    <xf numFmtId="164" fontId="111" fillId="0" borderId="6" xfId="2" applyNumberFormat="1" applyFont="1" applyBorder="1" applyAlignment="1">
      <alignment horizontal="justify"/>
    </xf>
    <xf numFmtId="172" fontId="11" fillId="0" borderId="12" xfId="3" applyNumberFormat="1" applyFont="1" applyBorder="1" applyAlignment="1">
      <alignment horizontal="center" vertical="center"/>
    </xf>
    <xf numFmtId="172" fontId="2" fillId="0" borderId="12" xfId="3" applyNumberFormat="1" applyBorder="1" applyAlignment="1">
      <alignment horizontal="center" vertical="center"/>
    </xf>
    <xf numFmtId="172" fontId="64" fillId="0" borderId="12" xfId="3" applyNumberFormat="1" applyFont="1" applyBorder="1" applyAlignment="1">
      <alignment horizontal="center" vertical="center"/>
    </xf>
    <xf numFmtId="172" fontId="64" fillId="0" borderId="47" xfId="3" applyNumberFormat="1" applyFont="1" applyBorder="1" applyAlignment="1">
      <alignment horizontal="center" vertical="center"/>
    </xf>
    <xf numFmtId="39" fontId="117" fillId="0" borderId="87" xfId="3" applyNumberFormat="1" applyFont="1" applyBorder="1" applyAlignment="1">
      <alignment horizontal="right" vertical="center"/>
    </xf>
    <xf numFmtId="0" fontId="25" fillId="0" borderId="65" xfId="2" applyFont="1" applyBorder="1" applyAlignment="1">
      <alignment horizontal="justify" textRotation="90"/>
    </xf>
    <xf numFmtId="0" fontId="25" fillId="0" borderId="24" xfId="2" applyFont="1" applyBorder="1" applyAlignment="1">
      <alignment horizontal="justify" textRotation="90"/>
    </xf>
    <xf numFmtId="0" fontId="25" fillId="0" borderId="20" xfId="2" applyFont="1" applyBorder="1" applyAlignment="1">
      <alignment horizontal="justify" textRotation="90"/>
    </xf>
    <xf numFmtId="0" fontId="107" fillId="0" borderId="65" xfId="2" applyFont="1" applyBorder="1" applyAlignment="1">
      <alignment horizontal="justify" textRotation="90"/>
    </xf>
    <xf numFmtId="0" fontId="107" fillId="0" borderId="24" xfId="2" applyFont="1" applyBorder="1" applyAlignment="1">
      <alignment horizontal="justify" textRotation="90"/>
    </xf>
    <xf numFmtId="0" fontId="107" fillId="0" borderId="20" xfId="2" applyFont="1" applyBorder="1" applyAlignment="1">
      <alignment horizontal="justify" textRotation="90"/>
    </xf>
    <xf numFmtId="0" fontId="100" fillId="0" borderId="65" xfId="2" applyFont="1" applyBorder="1" applyAlignment="1">
      <alignment horizontal="justify" textRotation="90"/>
    </xf>
    <xf numFmtId="0" fontId="100" fillId="0" borderId="24" xfId="2" applyFont="1" applyBorder="1" applyAlignment="1">
      <alignment horizontal="justify" textRotation="90"/>
    </xf>
    <xf numFmtId="0" fontId="100" fillId="0" borderId="20" xfId="2" applyFont="1" applyBorder="1" applyAlignment="1">
      <alignment horizontal="justify" textRotation="90"/>
    </xf>
    <xf numFmtId="172" fontId="11" fillId="0" borderId="47" xfId="3" applyNumberFormat="1" applyFont="1" applyBorder="1" applyAlignment="1">
      <alignment horizontal="center"/>
    </xf>
    <xf numFmtId="172" fontId="11" fillId="0" borderId="25" xfId="3" applyNumberFormat="1" applyFont="1" applyBorder="1" applyAlignment="1">
      <alignment horizontal="center"/>
    </xf>
    <xf numFmtId="176" fontId="11" fillId="0" borderId="47" xfId="3" applyNumberFormat="1" applyFont="1" applyBorder="1" applyAlignment="1">
      <alignment horizontal="center"/>
    </xf>
    <xf numFmtId="176" fontId="11" fillId="0" borderId="25" xfId="3" applyNumberFormat="1" applyFont="1" applyBorder="1" applyAlignment="1">
      <alignment horizontal="center"/>
    </xf>
    <xf numFmtId="172" fontId="64" fillId="0" borderId="47" xfId="3" applyNumberFormat="1" applyFont="1" applyBorder="1" applyAlignment="1">
      <alignment horizontal="center"/>
    </xf>
    <xf numFmtId="172" fontId="64" fillId="0" borderId="72" xfId="3" applyNumberFormat="1" applyFont="1" applyBorder="1" applyAlignment="1">
      <alignment horizontal="center"/>
    </xf>
    <xf numFmtId="39" fontId="11" fillId="0" borderId="87" xfId="3" applyNumberFormat="1" applyFont="1" applyBorder="1" applyAlignment="1">
      <alignment horizontal="right"/>
    </xf>
    <xf numFmtId="172" fontId="114" fillId="0" borderId="88" xfId="3" applyNumberFormat="1" applyFont="1" applyBorder="1" applyAlignment="1">
      <alignment horizontal="center"/>
    </xf>
    <xf numFmtId="177" fontId="2" fillId="0" borderId="47" xfId="3" applyNumberFormat="1" applyBorder="1" applyAlignment="1">
      <alignment horizontal="center"/>
    </xf>
    <xf numFmtId="177" fontId="2" fillId="0" borderId="25" xfId="3" applyNumberFormat="1" applyBorder="1" applyAlignment="1">
      <alignment horizontal="center"/>
    </xf>
    <xf numFmtId="178" fontId="2" fillId="0" borderId="23" xfId="2" applyNumberFormat="1" applyBorder="1" applyAlignment="1">
      <alignment horizontal="center"/>
    </xf>
    <xf numFmtId="178" fontId="2" fillId="0" borderId="0" xfId="2" applyNumberFormat="1" applyAlignment="1">
      <alignment horizontal="center"/>
    </xf>
    <xf numFmtId="172" fontId="11" fillId="0" borderId="47" xfId="3" applyNumberFormat="1" applyFont="1" applyFill="1" applyBorder="1" applyAlignment="1">
      <alignment horizontal="center"/>
    </xf>
    <xf numFmtId="172" fontId="11" fillId="0" borderId="25" xfId="3" applyNumberFormat="1" applyFont="1" applyFill="1" applyBorder="1" applyAlignment="1">
      <alignment horizontal="center"/>
    </xf>
    <xf numFmtId="172" fontId="2" fillId="0" borderId="47" xfId="3" applyNumberFormat="1" applyFont="1" applyFill="1" applyBorder="1" applyAlignment="1">
      <alignment horizontal="center"/>
    </xf>
    <xf numFmtId="172" fontId="2" fillId="0" borderId="25" xfId="3" applyNumberFormat="1" applyFont="1" applyFill="1" applyBorder="1" applyAlignment="1">
      <alignment horizontal="center"/>
    </xf>
    <xf numFmtId="176" fontId="100" fillId="0" borderId="47" xfId="3" applyNumberFormat="1" applyFont="1" applyBorder="1" applyAlignment="1">
      <alignment horizontal="center"/>
    </xf>
    <xf numFmtId="176" fontId="100" fillId="0" borderId="25" xfId="3" applyNumberFormat="1" applyFont="1" applyBorder="1" applyAlignment="1">
      <alignment horizontal="center"/>
    </xf>
    <xf numFmtId="172" fontId="121" fillId="0" borderId="47" xfId="3" applyNumberFormat="1" applyFont="1" applyBorder="1" applyAlignment="1">
      <alignment horizontal="center"/>
    </xf>
    <xf numFmtId="172" fontId="121" fillId="0" borderId="25" xfId="3" applyNumberFormat="1" applyFont="1" applyBorder="1" applyAlignment="1">
      <alignment horizontal="center"/>
    </xf>
    <xf numFmtId="177" fontId="2" fillId="0" borderId="47" xfId="3" applyNumberFormat="1" applyFont="1" applyBorder="1" applyAlignment="1">
      <alignment horizontal="center"/>
    </xf>
    <xf numFmtId="177" fontId="2" fillId="0" borderId="25" xfId="3" applyNumberFormat="1" applyFont="1" applyBorder="1" applyAlignment="1">
      <alignment horizontal="center"/>
    </xf>
    <xf numFmtId="172" fontId="114" fillId="0" borderId="90" xfId="3" applyNumberFormat="1" applyFont="1" applyBorder="1" applyAlignment="1">
      <alignment horizontal="center"/>
    </xf>
    <xf numFmtId="172" fontId="114" fillId="0" borderId="91" xfId="3" applyNumberFormat="1" applyFont="1" applyBorder="1" applyAlignment="1">
      <alignment horizontal="center"/>
    </xf>
    <xf numFmtId="168" fontId="2" fillId="0" borderId="0" xfId="2" applyNumberFormat="1" applyAlignment="1">
      <alignment horizontal="center"/>
    </xf>
    <xf numFmtId="2" fontId="2" fillId="0" borderId="12" xfId="2" applyNumberFormat="1" applyBorder="1" applyAlignment="1">
      <alignment horizontal="center"/>
    </xf>
    <xf numFmtId="4" fontId="123" fillId="8" borderId="47" xfId="3" applyNumberFormat="1" applyFont="1" applyFill="1" applyBorder="1" applyAlignment="1">
      <alignment horizontal="center"/>
    </xf>
    <xf numFmtId="4" fontId="123" fillId="8" borderId="25" xfId="3" applyNumberFormat="1" applyFont="1" applyFill="1" applyBorder="1" applyAlignment="1">
      <alignment horizontal="center"/>
    </xf>
    <xf numFmtId="176" fontId="124" fillId="8" borderId="47" xfId="3" applyNumberFormat="1" applyFont="1" applyFill="1" applyBorder="1" applyAlignment="1">
      <alignment horizontal="center"/>
    </xf>
    <xf numFmtId="176" fontId="124" fillId="8" borderId="25" xfId="3" applyNumberFormat="1" applyFont="1" applyFill="1" applyBorder="1" applyAlignment="1">
      <alignment horizontal="center"/>
    </xf>
    <xf numFmtId="179" fontId="125" fillId="8" borderId="47" xfId="3" applyNumberFormat="1" applyFont="1" applyFill="1" applyBorder="1" applyAlignment="1">
      <alignment horizontal="right"/>
    </xf>
    <xf numFmtId="179" fontId="125" fillId="8" borderId="25" xfId="3" applyNumberFormat="1" applyFont="1" applyFill="1" applyBorder="1" applyAlignment="1">
      <alignment horizontal="right"/>
    </xf>
    <xf numFmtId="172" fontId="126" fillId="8" borderId="47" xfId="3" applyNumberFormat="1" applyFont="1" applyFill="1" applyBorder="1" applyAlignment="1">
      <alignment horizontal="center"/>
    </xf>
    <xf numFmtId="172" fontId="126" fillId="8" borderId="25" xfId="3" applyNumberFormat="1" applyFont="1" applyFill="1" applyBorder="1" applyAlignment="1">
      <alignment horizontal="center"/>
    </xf>
    <xf numFmtId="39" fontId="124" fillId="8" borderId="47" xfId="3" applyNumberFormat="1" applyFont="1" applyFill="1" applyBorder="1" applyAlignment="1">
      <alignment horizontal="right"/>
    </xf>
    <xf numFmtId="39" fontId="124" fillId="8" borderId="25" xfId="3" applyNumberFormat="1" applyFont="1" applyFill="1" applyBorder="1" applyAlignment="1">
      <alignment horizontal="right"/>
    </xf>
    <xf numFmtId="0" fontId="2" fillId="0" borderId="12" xfId="2" applyBorder="1" applyAlignment="1">
      <alignment horizontal="center"/>
    </xf>
    <xf numFmtId="2" fontId="133" fillId="0" borderId="12" xfId="2" applyNumberFormat="1" applyFont="1" applyBorder="1" applyAlignment="1">
      <alignment horizontal="center"/>
    </xf>
    <xf numFmtId="183" fontId="2" fillId="5" borderId="0" xfId="2" applyNumberFormat="1" applyFont="1" applyFill="1" applyBorder="1" applyAlignment="1">
      <alignment horizontal="center"/>
    </xf>
    <xf numFmtId="0" fontId="2" fillId="5" borderId="0" xfId="2" applyFont="1" applyFill="1" applyBorder="1" applyAlignment="1">
      <alignment horizontal="center"/>
    </xf>
    <xf numFmtId="182" fontId="2" fillId="0" borderId="0" xfId="2" applyNumberFormat="1" applyFont="1" applyFill="1" applyBorder="1" applyAlignment="1">
      <alignment horizontal="center"/>
    </xf>
    <xf numFmtId="183" fontId="41" fillId="2" borderId="0" xfId="1" applyNumberFormat="1" applyFont="1" applyFill="1" applyBorder="1" applyAlignment="1">
      <alignment horizontal="center"/>
    </xf>
    <xf numFmtId="182" fontId="64" fillId="0" borderId="47" xfId="2" applyNumberFormat="1" applyFont="1" applyFill="1" applyBorder="1" applyAlignment="1">
      <alignment horizontal="center"/>
    </xf>
    <xf numFmtId="182" fontId="64" fillId="0" borderId="72" xfId="2" applyNumberFormat="1" applyFont="1" applyFill="1" applyBorder="1" applyAlignment="1">
      <alignment horizontal="center"/>
    </xf>
    <xf numFmtId="182" fontId="64" fillId="0" borderId="25" xfId="2" applyNumberFormat="1" applyFont="1" applyFill="1" applyBorder="1" applyAlignment="1">
      <alignment horizontal="center"/>
    </xf>
    <xf numFmtId="2" fontId="2" fillId="0" borderId="0" xfId="2" applyNumberFormat="1" applyFont="1" applyFill="1" applyBorder="1" applyAlignment="1">
      <alignment horizontal="center"/>
    </xf>
    <xf numFmtId="2" fontId="64" fillId="5" borderId="0" xfId="2" applyNumberFormat="1" applyFont="1" applyFill="1" applyBorder="1" applyAlignment="1">
      <alignment horizontal="center"/>
    </xf>
    <xf numFmtId="0" fontId="139" fillId="0" borderId="2" xfId="2" applyFont="1" applyFill="1" applyBorder="1" applyAlignment="1">
      <alignment horizontal="center"/>
    </xf>
    <xf numFmtId="2" fontId="140" fillId="0" borderId="2" xfId="2" applyNumberFormat="1" applyFont="1" applyFill="1" applyBorder="1" applyAlignment="1">
      <alignment horizontal="center"/>
    </xf>
    <xf numFmtId="0" fontId="139" fillId="0" borderId="0" xfId="2" applyFont="1" applyFill="1" applyBorder="1" applyAlignment="1">
      <alignment horizontal="center"/>
    </xf>
    <xf numFmtId="2" fontId="140" fillId="0" borderId="0" xfId="2" applyNumberFormat="1" applyFont="1" applyFill="1" applyBorder="1" applyAlignment="1">
      <alignment horizontal="center"/>
    </xf>
    <xf numFmtId="2" fontId="144" fillId="0" borderId="0" xfId="2" applyNumberFormat="1" applyFont="1" applyFill="1" applyBorder="1" applyAlignment="1">
      <alignment horizontal="center"/>
    </xf>
    <xf numFmtId="2" fontId="144" fillId="0" borderId="22" xfId="2" applyNumberFormat="1" applyFont="1" applyFill="1" applyBorder="1" applyAlignment="1">
      <alignment horizontal="center"/>
    </xf>
    <xf numFmtId="2" fontId="2" fillId="0" borderId="102" xfId="2" applyNumberFormat="1" applyBorder="1" applyAlignment="1">
      <alignment horizontal="center"/>
    </xf>
    <xf numFmtId="164" fontId="2" fillId="0" borderId="23" xfId="2" applyNumberFormat="1" applyBorder="1" applyAlignment="1">
      <alignment horizontal="center"/>
    </xf>
    <xf numFmtId="164" fontId="2" fillId="0" borderId="22" xfId="2" applyNumberFormat="1" applyBorder="1" applyAlignment="1">
      <alignment horizontal="center"/>
    </xf>
    <xf numFmtId="178" fontId="2" fillId="0" borderId="0" xfId="2" applyNumberFormat="1" applyFont="1" applyFill="1" applyBorder="1" applyAlignment="1">
      <alignment horizontal="center"/>
    </xf>
    <xf numFmtId="164" fontId="148" fillId="0" borderId="0" xfId="6" applyNumberFormat="1" applyFill="1" applyBorder="1" applyAlignment="1" applyProtection="1">
      <alignment horizontal="center"/>
    </xf>
    <xf numFmtId="164" fontId="2" fillId="0" borderId="0" xfId="2" applyNumberFormat="1" applyFont="1" applyFill="1" applyBorder="1" applyAlignment="1">
      <alignment horizontal="center"/>
    </xf>
    <xf numFmtId="172" fontId="113" fillId="0" borderId="47" xfId="3" applyNumberFormat="1" applyFont="1" applyBorder="1" applyAlignment="1">
      <alignment horizontal="center"/>
    </xf>
    <xf numFmtId="172" fontId="113" fillId="0" borderId="25" xfId="3" applyNumberFormat="1" applyFont="1" applyBorder="1" applyAlignment="1">
      <alignment horizontal="center"/>
    </xf>
    <xf numFmtId="172" fontId="64" fillId="0" borderId="104" xfId="3" applyNumberFormat="1" applyFont="1" applyBorder="1" applyAlignment="1">
      <alignment horizontal="center"/>
    </xf>
    <xf numFmtId="39" fontId="11" fillId="0" borderId="75" xfId="3" applyNumberFormat="1" applyFont="1" applyBorder="1" applyAlignment="1">
      <alignment horizontal="right"/>
    </xf>
    <xf numFmtId="39" fontId="11" fillId="0" borderId="76" xfId="3" applyNumberFormat="1" applyFont="1" applyBorder="1" applyAlignment="1">
      <alignment horizontal="right"/>
    </xf>
    <xf numFmtId="186" fontId="2" fillId="0" borderId="0" xfId="2" applyNumberFormat="1" applyFont="1" applyFill="1" applyBorder="1" applyAlignment="1">
      <alignment horizontal="center"/>
    </xf>
    <xf numFmtId="4" fontId="84" fillId="0" borderId="47" xfId="3" applyNumberFormat="1" applyFont="1" applyBorder="1" applyAlignment="1">
      <alignment horizontal="center"/>
    </xf>
    <xf numFmtId="4" fontId="84" fillId="0" borderId="25" xfId="3" applyNumberFormat="1" applyFont="1" applyBorder="1" applyAlignment="1">
      <alignment horizontal="center"/>
    </xf>
    <xf numFmtId="176" fontId="150" fillId="0" borderId="47" xfId="3" applyNumberFormat="1" applyFont="1" applyFill="1" applyBorder="1" applyAlignment="1">
      <alignment horizontal="center"/>
    </xf>
    <xf numFmtId="176" fontId="150" fillId="0" borderId="25" xfId="3" applyNumberFormat="1" applyFont="1" applyFill="1" applyBorder="1" applyAlignment="1">
      <alignment horizontal="center"/>
    </xf>
    <xf numFmtId="39" fontId="151" fillId="0" borderId="47" xfId="3" applyNumberFormat="1" applyFont="1" applyBorder="1" applyAlignment="1">
      <alignment horizontal="right"/>
    </xf>
    <xf numFmtId="39" fontId="151" fillId="0" borderId="25" xfId="3" applyNumberFormat="1" applyFont="1" applyBorder="1" applyAlignment="1">
      <alignment horizontal="right"/>
    </xf>
    <xf numFmtId="172" fontId="152" fillId="0" borderId="47" xfId="3" applyNumberFormat="1" applyFont="1" applyFill="1" applyBorder="1" applyAlignment="1">
      <alignment horizontal="center"/>
    </xf>
    <xf numFmtId="172" fontId="152" fillId="0" borderId="72" xfId="3" applyNumberFormat="1" applyFont="1" applyFill="1" applyBorder="1" applyAlignment="1">
      <alignment horizontal="center"/>
    </xf>
    <xf numFmtId="39" fontId="153" fillId="0" borderId="87" xfId="3" applyNumberFormat="1" applyFont="1" applyBorder="1" applyAlignment="1">
      <alignment horizontal="right"/>
    </xf>
    <xf numFmtId="177" fontId="121" fillId="0" borderId="47" xfId="3" applyNumberFormat="1" applyFont="1" applyBorder="1" applyAlignment="1">
      <alignment horizontal="center"/>
    </xf>
    <xf numFmtId="177" fontId="121" fillId="0" borderId="25" xfId="3" applyNumberFormat="1" applyFont="1" applyBorder="1" applyAlignment="1">
      <alignment horizontal="center"/>
    </xf>
    <xf numFmtId="172" fontId="133" fillId="8" borderId="47" xfId="3" applyNumberFormat="1" applyFont="1" applyFill="1" applyBorder="1" applyAlignment="1">
      <alignment horizontal="center"/>
    </xf>
    <xf numFmtId="172" fontId="133" fillId="8" borderId="25" xfId="3" applyNumberFormat="1" applyFont="1" applyFill="1" applyBorder="1" applyAlignment="1">
      <alignment horizontal="center"/>
    </xf>
    <xf numFmtId="172" fontId="149" fillId="8" borderId="47" xfId="3" applyNumberFormat="1" applyFont="1" applyFill="1" applyBorder="1" applyAlignment="1">
      <alignment horizontal="center"/>
    </xf>
    <xf numFmtId="172" fontId="149" fillId="8" borderId="25" xfId="3" applyNumberFormat="1" applyFont="1" applyFill="1" applyBorder="1" applyAlignment="1">
      <alignment horizontal="center"/>
    </xf>
    <xf numFmtId="179" fontId="133" fillId="8" borderId="47" xfId="3" applyNumberFormat="1" applyFont="1" applyFill="1" applyBorder="1" applyAlignment="1">
      <alignment horizontal="right"/>
    </xf>
    <xf numFmtId="179" fontId="133" fillId="8" borderId="25" xfId="3" applyNumberFormat="1" applyFont="1" applyFill="1" applyBorder="1" applyAlignment="1">
      <alignment horizontal="right"/>
    </xf>
    <xf numFmtId="39" fontId="100" fillId="8" borderId="105" xfId="3" applyNumberFormat="1" applyFont="1" applyFill="1" applyBorder="1" applyAlignment="1">
      <alignment horizontal="right"/>
    </xf>
    <xf numFmtId="39" fontId="100" fillId="8" borderId="106" xfId="3" applyNumberFormat="1" applyFont="1" applyFill="1" applyBorder="1" applyAlignment="1">
      <alignment horizontal="right"/>
    </xf>
    <xf numFmtId="164" fontId="62" fillId="0" borderId="1" xfId="2" applyNumberFormat="1" applyFont="1" applyBorder="1" applyAlignment="1">
      <alignment horizontal="center"/>
    </xf>
    <xf numFmtId="164" fontId="62" fillId="0" borderId="2" xfId="2" applyNumberFormat="1" applyFont="1" applyBorder="1" applyAlignment="1">
      <alignment horizontal="center"/>
    </xf>
    <xf numFmtId="164" fontId="62" fillId="0" borderId="3" xfId="2" applyNumberFormat="1" applyFont="1" applyBorder="1" applyAlignment="1">
      <alignment horizontal="center"/>
    </xf>
    <xf numFmtId="164" fontId="155" fillId="0" borderId="1" xfId="2" applyNumberFormat="1" applyFont="1" applyBorder="1" applyAlignment="1">
      <alignment horizontal="center"/>
    </xf>
    <xf numFmtId="164" fontId="155" fillId="0" borderId="2" xfId="2" applyNumberFormat="1" applyFont="1" applyBorder="1" applyAlignment="1">
      <alignment horizontal="center"/>
    </xf>
    <xf numFmtId="164" fontId="155" fillId="0" borderId="3" xfId="2" applyNumberFormat="1" applyFont="1" applyBorder="1" applyAlignment="1">
      <alignment horizontal="center"/>
    </xf>
    <xf numFmtId="164" fontId="2" fillId="0" borderId="52" xfId="2" applyNumberFormat="1" applyBorder="1" applyAlignment="1">
      <alignment horizontal="left" indent="1"/>
    </xf>
    <xf numFmtId="164" fontId="132" fillId="0" borderId="52" xfId="2" applyNumberFormat="1" applyFont="1" applyBorder="1" applyAlignment="1">
      <alignment horizontal="center"/>
    </xf>
    <xf numFmtId="164" fontId="6" fillId="0" borderId="52" xfId="2" applyNumberFormat="1" applyFont="1" applyBorder="1" applyAlignment="1">
      <alignment horizontal="center"/>
    </xf>
    <xf numFmtId="164" fontId="156" fillId="0" borderId="52" xfId="2" applyNumberFormat="1" applyFont="1" applyBorder="1" applyAlignment="1">
      <alignment horizontal="center"/>
    </xf>
    <xf numFmtId="164" fontId="6" fillId="0" borderId="57" xfId="2" applyNumberFormat="1" applyFont="1" applyBorder="1" applyAlignment="1">
      <alignment horizontal="center"/>
    </xf>
    <xf numFmtId="164" fontId="157" fillId="0" borderId="107" xfId="2" applyNumberFormat="1" applyFont="1" applyFill="1" applyBorder="1" applyAlignment="1">
      <alignment horizontal="center"/>
    </xf>
    <xf numFmtId="164" fontId="157" fillId="0" borderId="108" xfId="2" applyNumberFormat="1" applyFont="1" applyFill="1" applyBorder="1" applyAlignment="1">
      <alignment horizontal="center"/>
    </xf>
    <xf numFmtId="164" fontId="157" fillId="0" borderId="109" xfId="2" applyNumberFormat="1" applyFont="1" applyFill="1" applyBorder="1" applyAlignment="1">
      <alignment horizontal="center"/>
    </xf>
    <xf numFmtId="164" fontId="62" fillId="0" borderId="110" xfId="2" applyNumberFormat="1" applyFont="1" applyBorder="1" applyAlignment="1">
      <alignment horizontal="center"/>
    </xf>
    <xf numFmtId="164" fontId="62" fillId="0" borderId="111" xfId="2" applyNumberFormat="1" applyFont="1" applyBorder="1" applyAlignment="1">
      <alignment horizontal="center"/>
    </xf>
    <xf numFmtId="164" fontId="155" fillId="0" borderId="112" xfId="2" applyNumberFormat="1" applyFont="1" applyBorder="1" applyAlignment="1">
      <alignment horizontal="center"/>
    </xf>
    <xf numFmtId="164" fontId="155" fillId="0" borderId="110" xfId="2" applyNumberFormat="1" applyFont="1" applyBorder="1" applyAlignment="1">
      <alignment horizontal="center"/>
    </xf>
    <xf numFmtId="164" fontId="155" fillId="0" borderId="111" xfId="2" applyNumberFormat="1" applyFont="1" applyBorder="1" applyAlignment="1">
      <alignment horizontal="center"/>
    </xf>
    <xf numFmtId="164" fontId="2" fillId="0" borderId="20" xfId="2" applyNumberFormat="1" applyBorder="1" applyAlignment="1">
      <alignment horizontal="left" indent="1"/>
    </xf>
    <xf numFmtId="178" fontId="159" fillId="0" borderId="20" xfId="2" applyNumberFormat="1" applyFont="1" applyBorder="1" applyAlignment="1">
      <alignment horizontal="center"/>
    </xf>
    <xf numFmtId="2" fontId="6" fillId="0" borderId="20" xfId="2" applyNumberFormat="1" applyFont="1" applyBorder="1" applyAlignment="1">
      <alignment horizontal="center"/>
    </xf>
    <xf numFmtId="178" fontId="160" fillId="0" borderId="20" xfId="2" applyNumberFormat="1" applyFont="1" applyBorder="1" applyAlignment="1">
      <alignment horizontal="center"/>
    </xf>
    <xf numFmtId="178" fontId="6" fillId="0" borderId="20" xfId="2" applyNumberFormat="1" applyFont="1" applyBorder="1" applyAlignment="1">
      <alignment horizontal="center"/>
    </xf>
    <xf numFmtId="178" fontId="6" fillId="0" borderId="4" xfId="2" applyNumberFormat="1" applyFont="1" applyBorder="1" applyAlignment="1">
      <alignment horizontal="center"/>
    </xf>
    <xf numFmtId="172" fontId="161" fillId="0" borderId="113" xfId="2" applyNumberFormat="1" applyFont="1" applyFill="1" applyBorder="1" applyAlignment="1">
      <alignment horizontal="center"/>
    </xf>
    <xf numFmtId="172" fontId="161" fillId="0" borderId="114" xfId="2" applyNumberFormat="1" applyFont="1" applyFill="1" applyBorder="1" applyAlignment="1">
      <alignment horizontal="center"/>
    </xf>
    <xf numFmtId="172" fontId="161" fillId="0" borderId="115" xfId="2" applyNumberFormat="1" applyFont="1" applyFill="1" applyBorder="1" applyAlignment="1">
      <alignment horizontal="center"/>
    </xf>
    <xf numFmtId="178" fontId="93" fillId="0" borderId="6" xfId="2" applyNumberFormat="1" applyFont="1" applyBorder="1" applyAlignment="1">
      <alignment horizontal="center"/>
    </xf>
    <xf numFmtId="178" fontId="93" fillId="0" borderId="20" xfId="2" applyNumberFormat="1" applyFont="1" applyBorder="1" applyAlignment="1">
      <alignment horizontal="center"/>
    </xf>
    <xf numFmtId="187" fontId="162" fillId="0" borderId="20" xfId="2" applyNumberFormat="1" applyFont="1" applyBorder="1" applyAlignment="1">
      <alignment horizontal="center"/>
    </xf>
    <xf numFmtId="187" fontId="162" fillId="0" borderId="12" xfId="2" applyNumberFormat="1" applyFont="1" applyBorder="1" applyAlignment="1">
      <alignment horizontal="center"/>
    </xf>
    <xf numFmtId="164" fontId="2" fillId="0" borderId="12" xfId="2" applyNumberFormat="1" applyBorder="1" applyAlignment="1">
      <alignment horizontal="left" indent="1"/>
    </xf>
    <xf numFmtId="178" fontId="159" fillId="0" borderId="12" xfId="2" applyNumberFormat="1" applyFont="1" applyBorder="1" applyAlignment="1">
      <alignment horizontal="center"/>
    </xf>
    <xf numFmtId="2" fontId="6" fillId="0" borderId="12" xfId="2" applyNumberFormat="1" applyFont="1" applyBorder="1" applyAlignment="1">
      <alignment horizontal="center"/>
    </xf>
    <xf numFmtId="178" fontId="160" fillId="0" borderId="12" xfId="2" applyNumberFormat="1" applyFont="1" applyBorder="1" applyAlignment="1">
      <alignment horizontal="center"/>
    </xf>
    <xf numFmtId="178" fontId="6" fillId="0" borderId="12" xfId="2" applyNumberFormat="1" applyFont="1" applyBorder="1" applyAlignment="1">
      <alignment horizontal="center"/>
    </xf>
    <xf numFmtId="178" fontId="6" fillId="0" borderId="47" xfId="2" applyNumberFormat="1" applyFont="1" applyBorder="1" applyAlignment="1">
      <alignment horizontal="center"/>
    </xf>
    <xf numFmtId="172" fontId="161" fillId="0" borderId="73" xfId="2" applyNumberFormat="1" applyFont="1" applyFill="1" applyBorder="1" applyAlignment="1">
      <alignment horizontal="center"/>
    </xf>
    <xf numFmtId="172" fontId="161" fillId="0" borderId="116" xfId="2" applyNumberFormat="1" applyFont="1" applyFill="1" applyBorder="1" applyAlignment="1">
      <alignment horizontal="center"/>
    </xf>
    <xf numFmtId="172" fontId="161" fillId="0" borderId="74" xfId="2" applyNumberFormat="1" applyFont="1" applyFill="1" applyBorder="1" applyAlignment="1">
      <alignment horizontal="center"/>
    </xf>
    <xf numFmtId="178" fontId="93" fillId="0" borderId="25" xfId="2" applyNumberFormat="1" applyFont="1" applyBorder="1" applyAlignment="1">
      <alignment horizontal="center"/>
    </xf>
    <xf numFmtId="178" fontId="93" fillId="0" borderId="12" xfId="2" applyNumberFormat="1" applyFont="1" applyBorder="1" applyAlignment="1">
      <alignment horizontal="center"/>
    </xf>
    <xf numFmtId="188" fontId="11" fillId="0" borderId="0" xfId="2" applyNumberFormat="1" applyFont="1" applyBorder="1" applyAlignment="1">
      <alignment horizontal="center"/>
    </xf>
    <xf numFmtId="172" fontId="128" fillId="0" borderId="81" xfId="2" applyNumberFormat="1" applyFont="1" applyBorder="1" applyAlignment="1">
      <alignment horizontal="center"/>
    </xf>
    <xf numFmtId="172" fontId="128" fillId="0" borderId="82" xfId="2" applyNumberFormat="1" applyFont="1" applyBorder="1" applyAlignment="1">
      <alignment horizontal="center"/>
    </xf>
    <xf numFmtId="172" fontId="128" fillId="0" borderId="83" xfId="2" applyNumberFormat="1" applyFont="1" applyBorder="1" applyAlignment="1">
      <alignment horizontal="center"/>
    </xf>
    <xf numFmtId="2" fontId="167" fillId="0" borderId="12" xfId="2" applyNumberFormat="1" applyFont="1" applyBorder="1" applyAlignment="1">
      <alignment horizontal="center"/>
    </xf>
    <xf numFmtId="178" fontId="128" fillId="0" borderId="12" xfId="2" applyNumberFormat="1" applyFont="1" applyBorder="1" applyAlignment="1">
      <alignment horizontal="center"/>
    </xf>
    <xf numFmtId="172" fontId="163" fillId="0" borderId="73" xfId="2" applyNumberFormat="1" applyFont="1" applyFill="1" applyBorder="1" applyAlignment="1">
      <alignment horizontal="center"/>
    </xf>
    <xf numFmtId="172" fontId="163" fillId="0" borderId="116" xfId="2" applyNumberFormat="1" applyFont="1" applyFill="1" applyBorder="1" applyAlignment="1">
      <alignment horizontal="center"/>
    </xf>
    <xf numFmtId="172" fontId="163" fillId="0" borderId="74" xfId="2" applyNumberFormat="1" applyFont="1" applyFill="1" applyBorder="1" applyAlignment="1">
      <alignment horizontal="center"/>
    </xf>
    <xf numFmtId="187" fontId="164" fillId="0" borderId="12" xfId="2" applyNumberFormat="1" applyFont="1" applyBorder="1" applyAlignment="1">
      <alignment horizontal="center"/>
    </xf>
    <xf numFmtId="178" fontId="132" fillId="0" borderId="12" xfId="2" applyNumberFormat="1" applyFont="1" applyBorder="1" applyAlignment="1">
      <alignment horizontal="center"/>
    </xf>
    <xf numFmtId="0" fontId="167" fillId="0" borderId="12" xfId="2" applyFont="1" applyBorder="1" applyAlignment="1">
      <alignment horizontal="center"/>
    </xf>
    <xf numFmtId="2" fontId="167" fillId="0" borderId="29" xfId="2" applyNumberFormat="1" applyFont="1" applyBorder="1" applyAlignment="1">
      <alignment horizontal="center"/>
    </xf>
    <xf numFmtId="164" fontId="171" fillId="0" borderId="1" xfId="2" applyNumberFormat="1" applyFont="1" applyBorder="1" applyAlignment="1">
      <alignment horizontal="center"/>
    </xf>
    <xf numFmtId="164" fontId="171" fillId="0" borderId="2" xfId="2" applyNumberFormat="1" applyFont="1" applyBorder="1" applyAlignment="1">
      <alignment horizontal="center"/>
    </xf>
    <xf numFmtId="164" fontId="171" fillId="0" borderId="3" xfId="2" applyNumberFormat="1" applyFont="1" applyBorder="1" applyAlignment="1">
      <alignment horizontal="center"/>
    </xf>
    <xf numFmtId="164" fontId="128" fillId="0" borderId="52" xfId="2" applyNumberFormat="1" applyFont="1" applyBorder="1" applyAlignment="1">
      <alignment horizontal="center"/>
    </xf>
    <xf numFmtId="164" fontId="171" fillId="0" borderId="110" xfId="2" applyNumberFormat="1" applyFont="1" applyBorder="1" applyAlignment="1">
      <alignment horizontal="center"/>
    </xf>
    <xf numFmtId="164" fontId="171" fillId="0" borderId="111" xfId="2" applyNumberFormat="1" applyFont="1" applyBorder="1" applyAlignment="1">
      <alignment horizontal="center"/>
    </xf>
    <xf numFmtId="178" fontId="132" fillId="0" borderId="20" xfId="2" applyNumberFormat="1" applyFont="1" applyBorder="1" applyAlignment="1">
      <alignment horizontal="center"/>
    </xf>
    <xf numFmtId="178" fontId="128" fillId="0" borderId="20" xfId="2" applyNumberFormat="1" applyFont="1" applyBorder="1" applyAlignment="1">
      <alignment horizontal="center"/>
    </xf>
    <xf numFmtId="178" fontId="164" fillId="0" borderId="6" xfId="2" applyNumberFormat="1" applyFont="1" applyBorder="1" applyAlignment="1">
      <alignment horizontal="center"/>
    </xf>
    <xf numFmtId="178" fontId="164" fillId="0" borderId="20" xfId="2" applyNumberFormat="1" applyFont="1" applyBorder="1" applyAlignment="1">
      <alignment horizontal="center"/>
    </xf>
    <xf numFmtId="178" fontId="162" fillId="0" borderId="20" xfId="2" applyNumberFormat="1" applyFont="1" applyBorder="1" applyAlignment="1">
      <alignment horizontal="center"/>
    </xf>
    <xf numFmtId="178" fontId="6" fillId="0" borderId="72" xfId="2" applyNumberFormat="1" applyFont="1" applyBorder="1" applyAlignment="1">
      <alignment horizontal="center"/>
    </xf>
    <xf numFmtId="178" fontId="6" fillId="0" borderId="25" xfId="2" applyNumberFormat="1" applyFont="1" applyBorder="1" applyAlignment="1">
      <alignment horizontal="center"/>
    </xf>
    <xf numFmtId="178" fontId="164" fillId="0" borderId="25" xfId="2" applyNumberFormat="1" applyFont="1" applyBorder="1" applyAlignment="1">
      <alignment horizontal="center"/>
    </xf>
    <xf numFmtId="178" fontId="164" fillId="0" borderId="12" xfId="2" applyNumberFormat="1" applyFont="1" applyBorder="1" applyAlignment="1">
      <alignment horizontal="center"/>
    </xf>
    <xf numFmtId="178" fontId="162" fillId="0" borderId="12" xfId="2" applyNumberFormat="1" applyFont="1" applyBorder="1" applyAlignment="1">
      <alignment horizontal="center"/>
    </xf>
    <xf numFmtId="172" fontId="164" fillId="0" borderId="12" xfId="2" applyNumberFormat="1" applyFont="1" applyBorder="1" applyAlignment="1">
      <alignment horizontal="center"/>
    </xf>
    <xf numFmtId="178" fontId="100" fillId="0" borderId="12" xfId="2" applyNumberFormat="1" applyFont="1" applyBorder="1" applyAlignment="1">
      <alignment horizontal="center"/>
    </xf>
    <xf numFmtId="164" fontId="43" fillId="0" borderId="49" xfId="2" applyNumberFormat="1" applyFont="1" applyBorder="1" applyAlignment="1">
      <alignment horizontal="center" vertical="center"/>
    </xf>
    <xf numFmtId="164" fontId="43" fillId="0" borderId="25" xfId="2" applyNumberFormat="1" applyFont="1" applyBorder="1" applyAlignment="1">
      <alignment horizontal="center" vertical="center"/>
    </xf>
    <xf numFmtId="172" fontId="50" fillId="0" borderId="47" xfId="3" applyNumberFormat="1" applyFont="1" applyBorder="1" applyAlignment="1">
      <alignment horizontal="center" vertical="center"/>
    </xf>
    <xf numFmtId="172" fontId="50" fillId="0" borderId="39" xfId="3" applyNumberFormat="1" applyFont="1" applyBorder="1" applyAlignment="1">
      <alignment horizontal="center" vertical="center"/>
    </xf>
    <xf numFmtId="164" fontId="2" fillId="0" borderId="62" xfId="2" applyNumberFormat="1" applyBorder="1" applyAlignment="1">
      <alignment horizontal="center" vertical="center"/>
    </xf>
    <xf numFmtId="164" fontId="2" fillId="0" borderId="31" xfId="2" applyNumberFormat="1" applyBorder="1" applyAlignment="1">
      <alignment horizontal="center" vertical="center"/>
    </xf>
    <xf numFmtId="172" fontId="37" fillId="0" borderId="63" xfId="3" applyNumberFormat="1" applyFont="1" applyBorder="1" applyAlignment="1">
      <alignment horizontal="center" vertical="center"/>
    </xf>
    <xf numFmtId="172" fontId="37" fillId="0" borderId="60" xfId="3" applyNumberFormat="1" applyFont="1" applyBorder="1" applyAlignment="1">
      <alignment horizontal="center" vertical="center"/>
    </xf>
    <xf numFmtId="172" fontId="43" fillId="0" borderId="47" xfId="2" applyNumberFormat="1" applyFont="1" applyBorder="1" applyAlignment="1">
      <alignment horizontal="center" vertical="center"/>
    </xf>
    <xf numFmtId="172" fontId="43" fillId="0" borderId="25" xfId="2" applyNumberFormat="1" applyFont="1" applyBorder="1" applyAlignment="1">
      <alignment horizontal="center" vertical="center"/>
    </xf>
    <xf numFmtId="0" fontId="43" fillId="0" borderId="73" xfId="2" applyFont="1" applyBorder="1" applyAlignment="1">
      <alignment horizontal="center" vertical="center"/>
    </xf>
    <xf numFmtId="0" fontId="43" fillId="0" borderId="74" xfId="2" applyFont="1" applyBorder="1" applyAlignment="1">
      <alignment horizontal="center" vertical="center"/>
    </xf>
    <xf numFmtId="165" fontId="9" fillId="2" borderId="1" xfId="2" applyNumberFormat="1" applyFont="1" applyFill="1" applyBorder="1" applyAlignment="1">
      <alignment horizontal="center"/>
    </xf>
    <xf numFmtId="165" fontId="9" fillId="2" borderId="2" xfId="2" applyNumberFormat="1" applyFont="1" applyFill="1" applyBorder="1" applyAlignment="1">
      <alignment horizontal="center"/>
    </xf>
    <xf numFmtId="165" fontId="9" fillId="2" borderId="3" xfId="2" applyNumberFormat="1" applyFont="1" applyFill="1" applyBorder="1" applyAlignment="1">
      <alignment horizontal="center"/>
    </xf>
    <xf numFmtId="165" fontId="9" fillId="2" borderId="4" xfId="2" applyNumberFormat="1" applyFont="1" applyFill="1" applyBorder="1" applyAlignment="1">
      <alignment horizontal="center"/>
    </xf>
    <xf numFmtId="165" fontId="9" fillId="2" borderId="5" xfId="2" applyNumberFormat="1" applyFont="1" applyFill="1" applyBorder="1" applyAlignment="1">
      <alignment horizontal="center"/>
    </xf>
    <xf numFmtId="165" fontId="9" fillId="2" borderId="6" xfId="2" applyNumberFormat="1" applyFont="1" applyFill="1" applyBorder="1" applyAlignment="1">
      <alignment horizontal="center"/>
    </xf>
    <xf numFmtId="168" fontId="72" fillId="0" borderId="8" xfId="2" applyNumberFormat="1" applyFont="1" applyFill="1" applyBorder="1" applyAlignment="1">
      <alignment horizontal="center" vertical="center"/>
    </xf>
    <xf numFmtId="168" fontId="72" fillId="0" borderId="5" xfId="2" applyNumberFormat="1" applyFont="1" applyFill="1" applyBorder="1" applyAlignment="1">
      <alignment horizontal="center" vertical="center"/>
    </xf>
  </cellXfs>
  <cellStyles count="8">
    <cellStyle name="Hipervínculo" xfId="6" builtinId="8"/>
    <cellStyle name="Millares_Horas Extras - 2007 2" xfId="3"/>
    <cellStyle name="Millares_Horas Extras - 2009 2" xfId="4"/>
    <cellStyle name="Normal" xfId="0" builtinId="0"/>
    <cellStyle name="Normal 2" xfId="2"/>
    <cellStyle name="Porcentual" xfId="1" builtinId="5"/>
    <cellStyle name="Porcentual 2" xfId="7"/>
    <cellStyle name="Porcentual 2 2" xfId="5"/>
  </cellStyles>
  <dxfs count="177"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lor rgb="FFFF66FF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lor rgb="FFFF66FF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lor rgb="FFFF66FF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lor rgb="FFFF66FF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lor rgb="FFFF66FF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lor rgb="FFFF66FF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lor rgb="FFFF66FF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lor rgb="FFFF66FF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lor rgb="FFFF66FF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color rgb="FFFF66FF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lor rgb="FFFF66FF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  <dxf>
      <font>
        <color rgb="FFFF66FF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color rgb="FFFF66FF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condense val="0"/>
        <extend val="0"/>
        <color indexed="14"/>
      </font>
      <fill>
        <patternFill patternType="none">
          <bgColor indexed="65"/>
        </patternFill>
      </fill>
    </dxf>
    <dxf>
      <font>
        <condense val="0"/>
        <extend val="0"/>
        <color indexed="45"/>
      </font>
    </dxf>
    <dxf>
      <font>
        <b val="0"/>
        <i/>
        <condense val="0"/>
        <extend val="0"/>
        <color indexed="3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/>
        <i/>
        <strike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/>
        <condense val="0"/>
        <extend val="0"/>
        <color indexed="10"/>
      </font>
      <fill>
        <patternFill>
          <bgColor indexed="26"/>
        </patternFill>
      </fill>
    </dxf>
    <dxf>
      <font>
        <color rgb="FFFF66FF"/>
      </font>
    </dxf>
    <dxf>
      <font>
        <condense val="0"/>
        <extend val="0"/>
        <color indexed="44"/>
      </font>
    </dxf>
    <dxf>
      <font>
        <strike val="0"/>
        <condense val="0"/>
        <extend val="0"/>
        <color indexed="44"/>
      </font>
    </dxf>
    <dxf>
      <font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 val="0"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  <color rgb="FFCC99FF"/>
      <color rgb="FFCC00CC"/>
      <color rgb="FFFFCCFF"/>
      <color rgb="FFF79747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67</xdr:row>
      <xdr:rowOff>157180</xdr:rowOff>
    </xdr:from>
    <xdr:to>
      <xdr:col>40</xdr:col>
      <xdr:colOff>238125</xdr:colOff>
      <xdr:row>67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7966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VoluntariaCOMPRAS   atp</a:t>
          </a:r>
        </a:p>
      </xdr:txBody>
    </xdr:sp>
    <xdr:clientData/>
  </xdr:twoCellAnchor>
  <xdr:twoCellAnchor>
    <xdr:from>
      <xdr:col>26</xdr:col>
      <xdr:colOff>38100</xdr:colOff>
      <xdr:row>69</xdr:row>
      <xdr:rowOff>211051</xdr:rowOff>
    </xdr:from>
    <xdr:to>
      <xdr:col>34</xdr:col>
      <xdr:colOff>47625</xdr:colOff>
      <xdr:row>69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962900" y="1119337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72</xdr:row>
      <xdr:rowOff>211051</xdr:rowOff>
    </xdr:from>
    <xdr:to>
      <xdr:col>57</xdr:col>
      <xdr:colOff>80895</xdr:colOff>
      <xdr:row>72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86965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206</xdr:row>
      <xdr:rowOff>157180</xdr:rowOff>
    </xdr:from>
    <xdr:to>
      <xdr:col>40</xdr:col>
      <xdr:colOff>238125</xdr:colOff>
      <xdr:row>206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847625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209</xdr:row>
      <xdr:rowOff>211051</xdr:rowOff>
    </xdr:from>
    <xdr:to>
      <xdr:col>33</xdr:col>
      <xdr:colOff>47625</xdr:colOff>
      <xdr:row>209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919687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209</xdr:row>
      <xdr:rowOff>211051</xdr:rowOff>
    </xdr:from>
    <xdr:to>
      <xdr:col>57</xdr:col>
      <xdr:colOff>80895</xdr:colOff>
      <xdr:row>209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919687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11</xdr:col>
      <xdr:colOff>280737</xdr:colOff>
      <xdr:row>62</xdr:row>
      <xdr:rowOff>160419</xdr:rowOff>
    </xdr:from>
    <xdr:to>
      <xdr:col>19</xdr:col>
      <xdr:colOff>144805</xdr:colOff>
      <xdr:row>63</xdr:row>
      <xdr:rowOff>95806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3919287" y="10018794"/>
          <a:ext cx="2150068" cy="106837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3</xdr:col>
      <xdr:colOff>140368</xdr:colOff>
      <xdr:row>63</xdr:row>
      <xdr:rowOff>20051</xdr:rowOff>
    </xdr:from>
    <xdr:to>
      <xdr:col>11</xdr:col>
      <xdr:colOff>78749</xdr:colOff>
      <xdr:row>63</xdr:row>
      <xdr:rowOff>125886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1492918" y="10049876"/>
          <a:ext cx="22243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 </a:t>
          </a:r>
        </a:p>
      </xdr:txBody>
    </xdr:sp>
    <xdr:clientData/>
  </xdr:twoCellAnchor>
  <xdr:twoCellAnchor>
    <xdr:from>
      <xdr:col>23</xdr:col>
      <xdr:colOff>0</xdr:colOff>
      <xdr:row>63</xdr:row>
      <xdr:rowOff>0</xdr:rowOff>
    </xdr:from>
    <xdr:to>
      <xdr:col>30</xdr:col>
      <xdr:colOff>154831</xdr:colOff>
      <xdr:row>63</xdr:row>
      <xdr:rowOff>105835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7067550" y="1002982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V A C A C I O N E S  * </a:t>
          </a:r>
        </a:p>
      </xdr:txBody>
    </xdr:sp>
    <xdr:clientData/>
  </xdr:twoCellAnchor>
  <xdr:twoCellAnchor>
    <xdr:from>
      <xdr:col>32</xdr:col>
      <xdr:colOff>0</xdr:colOff>
      <xdr:row>63</xdr:row>
      <xdr:rowOff>0</xdr:rowOff>
    </xdr:from>
    <xdr:to>
      <xdr:col>39</xdr:col>
      <xdr:colOff>229144</xdr:colOff>
      <xdr:row>63</xdr:row>
      <xdr:rowOff>105835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9639300" y="10029825"/>
          <a:ext cx="2229394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Descanso  medico   particular </a:t>
          </a:r>
        </a:p>
      </xdr:txBody>
    </xdr:sp>
    <xdr:clientData/>
  </xdr:twoCellAnchor>
  <xdr:twoCellAnchor>
    <xdr:from>
      <xdr:col>26</xdr:col>
      <xdr:colOff>0</xdr:colOff>
      <xdr:row>64</xdr:row>
      <xdr:rowOff>0</xdr:rowOff>
    </xdr:from>
    <xdr:to>
      <xdr:col>33</xdr:col>
      <xdr:colOff>154831</xdr:colOff>
      <xdr:row>64</xdr:row>
      <xdr:rowOff>105835</xdr:rowOff>
    </xdr:to>
    <xdr:sp macro="" textlink="">
      <xdr:nvSpPr>
        <xdr:cNvPr id="12" name="WordArt 30"/>
        <xdr:cNvSpPr>
          <a:spLocks noChangeArrowheads="1" noChangeShapeType="1"/>
        </xdr:cNvSpPr>
      </xdr:nvSpPr>
      <xdr:spPr bwMode="auto">
        <a:xfrm>
          <a:off x="7924800" y="1020127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permiso  x Atencion  medica </a:t>
          </a:r>
        </a:p>
      </xdr:txBody>
    </xdr:sp>
    <xdr:clientData/>
  </xdr:twoCellAnchor>
  <xdr:twoCellAnchor>
    <xdr:from>
      <xdr:col>34</xdr:col>
      <xdr:colOff>0</xdr:colOff>
      <xdr:row>64</xdr:row>
      <xdr:rowOff>0</xdr:rowOff>
    </xdr:from>
    <xdr:to>
      <xdr:col>41</xdr:col>
      <xdr:colOff>209092</xdr:colOff>
      <xdr:row>64</xdr:row>
      <xdr:rowOff>105835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10210800" y="10201275"/>
          <a:ext cx="2237917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Descanso  medico   ESSALUD  </a:t>
          </a:r>
        </a:p>
      </xdr:txBody>
    </xdr:sp>
    <xdr:clientData/>
  </xdr:twoCellAnchor>
  <xdr:twoCellAnchor>
    <xdr:from>
      <xdr:col>12</xdr:col>
      <xdr:colOff>110288</xdr:colOff>
      <xdr:row>21</xdr:row>
      <xdr:rowOff>48459</xdr:rowOff>
    </xdr:from>
    <xdr:to>
      <xdr:col>21</xdr:col>
      <xdr:colOff>127000</xdr:colOff>
      <xdr:row>21</xdr:row>
      <xdr:rowOff>148166</xdr:rowOff>
    </xdr:to>
    <xdr:sp macro="" textlink="">
      <xdr:nvSpPr>
        <xdr:cNvPr id="14" name="WordArt 30"/>
        <xdr:cNvSpPr>
          <a:spLocks noChangeArrowheads="1" noChangeShapeType="1"/>
        </xdr:cNvSpPr>
      </xdr:nvSpPr>
      <xdr:spPr bwMode="auto">
        <a:xfrm>
          <a:off x="4026121" y="3382209"/>
          <a:ext cx="2588462" cy="99707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cita essalud  Y  PERMISO PERSONAL  </a:t>
          </a:r>
        </a:p>
      </xdr:txBody>
    </xdr:sp>
    <xdr:clientData/>
  </xdr:twoCellAnchor>
  <xdr:twoCellAnchor>
    <xdr:from>
      <xdr:col>41</xdr:col>
      <xdr:colOff>0</xdr:colOff>
      <xdr:row>63</xdr:row>
      <xdr:rowOff>0</xdr:rowOff>
    </xdr:from>
    <xdr:to>
      <xdr:col>48</xdr:col>
      <xdr:colOff>21166</xdr:colOff>
      <xdr:row>63</xdr:row>
      <xdr:rowOff>95250</xdr:rowOff>
    </xdr:to>
    <xdr:sp macro="" textlink="">
      <xdr:nvSpPr>
        <xdr:cNvPr id="15" name="WordArt 30"/>
        <xdr:cNvSpPr>
          <a:spLocks noChangeArrowheads="1" noChangeShapeType="1"/>
        </xdr:cNvSpPr>
      </xdr:nvSpPr>
      <xdr:spPr bwMode="auto">
        <a:xfrm>
          <a:off x="12239625" y="10029825"/>
          <a:ext cx="1678516" cy="952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Atencion  medica particular </a:t>
          </a:r>
        </a:p>
      </xdr:txBody>
    </xdr:sp>
    <xdr:clientData/>
  </xdr:twoCellAnchor>
  <xdr:twoCellAnchor editAs="oneCell">
    <xdr:from>
      <xdr:col>24</xdr:col>
      <xdr:colOff>127021</xdr:colOff>
      <xdr:row>64</xdr:row>
      <xdr:rowOff>158756</xdr:rowOff>
    </xdr:from>
    <xdr:to>
      <xdr:col>50</xdr:col>
      <xdr:colOff>73248</xdr:colOff>
      <xdr:row>86</xdr:row>
      <xdr:rowOff>20638</xdr:rowOff>
    </xdr:to>
    <xdr:pic>
      <xdr:nvPicPr>
        <xdr:cNvPr id="1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80321" y="10360031"/>
          <a:ext cx="6851852" cy="42529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67</xdr:row>
      <xdr:rowOff>157180</xdr:rowOff>
    </xdr:from>
    <xdr:to>
      <xdr:col>40</xdr:col>
      <xdr:colOff>238125</xdr:colOff>
      <xdr:row>67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6442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VoluntariaCOMPRAS   atp</a:t>
          </a:r>
        </a:p>
      </xdr:txBody>
    </xdr:sp>
    <xdr:clientData/>
  </xdr:twoCellAnchor>
  <xdr:twoCellAnchor>
    <xdr:from>
      <xdr:col>26</xdr:col>
      <xdr:colOff>38100</xdr:colOff>
      <xdr:row>69</xdr:row>
      <xdr:rowOff>211051</xdr:rowOff>
    </xdr:from>
    <xdr:to>
      <xdr:col>34</xdr:col>
      <xdr:colOff>47625</xdr:colOff>
      <xdr:row>69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962900" y="1104097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72</xdr:row>
      <xdr:rowOff>211051</xdr:rowOff>
    </xdr:from>
    <xdr:to>
      <xdr:col>57</xdr:col>
      <xdr:colOff>80895</xdr:colOff>
      <xdr:row>72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71725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207</xdr:row>
      <xdr:rowOff>157180</xdr:rowOff>
    </xdr:from>
    <xdr:to>
      <xdr:col>40</xdr:col>
      <xdr:colOff>238125</xdr:colOff>
      <xdr:row>207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854293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210</xdr:row>
      <xdr:rowOff>211051</xdr:rowOff>
    </xdr:from>
    <xdr:to>
      <xdr:col>33</xdr:col>
      <xdr:colOff>47625</xdr:colOff>
      <xdr:row>210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926355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210</xdr:row>
      <xdr:rowOff>211051</xdr:rowOff>
    </xdr:from>
    <xdr:to>
      <xdr:col>57</xdr:col>
      <xdr:colOff>80895</xdr:colOff>
      <xdr:row>210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926355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13</xdr:col>
      <xdr:colOff>110290</xdr:colOff>
      <xdr:row>62</xdr:row>
      <xdr:rowOff>160419</xdr:rowOff>
    </xdr:from>
    <xdr:to>
      <xdr:col>20</xdr:col>
      <xdr:colOff>265121</xdr:colOff>
      <xdr:row>63</xdr:row>
      <xdr:rowOff>95806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4320340" y="9866394"/>
          <a:ext cx="2155081" cy="106837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3</xdr:col>
      <xdr:colOff>140368</xdr:colOff>
      <xdr:row>63</xdr:row>
      <xdr:rowOff>20051</xdr:rowOff>
    </xdr:from>
    <xdr:to>
      <xdr:col>11</xdr:col>
      <xdr:colOff>78749</xdr:colOff>
      <xdr:row>63</xdr:row>
      <xdr:rowOff>125886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1492918" y="9897476"/>
          <a:ext cx="22243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 </a:t>
          </a:r>
        </a:p>
      </xdr:txBody>
    </xdr:sp>
    <xdr:clientData/>
  </xdr:twoCellAnchor>
  <xdr:twoCellAnchor>
    <xdr:from>
      <xdr:col>23</xdr:col>
      <xdr:colOff>0</xdr:colOff>
      <xdr:row>63</xdr:row>
      <xdr:rowOff>0</xdr:rowOff>
    </xdr:from>
    <xdr:to>
      <xdr:col>30</xdr:col>
      <xdr:colOff>154831</xdr:colOff>
      <xdr:row>63</xdr:row>
      <xdr:rowOff>105835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7067550" y="987742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V A C A C I O N E S  * </a:t>
          </a:r>
        </a:p>
      </xdr:txBody>
    </xdr:sp>
    <xdr:clientData/>
  </xdr:twoCellAnchor>
  <xdr:twoCellAnchor>
    <xdr:from>
      <xdr:col>32</xdr:col>
      <xdr:colOff>0</xdr:colOff>
      <xdr:row>63</xdr:row>
      <xdr:rowOff>0</xdr:rowOff>
    </xdr:from>
    <xdr:to>
      <xdr:col>39</xdr:col>
      <xdr:colOff>229144</xdr:colOff>
      <xdr:row>63</xdr:row>
      <xdr:rowOff>105835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9639300" y="9877425"/>
          <a:ext cx="2229394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Descanso  medico   particular </a:t>
          </a:r>
        </a:p>
      </xdr:txBody>
    </xdr:sp>
    <xdr:clientData/>
  </xdr:twoCellAnchor>
  <xdr:twoCellAnchor>
    <xdr:from>
      <xdr:col>26</xdr:col>
      <xdr:colOff>0</xdr:colOff>
      <xdr:row>64</xdr:row>
      <xdr:rowOff>0</xdr:rowOff>
    </xdr:from>
    <xdr:to>
      <xdr:col>33</xdr:col>
      <xdr:colOff>154831</xdr:colOff>
      <xdr:row>64</xdr:row>
      <xdr:rowOff>105835</xdr:rowOff>
    </xdr:to>
    <xdr:sp macro="" textlink="">
      <xdr:nvSpPr>
        <xdr:cNvPr id="12" name="WordArt 30"/>
        <xdr:cNvSpPr>
          <a:spLocks noChangeArrowheads="1" noChangeShapeType="1"/>
        </xdr:cNvSpPr>
      </xdr:nvSpPr>
      <xdr:spPr bwMode="auto">
        <a:xfrm>
          <a:off x="7924800" y="1004887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permiso  x Atencion  medica </a:t>
          </a:r>
        </a:p>
      </xdr:txBody>
    </xdr:sp>
    <xdr:clientData/>
  </xdr:twoCellAnchor>
  <xdr:twoCellAnchor>
    <xdr:from>
      <xdr:col>34</xdr:col>
      <xdr:colOff>0</xdr:colOff>
      <xdr:row>64</xdr:row>
      <xdr:rowOff>0</xdr:rowOff>
    </xdr:from>
    <xdr:to>
      <xdr:col>41</xdr:col>
      <xdr:colOff>209092</xdr:colOff>
      <xdr:row>64</xdr:row>
      <xdr:rowOff>105835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10210800" y="10048875"/>
          <a:ext cx="2237917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Descanso  medico   ESSALUD  </a:t>
          </a:r>
        </a:p>
      </xdr:txBody>
    </xdr:sp>
    <xdr:clientData/>
  </xdr:twoCellAnchor>
  <xdr:twoCellAnchor>
    <xdr:from>
      <xdr:col>20</xdr:col>
      <xdr:colOff>170447</xdr:colOff>
      <xdr:row>63</xdr:row>
      <xdr:rowOff>110290</xdr:rowOff>
    </xdr:from>
    <xdr:to>
      <xdr:col>24</xdr:col>
      <xdr:colOff>90236</xdr:colOff>
      <xdr:row>64</xdr:row>
      <xdr:rowOff>50133</xdr:rowOff>
    </xdr:to>
    <xdr:sp macro="" textlink="">
      <xdr:nvSpPr>
        <xdr:cNvPr id="14" name="WordArt 30"/>
        <xdr:cNvSpPr>
          <a:spLocks noChangeArrowheads="1" noChangeShapeType="1"/>
        </xdr:cNvSpPr>
      </xdr:nvSpPr>
      <xdr:spPr bwMode="auto">
        <a:xfrm>
          <a:off x="6380747" y="9987715"/>
          <a:ext cx="1062789" cy="111293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cita essalud </a:t>
          </a:r>
        </a:p>
      </xdr:txBody>
    </xdr:sp>
    <xdr:clientData/>
  </xdr:twoCellAnchor>
  <xdr:twoCellAnchor>
    <xdr:from>
      <xdr:col>3</xdr:col>
      <xdr:colOff>70191</xdr:colOff>
      <xdr:row>10</xdr:row>
      <xdr:rowOff>40104</xdr:rowOff>
    </xdr:from>
    <xdr:to>
      <xdr:col>10</xdr:col>
      <xdr:colOff>225022</xdr:colOff>
      <xdr:row>10</xdr:row>
      <xdr:rowOff>145938</xdr:rowOff>
    </xdr:to>
    <xdr:sp macro="" textlink="">
      <xdr:nvSpPr>
        <xdr:cNvPr id="15" name="WordArt 30"/>
        <xdr:cNvSpPr>
          <a:spLocks noChangeArrowheads="1" noChangeShapeType="1"/>
        </xdr:cNvSpPr>
      </xdr:nvSpPr>
      <xdr:spPr bwMode="auto">
        <a:xfrm>
          <a:off x="1422741" y="1487904"/>
          <a:ext cx="2155081" cy="105834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13</xdr:col>
      <xdr:colOff>50130</xdr:colOff>
      <xdr:row>20</xdr:row>
      <xdr:rowOff>40104</xdr:rowOff>
    </xdr:from>
    <xdr:to>
      <xdr:col>20</xdr:col>
      <xdr:colOff>204961</xdr:colOff>
      <xdr:row>20</xdr:row>
      <xdr:rowOff>145938</xdr:rowOff>
    </xdr:to>
    <xdr:sp macro="" textlink="">
      <xdr:nvSpPr>
        <xdr:cNvPr id="16" name="WordArt 30"/>
        <xdr:cNvSpPr>
          <a:spLocks noChangeArrowheads="1" noChangeShapeType="1"/>
        </xdr:cNvSpPr>
      </xdr:nvSpPr>
      <xdr:spPr bwMode="auto">
        <a:xfrm>
          <a:off x="4260180" y="3116679"/>
          <a:ext cx="2155081" cy="105834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3</xdr:col>
      <xdr:colOff>40104</xdr:colOff>
      <xdr:row>33</xdr:row>
      <xdr:rowOff>50130</xdr:rowOff>
    </xdr:from>
    <xdr:to>
      <xdr:col>10</xdr:col>
      <xdr:colOff>194935</xdr:colOff>
      <xdr:row>33</xdr:row>
      <xdr:rowOff>155965</xdr:rowOff>
    </xdr:to>
    <xdr:sp macro="" textlink="">
      <xdr:nvSpPr>
        <xdr:cNvPr id="17" name="WordArt 30"/>
        <xdr:cNvSpPr>
          <a:spLocks noChangeArrowheads="1" noChangeShapeType="1"/>
        </xdr:cNvSpPr>
      </xdr:nvSpPr>
      <xdr:spPr bwMode="auto">
        <a:xfrm>
          <a:off x="1392654" y="522220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V A C A C I O N E S  * </a:t>
          </a:r>
        </a:p>
      </xdr:txBody>
    </xdr:sp>
    <xdr:clientData/>
  </xdr:twoCellAnchor>
  <xdr:twoCellAnchor>
    <xdr:from>
      <xdr:col>3</xdr:col>
      <xdr:colOff>0</xdr:colOff>
      <xdr:row>34</xdr:row>
      <xdr:rowOff>50130</xdr:rowOff>
    </xdr:from>
    <xdr:to>
      <xdr:col>10</xdr:col>
      <xdr:colOff>154831</xdr:colOff>
      <xdr:row>34</xdr:row>
      <xdr:rowOff>155965</xdr:rowOff>
    </xdr:to>
    <xdr:sp macro="" textlink="">
      <xdr:nvSpPr>
        <xdr:cNvPr id="18" name="WordArt 30"/>
        <xdr:cNvSpPr>
          <a:spLocks noChangeArrowheads="1" noChangeShapeType="1"/>
        </xdr:cNvSpPr>
      </xdr:nvSpPr>
      <xdr:spPr bwMode="auto">
        <a:xfrm>
          <a:off x="1352550" y="539365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 R E N U N C I A   * </a:t>
          </a:r>
        </a:p>
      </xdr:txBody>
    </xdr:sp>
    <xdr:clientData/>
  </xdr:twoCellAnchor>
  <xdr:twoCellAnchor>
    <xdr:from>
      <xdr:col>13</xdr:col>
      <xdr:colOff>0</xdr:colOff>
      <xdr:row>34</xdr:row>
      <xdr:rowOff>40104</xdr:rowOff>
    </xdr:from>
    <xdr:to>
      <xdr:col>20</xdr:col>
      <xdr:colOff>154831</xdr:colOff>
      <xdr:row>34</xdr:row>
      <xdr:rowOff>145939</xdr:rowOff>
    </xdr:to>
    <xdr:sp macro="" textlink="">
      <xdr:nvSpPr>
        <xdr:cNvPr id="19" name="WordArt 30"/>
        <xdr:cNvSpPr>
          <a:spLocks noChangeArrowheads="1" noChangeShapeType="1"/>
        </xdr:cNvSpPr>
      </xdr:nvSpPr>
      <xdr:spPr bwMode="auto">
        <a:xfrm>
          <a:off x="4210050" y="5383629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 R E N U N C I A   * </a:t>
          </a:r>
        </a:p>
      </xdr:txBody>
    </xdr:sp>
    <xdr:clientData/>
  </xdr:twoCellAnchor>
  <xdr:twoCellAnchor>
    <xdr:from>
      <xdr:col>13</xdr:col>
      <xdr:colOff>0</xdr:colOff>
      <xdr:row>33</xdr:row>
      <xdr:rowOff>50130</xdr:rowOff>
    </xdr:from>
    <xdr:to>
      <xdr:col>20</xdr:col>
      <xdr:colOff>154831</xdr:colOff>
      <xdr:row>33</xdr:row>
      <xdr:rowOff>155965</xdr:rowOff>
    </xdr:to>
    <xdr:sp macro="" textlink="">
      <xdr:nvSpPr>
        <xdr:cNvPr id="20" name="WordArt 30"/>
        <xdr:cNvSpPr>
          <a:spLocks noChangeArrowheads="1" noChangeShapeType="1"/>
        </xdr:cNvSpPr>
      </xdr:nvSpPr>
      <xdr:spPr bwMode="auto">
        <a:xfrm>
          <a:off x="4210050" y="522220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V A C A C I O N E S  * </a:t>
          </a:r>
        </a:p>
      </xdr:txBody>
    </xdr:sp>
    <xdr:clientData/>
  </xdr:twoCellAnchor>
  <xdr:twoCellAnchor>
    <xdr:from>
      <xdr:col>13</xdr:col>
      <xdr:colOff>60156</xdr:colOff>
      <xdr:row>45</xdr:row>
      <xdr:rowOff>50130</xdr:rowOff>
    </xdr:from>
    <xdr:to>
      <xdr:col>20</xdr:col>
      <xdr:colOff>214987</xdr:colOff>
      <xdr:row>45</xdr:row>
      <xdr:rowOff>155964</xdr:rowOff>
    </xdr:to>
    <xdr:sp macro="" textlink="">
      <xdr:nvSpPr>
        <xdr:cNvPr id="21" name="WordArt 30"/>
        <xdr:cNvSpPr>
          <a:spLocks noChangeArrowheads="1" noChangeShapeType="1"/>
        </xdr:cNvSpPr>
      </xdr:nvSpPr>
      <xdr:spPr bwMode="auto">
        <a:xfrm>
          <a:off x="4270206" y="7231980"/>
          <a:ext cx="2155081" cy="105834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67</xdr:row>
      <xdr:rowOff>157180</xdr:rowOff>
    </xdr:from>
    <xdr:to>
      <xdr:col>40</xdr:col>
      <xdr:colOff>238125</xdr:colOff>
      <xdr:row>67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7966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VoluntariaCOMPRAS   atp</a:t>
          </a:r>
        </a:p>
      </xdr:txBody>
    </xdr:sp>
    <xdr:clientData/>
  </xdr:twoCellAnchor>
  <xdr:twoCellAnchor>
    <xdr:from>
      <xdr:col>26</xdr:col>
      <xdr:colOff>38100</xdr:colOff>
      <xdr:row>69</xdr:row>
      <xdr:rowOff>211051</xdr:rowOff>
    </xdr:from>
    <xdr:to>
      <xdr:col>34</xdr:col>
      <xdr:colOff>47625</xdr:colOff>
      <xdr:row>69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962900" y="1119337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72</xdr:row>
      <xdr:rowOff>211051</xdr:rowOff>
    </xdr:from>
    <xdr:to>
      <xdr:col>57</xdr:col>
      <xdr:colOff>80895</xdr:colOff>
      <xdr:row>72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86965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206</xdr:row>
      <xdr:rowOff>157180</xdr:rowOff>
    </xdr:from>
    <xdr:to>
      <xdr:col>40</xdr:col>
      <xdr:colOff>238125</xdr:colOff>
      <xdr:row>206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847625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209</xdr:row>
      <xdr:rowOff>211051</xdr:rowOff>
    </xdr:from>
    <xdr:to>
      <xdr:col>33</xdr:col>
      <xdr:colOff>47625</xdr:colOff>
      <xdr:row>209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919687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209</xdr:row>
      <xdr:rowOff>211051</xdr:rowOff>
    </xdr:from>
    <xdr:to>
      <xdr:col>57</xdr:col>
      <xdr:colOff>80895</xdr:colOff>
      <xdr:row>209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919687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11</xdr:col>
      <xdr:colOff>280737</xdr:colOff>
      <xdr:row>62</xdr:row>
      <xdr:rowOff>160419</xdr:rowOff>
    </xdr:from>
    <xdr:to>
      <xdr:col>19</xdr:col>
      <xdr:colOff>144805</xdr:colOff>
      <xdr:row>63</xdr:row>
      <xdr:rowOff>95806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3919287" y="10018794"/>
          <a:ext cx="2150068" cy="106837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3</xdr:col>
      <xdr:colOff>140368</xdr:colOff>
      <xdr:row>63</xdr:row>
      <xdr:rowOff>20051</xdr:rowOff>
    </xdr:from>
    <xdr:to>
      <xdr:col>11</xdr:col>
      <xdr:colOff>78749</xdr:colOff>
      <xdr:row>63</xdr:row>
      <xdr:rowOff>125886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1492918" y="10049876"/>
          <a:ext cx="22243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 </a:t>
          </a:r>
        </a:p>
      </xdr:txBody>
    </xdr:sp>
    <xdr:clientData/>
  </xdr:twoCellAnchor>
  <xdr:twoCellAnchor>
    <xdr:from>
      <xdr:col>23</xdr:col>
      <xdr:colOff>0</xdr:colOff>
      <xdr:row>63</xdr:row>
      <xdr:rowOff>0</xdr:rowOff>
    </xdr:from>
    <xdr:to>
      <xdr:col>30</xdr:col>
      <xdr:colOff>154831</xdr:colOff>
      <xdr:row>63</xdr:row>
      <xdr:rowOff>105835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7067550" y="1002982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V A C A C I O N E S  * </a:t>
          </a:r>
        </a:p>
      </xdr:txBody>
    </xdr:sp>
    <xdr:clientData/>
  </xdr:twoCellAnchor>
  <xdr:twoCellAnchor>
    <xdr:from>
      <xdr:col>32</xdr:col>
      <xdr:colOff>0</xdr:colOff>
      <xdr:row>63</xdr:row>
      <xdr:rowOff>0</xdr:rowOff>
    </xdr:from>
    <xdr:to>
      <xdr:col>39</xdr:col>
      <xdr:colOff>229144</xdr:colOff>
      <xdr:row>63</xdr:row>
      <xdr:rowOff>105835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9639300" y="10029825"/>
          <a:ext cx="2229394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Descanso  medico   particular </a:t>
          </a:r>
        </a:p>
      </xdr:txBody>
    </xdr:sp>
    <xdr:clientData/>
  </xdr:twoCellAnchor>
  <xdr:twoCellAnchor>
    <xdr:from>
      <xdr:col>26</xdr:col>
      <xdr:colOff>0</xdr:colOff>
      <xdr:row>64</xdr:row>
      <xdr:rowOff>0</xdr:rowOff>
    </xdr:from>
    <xdr:to>
      <xdr:col>33</xdr:col>
      <xdr:colOff>154831</xdr:colOff>
      <xdr:row>64</xdr:row>
      <xdr:rowOff>105835</xdr:rowOff>
    </xdr:to>
    <xdr:sp macro="" textlink="">
      <xdr:nvSpPr>
        <xdr:cNvPr id="12" name="WordArt 30"/>
        <xdr:cNvSpPr>
          <a:spLocks noChangeArrowheads="1" noChangeShapeType="1"/>
        </xdr:cNvSpPr>
      </xdr:nvSpPr>
      <xdr:spPr bwMode="auto">
        <a:xfrm>
          <a:off x="7924800" y="1020127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permiso  x Atencion  medica </a:t>
          </a:r>
        </a:p>
      </xdr:txBody>
    </xdr:sp>
    <xdr:clientData/>
  </xdr:twoCellAnchor>
  <xdr:twoCellAnchor>
    <xdr:from>
      <xdr:col>34</xdr:col>
      <xdr:colOff>0</xdr:colOff>
      <xdr:row>64</xdr:row>
      <xdr:rowOff>0</xdr:rowOff>
    </xdr:from>
    <xdr:to>
      <xdr:col>41</xdr:col>
      <xdr:colOff>209092</xdr:colOff>
      <xdr:row>64</xdr:row>
      <xdr:rowOff>105835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10210800" y="10201275"/>
          <a:ext cx="2237917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Descanso  medico   ESSALUD  </a:t>
          </a:r>
        </a:p>
      </xdr:txBody>
    </xdr:sp>
    <xdr:clientData/>
  </xdr:twoCellAnchor>
  <xdr:twoCellAnchor>
    <xdr:from>
      <xdr:col>20</xdr:col>
      <xdr:colOff>110289</xdr:colOff>
      <xdr:row>63</xdr:row>
      <xdr:rowOff>80211</xdr:rowOff>
    </xdr:from>
    <xdr:to>
      <xdr:col>24</xdr:col>
      <xdr:colOff>30078</xdr:colOff>
      <xdr:row>64</xdr:row>
      <xdr:rowOff>20054</xdr:rowOff>
    </xdr:to>
    <xdr:sp macro="" textlink="">
      <xdr:nvSpPr>
        <xdr:cNvPr id="14" name="WordArt 30"/>
        <xdr:cNvSpPr>
          <a:spLocks noChangeArrowheads="1" noChangeShapeType="1"/>
        </xdr:cNvSpPr>
      </xdr:nvSpPr>
      <xdr:spPr bwMode="auto">
        <a:xfrm>
          <a:off x="6320589" y="10110036"/>
          <a:ext cx="1062789" cy="111293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cita essalud </a:t>
          </a:r>
        </a:p>
      </xdr:txBody>
    </xdr:sp>
    <xdr:clientData/>
  </xdr:twoCellAnchor>
  <xdr:twoCellAnchor>
    <xdr:from>
      <xdr:col>41</xdr:col>
      <xdr:colOff>0</xdr:colOff>
      <xdr:row>63</xdr:row>
      <xdr:rowOff>0</xdr:rowOff>
    </xdr:from>
    <xdr:to>
      <xdr:col>48</xdr:col>
      <xdr:colOff>21166</xdr:colOff>
      <xdr:row>63</xdr:row>
      <xdr:rowOff>95250</xdr:rowOff>
    </xdr:to>
    <xdr:sp macro="" textlink="">
      <xdr:nvSpPr>
        <xdr:cNvPr id="19" name="WordArt 30"/>
        <xdr:cNvSpPr>
          <a:spLocks noChangeArrowheads="1" noChangeShapeType="1"/>
        </xdr:cNvSpPr>
      </xdr:nvSpPr>
      <xdr:spPr bwMode="auto">
        <a:xfrm>
          <a:off x="12239625" y="10029825"/>
          <a:ext cx="1678516" cy="952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Atencion  medica particular </a:t>
          </a:r>
        </a:p>
      </xdr:txBody>
    </xdr:sp>
    <xdr:clientData/>
  </xdr:twoCellAnchor>
  <xdr:twoCellAnchor editAs="oneCell">
    <xdr:from>
      <xdr:col>24</xdr:col>
      <xdr:colOff>127021</xdr:colOff>
      <xdr:row>64</xdr:row>
      <xdr:rowOff>158756</xdr:rowOff>
    </xdr:from>
    <xdr:to>
      <xdr:col>50</xdr:col>
      <xdr:colOff>73248</xdr:colOff>
      <xdr:row>86</xdr:row>
      <xdr:rowOff>20638</xdr:rowOff>
    </xdr:to>
    <xdr:pic>
      <xdr:nvPicPr>
        <xdr:cNvPr id="3790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71854" y="10276423"/>
          <a:ext cx="6857144" cy="4285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13</xdr:row>
      <xdr:rowOff>42332</xdr:rowOff>
    </xdr:from>
    <xdr:to>
      <xdr:col>10</xdr:col>
      <xdr:colOff>149818</xdr:colOff>
      <xdr:row>13</xdr:row>
      <xdr:rowOff>147052</xdr:rowOff>
    </xdr:to>
    <xdr:sp macro="" textlink="">
      <xdr:nvSpPr>
        <xdr:cNvPr id="25" name="WordArt 30"/>
        <xdr:cNvSpPr>
          <a:spLocks noChangeArrowheads="1" noChangeShapeType="1"/>
        </xdr:cNvSpPr>
      </xdr:nvSpPr>
      <xdr:spPr bwMode="auto">
        <a:xfrm>
          <a:off x="1344083" y="2021415"/>
          <a:ext cx="2150068" cy="10472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SUSPENDIDO  X  icc  </a:t>
          </a:r>
        </a:p>
      </xdr:txBody>
    </xdr:sp>
    <xdr:clientData/>
  </xdr:twoCellAnchor>
  <xdr:twoCellAnchor>
    <xdr:from>
      <xdr:col>3</xdr:col>
      <xdr:colOff>0</xdr:colOff>
      <xdr:row>20</xdr:row>
      <xdr:rowOff>42332</xdr:rowOff>
    </xdr:from>
    <xdr:to>
      <xdr:col>10</xdr:col>
      <xdr:colOff>224131</xdr:colOff>
      <xdr:row>20</xdr:row>
      <xdr:rowOff>148167</xdr:rowOff>
    </xdr:to>
    <xdr:sp macro="" textlink="">
      <xdr:nvSpPr>
        <xdr:cNvPr id="28" name="WordArt 30"/>
        <xdr:cNvSpPr>
          <a:spLocks noChangeArrowheads="1" noChangeShapeType="1"/>
        </xdr:cNvSpPr>
      </xdr:nvSpPr>
      <xdr:spPr bwMode="auto">
        <a:xfrm>
          <a:off x="1344083" y="3206749"/>
          <a:ext cx="22243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 </a:t>
          </a:r>
        </a:p>
      </xdr:txBody>
    </xdr:sp>
    <xdr:clientData/>
  </xdr:twoCellAnchor>
  <xdr:twoCellAnchor>
    <xdr:from>
      <xdr:col>3</xdr:col>
      <xdr:colOff>0</xdr:colOff>
      <xdr:row>36</xdr:row>
      <xdr:rowOff>63498</xdr:rowOff>
    </xdr:from>
    <xdr:to>
      <xdr:col>8</xdr:col>
      <xdr:colOff>254000</xdr:colOff>
      <xdr:row>36</xdr:row>
      <xdr:rowOff>158748</xdr:rowOff>
    </xdr:to>
    <xdr:sp macro="" textlink="">
      <xdr:nvSpPr>
        <xdr:cNvPr id="21" name="WordArt 30"/>
        <xdr:cNvSpPr>
          <a:spLocks noChangeArrowheads="1" noChangeShapeType="1"/>
        </xdr:cNvSpPr>
      </xdr:nvSpPr>
      <xdr:spPr bwMode="auto">
        <a:xfrm>
          <a:off x="1344083" y="5820831"/>
          <a:ext cx="1682750" cy="952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Atencion  medica particular </a:t>
          </a:r>
        </a:p>
      </xdr:txBody>
    </xdr:sp>
    <xdr:clientData/>
  </xdr:twoCellAnchor>
  <xdr:twoCellAnchor>
    <xdr:from>
      <xdr:col>12</xdr:col>
      <xdr:colOff>52915</xdr:colOff>
      <xdr:row>36</xdr:row>
      <xdr:rowOff>52915</xdr:rowOff>
    </xdr:from>
    <xdr:to>
      <xdr:col>19</xdr:col>
      <xdr:colOff>282059</xdr:colOff>
      <xdr:row>36</xdr:row>
      <xdr:rowOff>158750</xdr:rowOff>
    </xdr:to>
    <xdr:sp macro="" textlink="">
      <xdr:nvSpPr>
        <xdr:cNvPr id="27" name="WordArt 30"/>
        <xdr:cNvSpPr>
          <a:spLocks noChangeArrowheads="1" noChangeShapeType="1"/>
        </xdr:cNvSpPr>
      </xdr:nvSpPr>
      <xdr:spPr bwMode="auto">
        <a:xfrm>
          <a:off x="3968748" y="5810248"/>
          <a:ext cx="2229394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Descanso  medico   particular </a:t>
          </a:r>
        </a:p>
      </xdr:txBody>
    </xdr:sp>
    <xdr:clientData/>
  </xdr:twoCellAnchor>
  <xdr:twoCellAnchor>
    <xdr:from>
      <xdr:col>22</xdr:col>
      <xdr:colOff>74090</xdr:colOff>
      <xdr:row>36</xdr:row>
      <xdr:rowOff>52915</xdr:rowOff>
    </xdr:from>
    <xdr:to>
      <xdr:col>30</xdr:col>
      <xdr:colOff>17484</xdr:colOff>
      <xdr:row>36</xdr:row>
      <xdr:rowOff>158750</xdr:rowOff>
    </xdr:to>
    <xdr:sp macro="" textlink="">
      <xdr:nvSpPr>
        <xdr:cNvPr id="29" name="WordArt 30"/>
        <xdr:cNvSpPr>
          <a:spLocks noChangeArrowheads="1" noChangeShapeType="1"/>
        </xdr:cNvSpPr>
      </xdr:nvSpPr>
      <xdr:spPr bwMode="auto">
        <a:xfrm>
          <a:off x="6847423" y="5810248"/>
          <a:ext cx="2229394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Descanso  medico   particular </a:t>
          </a:r>
        </a:p>
      </xdr:txBody>
    </xdr:sp>
    <xdr:clientData/>
  </xdr:twoCellAnchor>
  <xdr:twoCellAnchor>
    <xdr:from>
      <xdr:col>13</xdr:col>
      <xdr:colOff>0</xdr:colOff>
      <xdr:row>13</xdr:row>
      <xdr:rowOff>52915</xdr:rowOff>
    </xdr:from>
    <xdr:to>
      <xdr:col>20</xdr:col>
      <xdr:colOff>229144</xdr:colOff>
      <xdr:row>13</xdr:row>
      <xdr:rowOff>158750</xdr:rowOff>
    </xdr:to>
    <xdr:sp macro="" textlink="">
      <xdr:nvSpPr>
        <xdr:cNvPr id="30" name="WordArt 30"/>
        <xdr:cNvSpPr>
          <a:spLocks noChangeArrowheads="1" noChangeShapeType="1"/>
        </xdr:cNvSpPr>
      </xdr:nvSpPr>
      <xdr:spPr bwMode="auto">
        <a:xfrm>
          <a:off x="4201583" y="2031998"/>
          <a:ext cx="2229394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Descanso  medico   particular </a:t>
          </a:r>
        </a:p>
      </xdr:txBody>
    </xdr:sp>
    <xdr:clientData/>
  </xdr:twoCellAnchor>
  <xdr:twoCellAnchor>
    <xdr:from>
      <xdr:col>23</xdr:col>
      <xdr:colOff>0</xdr:colOff>
      <xdr:row>13</xdr:row>
      <xdr:rowOff>42332</xdr:rowOff>
    </xdr:from>
    <xdr:to>
      <xdr:col>30</xdr:col>
      <xdr:colOff>229144</xdr:colOff>
      <xdr:row>13</xdr:row>
      <xdr:rowOff>148167</xdr:rowOff>
    </xdr:to>
    <xdr:sp macro="" textlink="">
      <xdr:nvSpPr>
        <xdr:cNvPr id="31" name="WordArt 30"/>
        <xdr:cNvSpPr>
          <a:spLocks noChangeArrowheads="1" noChangeShapeType="1"/>
        </xdr:cNvSpPr>
      </xdr:nvSpPr>
      <xdr:spPr bwMode="auto">
        <a:xfrm>
          <a:off x="7059083" y="2021415"/>
          <a:ext cx="2229394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Descanso  medico   particular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67</xdr:row>
      <xdr:rowOff>157180</xdr:rowOff>
    </xdr:from>
    <xdr:to>
      <xdr:col>40</xdr:col>
      <xdr:colOff>238125</xdr:colOff>
      <xdr:row>67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7966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VoluntariaCOMPRAS   atp</a:t>
          </a:r>
        </a:p>
      </xdr:txBody>
    </xdr:sp>
    <xdr:clientData/>
  </xdr:twoCellAnchor>
  <xdr:twoCellAnchor>
    <xdr:from>
      <xdr:col>26</xdr:col>
      <xdr:colOff>38100</xdr:colOff>
      <xdr:row>69</xdr:row>
      <xdr:rowOff>211051</xdr:rowOff>
    </xdr:from>
    <xdr:to>
      <xdr:col>34</xdr:col>
      <xdr:colOff>47625</xdr:colOff>
      <xdr:row>69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962900" y="1119337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72</xdr:row>
      <xdr:rowOff>211051</xdr:rowOff>
    </xdr:from>
    <xdr:to>
      <xdr:col>57</xdr:col>
      <xdr:colOff>80895</xdr:colOff>
      <xdr:row>72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86965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206</xdr:row>
      <xdr:rowOff>157180</xdr:rowOff>
    </xdr:from>
    <xdr:to>
      <xdr:col>40</xdr:col>
      <xdr:colOff>238125</xdr:colOff>
      <xdr:row>206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847625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209</xdr:row>
      <xdr:rowOff>211051</xdr:rowOff>
    </xdr:from>
    <xdr:to>
      <xdr:col>33</xdr:col>
      <xdr:colOff>47625</xdr:colOff>
      <xdr:row>209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919687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209</xdr:row>
      <xdr:rowOff>211051</xdr:rowOff>
    </xdr:from>
    <xdr:to>
      <xdr:col>57</xdr:col>
      <xdr:colOff>80895</xdr:colOff>
      <xdr:row>209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919687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11</xdr:col>
      <xdr:colOff>280737</xdr:colOff>
      <xdr:row>62</xdr:row>
      <xdr:rowOff>160419</xdr:rowOff>
    </xdr:from>
    <xdr:to>
      <xdr:col>19</xdr:col>
      <xdr:colOff>144805</xdr:colOff>
      <xdr:row>63</xdr:row>
      <xdr:rowOff>95806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3919287" y="10018794"/>
          <a:ext cx="2150068" cy="106837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3</xdr:col>
      <xdr:colOff>140368</xdr:colOff>
      <xdr:row>63</xdr:row>
      <xdr:rowOff>20051</xdr:rowOff>
    </xdr:from>
    <xdr:to>
      <xdr:col>11</xdr:col>
      <xdr:colOff>78749</xdr:colOff>
      <xdr:row>63</xdr:row>
      <xdr:rowOff>125886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1492918" y="10049876"/>
          <a:ext cx="22243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 </a:t>
          </a:r>
        </a:p>
      </xdr:txBody>
    </xdr:sp>
    <xdr:clientData/>
  </xdr:twoCellAnchor>
  <xdr:twoCellAnchor>
    <xdr:from>
      <xdr:col>23</xdr:col>
      <xdr:colOff>0</xdr:colOff>
      <xdr:row>63</xdr:row>
      <xdr:rowOff>0</xdr:rowOff>
    </xdr:from>
    <xdr:to>
      <xdr:col>30</xdr:col>
      <xdr:colOff>154831</xdr:colOff>
      <xdr:row>63</xdr:row>
      <xdr:rowOff>105835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7067550" y="1002982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V A C A C I O N E S  * </a:t>
          </a:r>
        </a:p>
      </xdr:txBody>
    </xdr:sp>
    <xdr:clientData/>
  </xdr:twoCellAnchor>
  <xdr:twoCellAnchor>
    <xdr:from>
      <xdr:col>32</xdr:col>
      <xdr:colOff>0</xdr:colOff>
      <xdr:row>63</xdr:row>
      <xdr:rowOff>0</xdr:rowOff>
    </xdr:from>
    <xdr:to>
      <xdr:col>39</xdr:col>
      <xdr:colOff>229144</xdr:colOff>
      <xdr:row>63</xdr:row>
      <xdr:rowOff>105835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9639300" y="10029825"/>
          <a:ext cx="2229394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Descanso  medico   particular </a:t>
          </a:r>
        </a:p>
      </xdr:txBody>
    </xdr:sp>
    <xdr:clientData/>
  </xdr:twoCellAnchor>
  <xdr:twoCellAnchor>
    <xdr:from>
      <xdr:col>26</xdr:col>
      <xdr:colOff>0</xdr:colOff>
      <xdr:row>64</xdr:row>
      <xdr:rowOff>0</xdr:rowOff>
    </xdr:from>
    <xdr:to>
      <xdr:col>33</xdr:col>
      <xdr:colOff>154831</xdr:colOff>
      <xdr:row>64</xdr:row>
      <xdr:rowOff>105835</xdr:rowOff>
    </xdr:to>
    <xdr:sp macro="" textlink="">
      <xdr:nvSpPr>
        <xdr:cNvPr id="12" name="WordArt 30"/>
        <xdr:cNvSpPr>
          <a:spLocks noChangeArrowheads="1" noChangeShapeType="1"/>
        </xdr:cNvSpPr>
      </xdr:nvSpPr>
      <xdr:spPr bwMode="auto">
        <a:xfrm>
          <a:off x="7924800" y="1020127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permiso  x Atencion  medica </a:t>
          </a:r>
        </a:p>
      </xdr:txBody>
    </xdr:sp>
    <xdr:clientData/>
  </xdr:twoCellAnchor>
  <xdr:twoCellAnchor>
    <xdr:from>
      <xdr:col>34</xdr:col>
      <xdr:colOff>0</xdr:colOff>
      <xdr:row>64</xdr:row>
      <xdr:rowOff>0</xdr:rowOff>
    </xdr:from>
    <xdr:to>
      <xdr:col>41</xdr:col>
      <xdr:colOff>209092</xdr:colOff>
      <xdr:row>64</xdr:row>
      <xdr:rowOff>105835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10210800" y="10201275"/>
          <a:ext cx="2237917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Descanso  medico   ESSALUD  </a:t>
          </a:r>
        </a:p>
      </xdr:txBody>
    </xdr:sp>
    <xdr:clientData/>
  </xdr:twoCellAnchor>
  <xdr:twoCellAnchor>
    <xdr:from>
      <xdr:col>20</xdr:col>
      <xdr:colOff>110289</xdr:colOff>
      <xdr:row>63</xdr:row>
      <xdr:rowOff>80211</xdr:rowOff>
    </xdr:from>
    <xdr:to>
      <xdr:col>24</xdr:col>
      <xdr:colOff>30078</xdr:colOff>
      <xdr:row>64</xdr:row>
      <xdr:rowOff>20054</xdr:rowOff>
    </xdr:to>
    <xdr:sp macro="" textlink="">
      <xdr:nvSpPr>
        <xdr:cNvPr id="14" name="WordArt 30"/>
        <xdr:cNvSpPr>
          <a:spLocks noChangeArrowheads="1" noChangeShapeType="1"/>
        </xdr:cNvSpPr>
      </xdr:nvSpPr>
      <xdr:spPr bwMode="auto">
        <a:xfrm>
          <a:off x="6320589" y="10110036"/>
          <a:ext cx="1062789" cy="111293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cita essalud </a:t>
          </a:r>
        </a:p>
      </xdr:txBody>
    </xdr:sp>
    <xdr:clientData/>
  </xdr:twoCellAnchor>
  <xdr:twoCellAnchor>
    <xdr:from>
      <xdr:col>2</xdr:col>
      <xdr:colOff>169338</xdr:colOff>
      <xdr:row>21</xdr:row>
      <xdr:rowOff>52916</xdr:rowOff>
    </xdr:from>
    <xdr:to>
      <xdr:col>10</xdr:col>
      <xdr:colOff>107719</xdr:colOff>
      <xdr:row>21</xdr:row>
      <xdr:rowOff>158751</xdr:rowOff>
    </xdr:to>
    <xdr:sp macro="" textlink="">
      <xdr:nvSpPr>
        <xdr:cNvPr id="16" name="WordArt 30"/>
        <xdr:cNvSpPr>
          <a:spLocks noChangeArrowheads="1" noChangeShapeType="1"/>
        </xdr:cNvSpPr>
      </xdr:nvSpPr>
      <xdr:spPr bwMode="auto">
        <a:xfrm>
          <a:off x="1227671" y="3386666"/>
          <a:ext cx="22243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 </a:t>
          </a:r>
        </a:p>
      </xdr:txBody>
    </xdr:sp>
    <xdr:clientData/>
  </xdr:twoCellAnchor>
  <xdr:twoCellAnchor editAs="oneCell">
    <xdr:from>
      <xdr:col>3</xdr:col>
      <xdr:colOff>95256</xdr:colOff>
      <xdr:row>66</xdr:row>
      <xdr:rowOff>84672</xdr:rowOff>
    </xdr:from>
    <xdr:to>
      <xdr:col>37</xdr:col>
      <xdr:colOff>207581</xdr:colOff>
      <xdr:row>83</xdr:row>
      <xdr:rowOff>92410</xdr:rowOff>
    </xdr:to>
    <xdr:pic>
      <xdr:nvPicPr>
        <xdr:cNvPr id="2970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16673" t="12403" b="39826"/>
        <a:stretch>
          <a:fillRect/>
        </a:stretch>
      </xdr:blipFill>
      <xdr:spPr bwMode="auto">
        <a:xfrm>
          <a:off x="1439339" y="10477505"/>
          <a:ext cx="9827825" cy="35214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23</xdr:col>
      <xdr:colOff>0</xdr:colOff>
      <xdr:row>16</xdr:row>
      <xdr:rowOff>52915</xdr:rowOff>
    </xdr:from>
    <xdr:to>
      <xdr:col>30</xdr:col>
      <xdr:colOff>149818</xdr:colOff>
      <xdr:row>16</xdr:row>
      <xdr:rowOff>157635</xdr:rowOff>
    </xdr:to>
    <xdr:sp macro="" textlink="">
      <xdr:nvSpPr>
        <xdr:cNvPr id="18" name="WordArt 30"/>
        <xdr:cNvSpPr>
          <a:spLocks noChangeArrowheads="1" noChangeShapeType="1"/>
        </xdr:cNvSpPr>
      </xdr:nvSpPr>
      <xdr:spPr bwMode="auto">
        <a:xfrm>
          <a:off x="7059083" y="2539998"/>
          <a:ext cx="2150068" cy="10472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26</xdr:col>
      <xdr:colOff>10584</xdr:colOff>
      <xdr:row>22</xdr:row>
      <xdr:rowOff>52917</xdr:rowOff>
    </xdr:from>
    <xdr:to>
      <xdr:col>31</xdr:col>
      <xdr:colOff>264584</xdr:colOff>
      <xdr:row>22</xdr:row>
      <xdr:rowOff>148167</xdr:rowOff>
    </xdr:to>
    <xdr:sp macro="" textlink="">
      <xdr:nvSpPr>
        <xdr:cNvPr id="19" name="WordArt 30"/>
        <xdr:cNvSpPr>
          <a:spLocks noChangeArrowheads="1" noChangeShapeType="1"/>
        </xdr:cNvSpPr>
      </xdr:nvSpPr>
      <xdr:spPr bwMode="auto">
        <a:xfrm>
          <a:off x="7926917" y="3556000"/>
          <a:ext cx="1682750" cy="952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Atencion  medica particular </a:t>
          </a:r>
        </a:p>
      </xdr:txBody>
    </xdr:sp>
    <xdr:clientData/>
  </xdr:twoCellAnchor>
  <xdr:twoCellAnchor>
    <xdr:from>
      <xdr:col>41</xdr:col>
      <xdr:colOff>0</xdr:colOff>
      <xdr:row>63</xdr:row>
      <xdr:rowOff>0</xdr:rowOff>
    </xdr:from>
    <xdr:to>
      <xdr:col>48</xdr:col>
      <xdr:colOff>21166</xdr:colOff>
      <xdr:row>63</xdr:row>
      <xdr:rowOff>95250</xdr:rowOff>
    </xdr:to>
    <xdr:sp macro="" textlink="">
      <xdr:nvSpPr>
        <xdr:cNvPr id="20" name="WordArt 30"/>
        <xdr:cNvSpPr>
          <a:spLocks noChangeArrowheads="1" noChangeShapeType="1"/>
        </xdr:cNvSpPr>
      </xdr:nvSpPr>
      <xdr:spPr bwMode="auto">
        <a:xfrm>
          <a:off x="12234333" y="9948333"/>
          <a:ext cx="1682750" cy="952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Atencion  medica particular </a:t>
          </a:r>
        </a:p>
      </xdr:txBody>
    </xdr:sp>
    <xdr:clientData/>
  </xdr:twoCellAnchor>
  <xdr:twoCellAnchor>
    <xdr:from>
      <xdr:col>3</xdr:col>
      <xdr:colOff>0</xdr:colOff>
      <xdr:row>41</xdr:row>
      <xdr:rowOff>52915</xdr:rowOff>
    </xdr:from>
    <xdr:to>
      <xdr:col>10</xdr:col>
      <xdr:colOff>224131</xdr:colOff>
      <xdr:row>41</xdr:row>
      <xdr:rowOff>158750</xdr:rowOff>
    </xdr:to>
    <xdr:sp macro="" textlink="">
      <xdr:nvSpPr>
        <xdr:cNvPr id="21" name="WordArt 30"/>
        <xdr:cNvSpPr>
          <a:spLocks noChangeArrowheads="1" noChangeShapeType="1"/>
        </xdr:cNvSpPr>
      </xdr:nvSpPr>
      <xdr:spPr bwMode="auto">
        <a:xfrm>
          <a:off x="1344083" y="6656915"/>
          <a:ext cx="22243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 </a:t>
          </a:r>
        </a:p>
      </xdr:txBody>
    </xdr:sp>
    <xdr:clientData/>
  </xdr:twoCellAnchor>
  <xdr:twoCellAnchor>
    <xdr:from>
      <xdr:col>3</xdr:col>
      <xdr:colOff>0</xdr:colOff>
      <xdr:row>44</xdr:row>
      <xdr:rowOff>52915</xdr:rowOff>
    </xdr:from>
    <xdr:to>
      <xdr:col>10</xdr:col>
      <xdr:colOff>224131</xdr:colOff>
      <xdr:row>44</xdr:row>
      <xdr:rowOff>158750</xdr:rowOff>
    </xdr:to>
    <xdr:sp macro="" textlink="">
      <xdr:nvSpPr>
        <xdr:cNvPr id="22" name="WordArt 30"/>
        <xdr:cNvSpPr>
          <a:spLocks noChangeArrowheads="1" noChangeShapeType="1"/>
        </xdr:cNvSpPr>
      </xdr:nvSpPr>
      <xdr:spPr bwMode="auto">
        <a:xfrm>
          <a:off x="1344083" y="7164915"/>
          <a:ext cx="22243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 </a:t>
          </a:r>
        </a:p>
      </xdr:txBody>
    </xdr:sp>
    <xdr:clientData/>
  </xdr:twoCellAnchor>
  <xdr:twoCellAnchor>
    <xdr:from>
      <xdr:col>3</xdr:col>
      <xdr:colOff>0</xdr:colOff>
      <xdr:row>43</xdr:row>
      <xdr:rowOff>42332</xdr:rowOff>
    </xdr:from>
    <xdr:to>
      <xdr:col>10</xdr:col>
      <xdr:colOff>224131</xdr:colOff>
      <xdr:row>43</xdr:row>
      <xdr:rowOff>148167</xdr:rowOff>
    </xdr:to>
    <xdr:sp macro="" textlink="">
      <xdr:nvSpPr>
        <xdr:cNvPr id="23" name="WordArt 30"/>
        <xdr:cNvSpPr>
          <a:spLocks noChangeArrowheads="1" noChangeShapeType="1"/>
        </xdr:cNvSpPr>
      </xdr:nvSpPr>
      <xdr:spPr bwMode="auto">
        <a:xfrm>
          <a:off x="1344083" y="6984999"/>
          <a:ext cx="22243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 </a:t>
          </a:r>
        </a:p>
      </xdr:txBody>
    </xdr:sp>
    <xdr:clientData/>
  </xdr:twoCellAnchor>
  <xdr:twoCellAnchor>
    <xdr:from>
      <xdr:col>13</xdr:col>
      <xdr:colOff>0</xdr:colOff>
      <xdr:row>41</xdr:row>
      <xdr:rowOff>52915</xdr:rowOff>
    </xdr:from>
    <xdr:to>
      <xdr:col>20</xdr:col>
      <xdr:colOff>149818</xdr:colOff>
      <xdr:row>41</xdr:row>
      <xdr:rowOff>157635</xdr:rowOff>
    </xdr:to>
    <xdr:sp macro="" textlink="">
      <xdr:nvSpPr>
        <xdr:cNvPr id="24" name="WordArt 30"/>
        <xdr:cNvSpPr>
          <a:spLocks noChangeArrowheads="1" noChangeShapeType="1"/>
        </xdr:cNvSpPr>
      </xdr:nvSpPr>
      <xdr:spPr bwMode="auto">
        <a:xfrm>
          <a:off x="4201583" y="6656915"/>
          <a:ext cx="2150068" cy="10472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67</xdr:row>
      <xdr:rowOff>157180</xdr:rowOff>
    </xdr:from>
    <xdr:to>
      <xdr:col>40</xdr:col>
      <xdr:colOff>238125</xdr:colOff>
      <xdr:row>67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7966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VoluntariaCOMPRAS   atp</a:t>
          </a:r>
        </a:p>
      </xdr:txBody>
    </xdr:sp>
    <xdr:clientData/>
  </xdr:twoCellAnchor>
  <xdr:twoCellAnchor>
    <xdr:from>
      <xdr:col>26</xdr:col>
      <xdr:colOff>38100</xdr:colOff>
      <xdr:row>69</xdr:row>
      <xdr:rowOff>211051</xdr:rowOff>
    </xdr:from>
    <xdr:to>
      <xdr:col>34</xdr:col>
      <xdr:colOff>47625</xdr:colOff>
      <xdr:row>69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962900" y="1119337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72</xdr:row>
      <xdr:rowOff>211051</xdr:rowOff>
    </xdr:from>
    <xdr:to>
      <xdr:col>57</xdr:col>
      <xdr:colOff>80895</xdr:colOff>
      <xdr:row>72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86965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206</xdr:row>
      <xdr:rowOff>157180</xdr:rowOff>
    </xdr:from>
    <xdr:to>
      <xdr:col>40</xdr:col>
      <xdr:colOff>238125</xdr:colOff>
      <xdr:row>206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82667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209</xdr:row>
      <xdr:rowOff>211051</xdr:rowOff>
    </xdr:from>
    <xdr:to>
      <xdr:col>33</xdr:col>
      <xdr:colOff>47625</xdr:colOff>
      <xdr:row>209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898732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209</xdr:row>
      <xdr:rowOff>211051</xdr:rowOff>
    </xdr:from>
    <xdr:to>
      <xdr:col>57</xdr:col>
      <xdr:colOff>80895</xdr:colOff>
      <xdr:row>209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89873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11</xdr:col>
      <xdr:colOff>280737</xdr:colOff>
      <xdr:row>62</xdr:row>
      <xdr:rowOff>160419</xdr:rowOff>
    </xdr:from>
    <xdr:to>
      <xdr:col>19</xdr:col>
      <xdr:colOff>144805</xdr:colOff>
      <xdr:row>63</xdr:row>
      <xdr:rowOff>95806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3919287" y="10018794"/>
          <a:ext cx="2150068" cy="106837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3</xdr:col>
      <xdr:colOff>140368</xdr:colOff>
      <xdr:row>63</xdr:row>
      <xdr:rowOff>20051</xdr:rowOff>
    </xdr:from>
    <xdr:to>
      <xdr:col>11</xdr:col>
      <xdr:colOff>78749</xdr:colOff>
      <xdr:row>63</xdr:row>
      <xdr:rowOff>125886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1492918" y="10049876"/>
          <a:ext cx="22243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 </a:t>
          </a:r>
        </a:p>
      </xdr:txBody>
    </xdr:sp>
    <xdr:clientData/>
  </xdr:twoCellAnchor>
  <xdr:twoCellAnchor>
    <xdr:from>
      <xdr:col>23</xdr:col>
      <xdr:colOff>0</xdr:colOff>
      <xdr:row>63</xdr:row>
      <xdr:rowOff>0</xdr:rowOff>
    </xdr:from>
    <xdr:to>
      <xdr:col>30</xdr:col>
      <xdr:colOff>154831</xdr:colOff>
      <xdr:row>63</xdr:row>
      <xdr:rowOff>105835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7067550" y="1002982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V A C A C I O N E S  * </a:t>
          </a:r>
        </a:p>
      </xdr:txBody>
    </xdr:sp>
    <xdr:clientData/>
  </xdr:twoCellAnchor>
  <xdr:twoCellAnchor>
    <xdr:from>
      <xdr:col>32</xdr:col>
      <xdr:colOff>0</xdr:colOff>
      <xdr:row>63</xdr:row>
      <xdr:rowOff>0</xdr:rowOff>
    </xdr:from>
    <xdr:to>
      <xdr:col>39</xdr:col>
      <xdr:colOff>229144</xdr:colOff>
      <xdr:row>63</xdr:row>
      <xdr:rowOff>105835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9639300" y="10029825"/>
          <a:ext cx="2229394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Descanso  medico   particular </a:t>
          </a:r>
        </a:p>
      </xdr:txBody>
    </xdr:sp>
    <xdr:clientData/>
  </xdr:twoCellAnchor>
  <xdr:twoCellAnchor>
    <xdr:from>
      <xdr:col>26</xdr:col>
      <xdr:colOff>0</xdr:colOff>
      <xdr:row>64</xdr:row>
      <xdr:rowOff>0</xdr:rowOff>
    </xdr:from>
    <xdr:to>
      <xdr:col>33</xdr:col>
      <xdr:colOff>154831</xdr:colOff>
      <xdr:row>64</xdr:row>
      <xdr:rowOff>105835</xdr:rowOff>
    </xdr:to>
    <xdr:sp macro="" textlink="">
      <xdr:nvSpPr>
        <xdr:cNvPr id="12" name="WordArt 30"/>
        <xdr:cNvSpPr>
          <a:spLocks noChangeArrowheads="1" noChangeShapeType="1"/>
        </xdr:cNvSpPr>
      </xdr:nvSpPr>
      <xdr:spPr bwMode="auto">
        <a:xfrm>
          <a:off x="7924800" y="1020127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permiso  x Atencion  medica </a:t>
          </a:r>
        </a:p>
      </xdr:txBody>
    </xdr:sp>
    <xdr:clientData/>
  </xdr:twoCellAnchor>
  <xdr:twoCellAnchor>
    <xdr:from>
      <xdr:col>34</xdr:col>
      <xdr:colOff>0</xdr:colOff>
      <xdr:row>64</xdr:row>
      <xdr:rowOff>0</xdr:rowOff>
    </xdr:from>
    <xdr:to>
      <xdr:col>41</xdr:col>
      <xdr:colOff>209092</xdr:colOff>
      <xdr:row>64</xdr:row>
      <xdr:rowOff>105835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10210800" y="10201275"/>
          <a:ext cx="2237917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Descanso  medico   ESSALUD  </a:t>
          </a:r>
        </a:p>
      </xdr:txBody>
    </xdr:sp>
    <xdr:clientData/>
  </xdr:twoCellAnchor>
  <xdr:twoCellAnchor>
    <xdr:from>
      <xdr:col>20</xdr:col>
      <xdr:colOff>110289</xdr:colOff>
      <xdr:row>63</xdr:row>
      <xdr:rowOff>80211</xdr:rowOff>
    </xdr:from>
    <xdr:to>
      <xdr:col>24</xdr:col>
      <xdr:colOff>30078</xdr:colOff>
      <xdr:row>64</xdr:row>
      <xdr:rowOff>20054</xdr:rowOff>
    </xdr:to>
    <xdr:sp macro="" textlink="">
      <xdr:nvSpPr>
        <xdr:cNvPr id="14" name="WordArt 30"/>
        <xdr:cNvSpPr>
          <a:spLocks noChangeArrowheads="1" noChangeShapeType="1"/>
        </xdr:cNvSpPr>
      </xdr:nvSpPr>
      <xdr:spPr bwMode="auto">
        <a:xfrm>
          <a:off x="6320589" y="10110036"/>
          <a:ext cx="1062789" cy="111293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cita essalud </a:t>
          </a:r>
        </a:p>
      </xdr:txBody>
    </xdr:sp>
    <xdr:clientData/>
  </xdr:twoCellAnchor>
  <xdr:twoCellAnchor editAs="oneCell">
    <xdr:from>
      <xdr:col>7</xdr:col>
      <xdr:colOff>275172</xdr:colOff>
      <xdr:row>65</xdr:row>
      <xdr:rowOff>10585</xdr:rowOff>
    </xdr:from>
    <xdr:to>
      <xdr:col>35</xdr:col>
      <xdr:colOff>107882</xdr:colOff>
      <xdr:row>82</xdr:row>
      <xdr:rowOff>69590</xdr:rowOff>
    </xdr:to>
    <xdr:pic>
      <xdr:nvPicPr>
        <xdr:cNvPr id="2254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16133" t="9727" r="12466" b="40641"/>
        <a:stretch>
          <a:fillRect/>
        </a:stretch>
      </xdr:blipFill>
      <xdr:spPr bwMode="auto">
        <a:xfrm>
          <a:off x="2762255" y="10361085"/>
          <a:ext cx="7833710" cy="34033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23</xdr:col>
      <xdr:colOff>0</xdr:colOff>
      <xdr:row>21</xdr:row>
      <xdr:rowOff>42332</xdr:rowOff>
    </xdr:from>
    <xdr:to>
      <xdr:col>30</xdr:col>
      <xdr:colOff>224131</xdr:colOff>
      <xdr:row>21</xdr:row>
      <xdr:rowOff>148167</xdr:rowOff>
    </xdr:to>
    <xdr:sp macro="" textlink="">
      <xdr:nvSpPr>
        <xdr:cNvPr id="16" name="WordArt 30"/>
        <xdr:cNvSpPr>
          <a:spLocks noChangeArrowheads="1" noChangeShapeType="1"/>
        </xdr:cNvSpPr>
      </xdr:nvSpPr>
      <xdr:spPr bwMode="auto">
        <a:xfrm>
          <a:off x="7059083" y="3376082"/>
          <a:ext cx="22243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 </a:t>
          </a:r>
        </a:p>
      </xdr:txBody>
    </xdr:sp>
    <xdr:clientData/>
  </xdr:twoCellAnchor>
  <xdr:twoCellAnchor>
    <xdr:from>
      <xdr:col>2</xdr:col>
      <xdr:colOff>275167</xdr:colOff>
      <xdr:row>40</xdr:row>
      <xdr:rowOff>31749</xdr:rowOff>
    </xdr:from>
    <xdr:to>
      <xdr:col>10</xdr:col>
      <xdr:colOff>139235</xdr:colOff>
      <xdr:row>40</xdr:row>
      <xdr:rowOff>136469</xdr:rowOff>
    </xdr:to>
    <xdr:sp macro="" textlink="">
      <xdr:nvSpPr>
        <xdr:cNvPr id="17" name="WordArt 30"/>
        <xdr:cNvSpPr>
          <a:spLocks noChangeArrowheads="1" noChangeShapeType="1"/>
        </xdr:cNvSpPr>
      </xdr:nvSpPr>
      <xdr:spPr bwMode="auto">
        <a:xfrm>
          <a:off x="1333500" y="6466416"/>
          <a:ext cx="2150068" cy="10472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23</xdr:col>
      <xdr:colOff>0</xdr:colOff>
      <xdr:row>40</xdr:row>
      <xdr:rowOff>52915</xdr:rowOff>
    </xdr:from>
    <xdr:to>
      <xdr:col>30</xdr:col>
      <xdr:colOff>149818</xdr:colOff>
      <xdr:row>40</xdr:row>
      <xdr:rowOff>157635</xdr:rowOff>
    </xdr:to>
    <xdr:sp macro="" textlink="">
      <xdr:nvSpPr>
        <xdr:cNvPr id="18" name="WordArt 30"/>
        <xdr:cNvSpPr>
          <a:spLocks noChangeArrowheads="1" noChangeShapeType="1"/>
        </xdr:cNvSpPr>
      </xdr:nvSpPr>
      <xdr:spPr bwMode="auto">
        <a:xfrm>
          <a:off x="7059083" y="6487582"/>
          <a:ext cx="2150068" cy="10472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67</xdr:row>
      <xdr:rowOff>157180</xdr:rowOff>
    </xdr:from>
    <xdr:to>
      <xdr:col>40</xdr:col>
      <xdr:colOff>238125</xdr:colOff>
      <xdr:row>67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7966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VoluntariaCOMPRAS   atp</a:t>
          </a:r>
        </a:p>
      </xdr:txBody>
    </xdr:sp>
    <xdr:clientData/>
  </xdr:twoCellAnchor>
  <xdr:twoCellAnchor>
    <xdr:from>
      <xdr:col>26</xdr:col>
      <xdr:colOff>38100</xdr:colOff>
      <xdr:row>69</xdr:row>
      <xdr:rowOff>211051</xdr:rowOff>
    </xdr:from>
    <xdr:to>
      <xdr:col>34</xdr:col>
      <xdr:colOff>47625</xdr:colOff>
      <xdr:row>69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962900" y="1119337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72</xdr:row>
      <xdr:rowOff>211051</xdr:rowOff>
    </xdr:from>
    <xdr:to>
      <xdr:col>57</xdr:col>
      <xdr:colOff>80895</xdr:colOff>
      <xdr:row>72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86965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205</xdr:row>
      <xdr:rowOff>157180</xdr:rowOff>
    </xdr:from>
    <xdr:to>
      <xdr:col>40</xdr:col>
      <xdr:colOff>238125</xdr:colOff>
      <xdr:row>205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82667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208</xdr:row>
      <xdr:rowOff>211051</xdr:rowOff>
    </xdr:from>
    <xdr:to>
      <xdr:col>33</xdr:col>
      <xdr:colOff>47625</xdr:colOff>
      <xdr:row>208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898732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208</xdr:row>
      <xdr:rowOff>211051</xdr:rowOff>
    </xdr:from>
    <xdr:to>
      <xdr:col>57</xdr:col>
      <xdr:colOff>80895</xdr:colOff>
      <xdr:row>208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898732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11</xdr:col>
      <xdr:colOff>280737</xdr:colOff>
      <xdr:row>62</xdr:row>
      <xdr:rowOff>160419</xdr:rowOff>
    </xdr:from>
    <xdr:to>
      <xdr:col>19</xdr:col>
      <xdr:colOff>144805</xdr:colOff>
      <xdr:row>63</xdr:row>
      <xdr:rowOff>95806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3919287" y="10018794"/>
          <a:ext cx="2150068" cy="106837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3</xdr:col>
      <xdr:colOff>140368</xdr:colOff>
      <xdr:row>63</xdr:row>
      <xdr:rowOff>20051</xdr:rowOff>
    </xdr:from>
    <xdr:to>
      <xdr:col>11</xdr:col>
      <xdr:colOff>78749</xdr:colOff>
      <xdr:row>63</xdr:row>
      <xdr:rowOff>125886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1492918" y="10049876"/>
          <a:ext cx="22243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 </a:t>
          </a:r>
        </a:p>
      </xdr:txBody>
    </xdr:sp>
    <xdr:clientData/>
  </xdr:twoCellAnchor>
  <xdr:twoCellAnchor>
    <xdr:from>
      <xdr:col>23</xdr:col>
      <xdr:colOff>0</xdr:colOff>
      <xdr:row>63</xdr:row>
      <xdr:rowOff>0</xdr:rowOff>
    </xdr:from>
    <xdr:to>
      <xdr:col>30</xdr:col>
      <xdr:colOff>154831</xdr:colOff>
      <xdr:row>63</xdr:row>
      <xdr:rowOff>105835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7067550" y="1002982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V A C A C I O N E S  * </a:t>
          </a:r>
        </a:p>
      </xdr:txBody>
    </xdr:sp>
    <xdr:clientData/>
  </xdr:twoCellAnchor>
  <xdr:twoCellAnchor>
    <xdr:from>
      <xdr:col>32</xdr:col>
      <xdr:colOff>0</xdr:colOff>
      <xdr:row>63</xdr:row>
      <xdr:rowOff>0</xdr:rowOff>
    </xdr:from>
    <xdr:to>
      <xdr:col>39</xdr:col>
      <xdr:colOff>229144</xdr:colOff>
      <xdr:row>63</xdr:row>
      <xdr:rowOff>105835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9639300" y="10029825"/>
          <a:ext cx="2229394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Descanso  medico   particular </a:t>
          </a:r>
        </a:p>
      </xdr:txBody>
    </xdr:sp>
    <xdr:clientData/>
  </xdr:twoCellAnchor>
  <xdr:twoCellAnchor>
    <xdr:from>
      <xdr:col>26</xdr:col>
      <xdr:colOff>0</xdr:colOff>
      <xdr:row>64</xdr:row>
      <xdr:rowOff>0</xdr:rowOff>
    </xdr:from>
    <xdr:to>
      <xdr:col>33</xdr:col>
      <xdr:colOff>154831</xdr:colOff>
      <xdr:row>64</xdr:row>
      <xdr:rowOff>105835</xdr:rowOff>
    </xdr:to>
    <xdr:sp macro="" textlink="">
      <xdr:nvSpPr>
        <xdr:cNvPr id="12" name="WordArt 30"/>
        <xdr:cNvSpPr>
          <a:spLocks noChangeArrowheads="1" noChangeShapeType="1"/>
        </xdr:cNvSpPr>
      </xdr:nvSpPr>
      <xdr:spPr bwMode="auto">
        <a:xfrm>
          <a:off x="7924800" y="1020127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permiso  x Atencion  medica </a:t>
          </a:r>
        </a:p>
      </xdr:txBody>
    </xdr:sp>
    <xdr:clientData/>
  </xdr:twoCellAnchor>
  <xdr:twoCellAnchor>
    <xdr:from>
      <xdr:col>34</xdr:col>
      <xdr:colOff>0</xdr:colOff>
      <xdr:row>64</xdr:row>
      <xdr:rowOff>0</xdr:rowOff>
    </xdr:from>
    <xdr:to>
      <xdr:col>41</xdr:col>
      <xdr:colOff>209092</xdr:colOff>
      <xdr:row>64</xdr:row>
      <xdr:rowOff>105835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10210800" y="10201275"/>
          <a:ext cx="2237917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Descanso  medico   ESSALUD  </a:t>
          </a:r>
        </a:p>
      </xdr:txBody>
    </xdr:sp>
    <xdr:clientData/>
  </xdr:twoCellAnchor>
  <xdr:twoCellAnchor>
    <xdr:from>
      <xdr:col>20</xdr:col>
      <xdr:colOff>110289</xdr:colOff>
      <xdr:row>63</xdr:row>
      <xdr:rowOff>80211</xdr:rowOff>
    </xdr:from>
    <xdr:to>
      <xdr:col>24</xdr:col>
      <xdr:colOff>30078</xdr:colOff>
      <xdr:row>64</xdr:row>
      <xdr:rowOff>20054</xdr:rowOff>
    </xdr:to>
    <xdr:sp macro="" textlink="">
      <xdr:nvSpPr>
        <xdr:cNvPr id="14" name="WordArt 30"/>
        <xdr:cNvSpPr>
          <a:spLocks noChangeArrowheads="1" noChangeShapeType="1"/>
        </xdr:cNvSpPr>
      </xdr:nvSpPr>
      <xdr:spPr bwMode="auto">
        <a:xfrm>
          <a:off x="6320589" y="10110036"/>
          <a:ext cx="1062789" cy="111293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cita essalud </a:t>
          </a:r>
        </a:p>
      </xdr:txBody>
    </xdr:sp>
    <xdr:clientData/>
  </xdr:twoCellAnchor>
  <xdr:twoCellAnchor>
    <xdr:from>
      <xdr:col>23</xdr:col>
      <xdr:colOff>0</xdr:colOff>
      <xdr:row>10</xdr:row>
      <xdr:rowOff>52915</xdr:rowOff>
    </xdr:from>
    <xdr:to>
      <xdr:col>30</xdr:col>
      <xdr:colOff>149818</xdr:colOff>
      <xdr:row>10</xdr:row>
      <xdr:rowOff>157635</xdr:rowOff>
    </xdr:to>
    <xdr:sp macro="" textlink="">
      <xdr:nvSpPr>
        <xdr:cNvPr id="23" name="WordArt 30"/>
        <xdr:cNvSpPr>
          <a:spLocks noChangeArrowheads="1" noChangeShapeType="1"/>
        </xdr:cNvSpPr>
      </xdr:nvSpPr>
      <xdr:spPr bwMode="auto">
        <a:xfrm>
          <a:off x="7059083" y="1523998"/>
          <a:ext cx="2150068" cy="10472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3</xdr:col>
      <xdr:colOff>0</xdr:colOff>
      <xdr:row>45</xdr:row>
      <xdr:rowOff>52915</xdr:rowOff>
    </xdr:from>
    <xdr:to>
      <xdr:col>10</xdr:col>
      <xdr:colOff>149818</xdr:colOff>
      <xdr:row>45</xdr:row>
      <xdr:rowOff>157635</xdr:rowOff>
    </xdr:to>
    <xdr:sp macro="" textlink="">
      <xdr:nvSpPr>
        <xdr:cNvPr id="16" name="WordArt 30"/>
        <xdr:cNvSpPr>
          <a:spLocks noChangeArrowheads="1" noChangeShapeType="1"/>
        </xdr:cNvSpPr>
      </xdr:nvSpPr>
      <xdr:spPr bwMode="auto">
        <a:xfrm>
          <a:off x="1344083" y="7334248"/>
          <a:ext cx="2150068" cy="10472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13</xdr:col>
      <xdr:colOff>0</xdr:colOff>
      <xdr:row>36</xdr:row>
      <xdr:rowOff>52915</xdr:rowOff>
    </xdr:from>
    <xdr:to>
      <xdr:col>20</xdr:col>
      <xdr:colOff>149818</xdr:colOff>
      <xdr:row>36</xdr:row>
      <xdr:rowOff>157635</xdr:rowOff>
    </xdr:to>
    <xdr:sp macro="" textlink="">
      <xdr:nvSpPr>
        <xdr:cNvPr id="17" name="WordArt 30"/>
        <xdr:cNvSpPr>
          <a:spLocks noChangeArrowheads="1" noChangeShapeType="1"/>
        </xdr:cNvSpPr>
      </xdr:nvSpPr>
      <xdr:spPr bwMode="auto">
        <a:xfrm>
          <a:off x="4201583" y="5810248"/>
          <a:ext cx="2150068" cy="10472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23</xdr:col>
      <xdr:colOff>0</xdr:colOff>
      <xdr:row>42</xdr:row>
      <xdr:rowOff>42332</xdr:rowOff>
    </xdr:from>
    <xdr:to>
      <xdr:col>30</xdr:col>
      <xdr:colOff>149818</xdr:colOff>
      <xdr:row>42</xdr:row>
      <xdr:rowOff>147052</xdr:rowOff>
    </xdr:to>
    <xdr:sp macro="" textlink="">
      <xdr:nvSpPr>
        <xdr:cNvPr id="18" name="WordArt 30"/>
        <xdr:cNvSpPr>
          <a:spLocks noChangeArrowheads="1" noChangeShapeType="1"/>
        </xdr:cNvSpPr>
      </xdr:nvSpPr>
      <xdr:spPr bwMode="auto">
        <a:xfrm>
          <a:off x="7059083" y="6815665"/>
          <a:ext cx="2150068" cy="10472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67</xdr:row>
      <xdr:rowOff>157180</xdr:rowOff>
    </xdr:from>
    <xdr:to>
      <xdr:col>40</xdr:col>
      <xdr:colOff>238125</xdr:colOff>
      <xdr:row>67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77755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VoluntariaCOMPRAS   atp</a:t>
          </a:r>
        </a:p>
      </xdr:txBody>
    </xdr:sp>
    <xdr:clientData/>
  </xdr:twoCellAnchor>
  <xdr:twoCellAnchor>
    <xdr:from>
      <xdr:col>26</xdr:col>
      <xdr:colOff>38100</xdr:colOff>
      <xdr:row>69</xdr:row>
      <xdr:rowOff>211051</xdr:rowOff>
    </xdr:from>
    <xdr:to>
      <xdr:col>34</xdr:col>
      <xdr:colOff>47625</xdr:colOff>
      <xdr:row>69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962900" y="1117432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72</xdr:row>
      <xdr:rowOff>211051</xdr:rowOff>
    </xdr:from>
    <xdr:to>
      <xdr:col>57</xdr:col>
      <xdr:colOff>80895</xdr:colOff>
      <xdr:row>72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85060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205</xdr:row>
      <xdr:rowOff>157180</xdr:rowOff>
    </xdr:from>
    <xdr:to>
      <xdr:col>40</xdr:col>
      <xdr:colOff>238125</xdr:colOff>
      <xdr:row>205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866675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208</xdr:row>
      <xdr:rowOff>211051</xdr:rowOff>
    </xdr:from>
    <xdr:to>
      <xdr:col>33</xdr:col>
      <xdr:colOff>47625</xdr:colOff>
      <xdr:row>208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938737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208</xdr:row>
      <xdr:rowOff>211051</xdr:rowOff>
    </xdr:from>
    <xdr:to>
      <xdr:col>57</xdr:col>
      <xdr:colOff>80895</xdr:colOff>
      <xdr:row>208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9387376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11</xdr:col>
      <xdr:colOff>280737</xdr:colOff>
      <xdr:row>62</xdr:row>
      <xdr:rowOff>160419</xdr:rowOff>
    </xdr:from>
    <xdr:to>
      <xdr:col>19</xdr:col>
      <xdr:colOff>144805</xdr:colOff>
      <xdr:row>63</xdr:row>
      <xdr:rowOff>95806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3919287" y="9999744"/>
          <a:ext cx="2150068" cy="106837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3</xdr:col>
      <xdr:colOff>140368</xdr:colOff>
      <xdr:row>63</xdr:row>
      <xdr:rowOff>20051</xdr:rowOff>
    </xdr:from>
    <xdr:to>
      <xdr:col>11</xdr:col>
      <xdr:colOff>78749</xdr:colOff>
      <xdr:row>63</xdr:row>
      <xdr:rowOff>125886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1492918" y="10030826"/>
          <a:ext cx="22243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 </a:t>
          </a:r>
        </a:p>
      </xdr:txBody>
    </xdr:sp>
    <xdr:clientData/>
  </xdr:twoCellAnchor>
  <xdr:twoCellAnchor>
    <xdr:from>
      <xdr:col>23</xdr:col>
      <xdr:colOff>0</xdr:colOff>
      <xdr:row>63</xdr:row>
      <xdr:rowOff>0</xdr:rowOff>
    </xdr:from>
    <xdr:to>
      <xdr:col>30</xdr:col>
      <xdr:colOff>154831</xdr:colOff>
      <xdr:row>63</xdr:row>
      <xdr:rowOff>105835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7067550" y="1001077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V A C A C I O N E S  * </a:t>
          </a:r>
        </a:p>
      </xdr:txBody>
    </xdr:sp>
    <xdr:clientData/>
  </xdr:twoCellAnchor>
  <xdr:twoCellAnchor>
    <xdr:from>
      <xdr:col>32</xdr:col>
      <xdr:colOff>0</xdr:colOff>
      <xdr:row>63</xdr:row>
      <xdr:rowOff>0</xdr:rowOff>
    </xdr:from>
    <xdr:to>
      <xdr:col>39</xdr:col>
      <xdr:colOff>229144</xdr:colOff>
      <xdr:row>63</xdr:row>
      <xdr:rowOff>105835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9639300" y="10010775"/>
          <a:ext cx="2229394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Descanso  medico   particular </a:t>
          </a:r>
        </a:p>
      </xdr:txBody>
    </xdr:sp>
    <xdr:clientData/>
  </xdr:twoCellAnchor>
  <xdr:twoCellAnchor>
    <xdr:from>
      <xdr:col>26</xdr:col>
      <xdr:colOff>0</xdr:colOff>
      <xdr:row>64</xdr:row>
      <xdr:rowOff>0</xdr:rowOff>
    </xdr:from>
    <xdr:to>
      <xdr:col>33</xdr:col>
      <xdr:colOff>154831</xdr:colOff>
      <xdr:row>64</xdr:row>
      <xdr:rowOff>105835</xdr:rowOff>
    </xdr:to>
    <xdr:sp macro="" textlink="">
      <xdr:nvSpPr>
        <xdr:cNvPr id="12" name="WordArt 30"/>
        <xdr:cNvSpPr>
          <a:spLocks noChangeArrowheads="1" noChangeShapeType="1"/>
        </xdr:cNvSpPr>
      </xdr:nvSpPr>
      <xdr:spPr bwMode="auto">
        <a:xfrm>
          <a:off x="7924800" y="1018222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permiso  x Atencion  medica </a:t>
          </a:r>
        </a:p>
      </xdr:txBody>
    </xdr:sp>
    <xdr:clientData/>
  </xdr:twoCellAnchor>
  <xdr:twoCellAnchor>
    <xdr:from>
      <xdr:col>34</xdr:col>
      <xdr:colOff>0</xdr:colOff>
      <xdr:row>64</xdr:row>
      <xdr:rowOff>0</xdr:rowOff>
    </xdr:from>
    <xdr:to>
      <xdr:col>41</xdr:col>
      <xdr:colOff>209092</xdr:colOff>
      <xdr:row>64</xdr:row>
      <xdr:rowOff>105835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10210800" y="10182225"/>
          <a:ext cx="2237917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Descanso  medico   ESSALUD  </a:t>
          </a:r>
        </a:p>
      </xdr:txBody>
    </xdr:sp>
    <xdr:clientData/>
  </xdr:twoCellAnchor>
  <xdr:twoCellAnchor>
    <xdr:from>
      <xdr:col>20</xdr:col>
      <xdr:colOff>110289</xdr:colOff>
      <xdr:row>63</xdr:row>
      <xdr:rowOff>80211</xdr:rowOff>
    </xdr:from>
    <xdr:to>
      <xdr:col>24</xdr:col>
      <xdr:colOff>30078</xdr:colOff>
      <xdr:row>64</xdr:row>
      <xdr:rowOff>20054</xdr:rowOff>
    </xdr:to>
    <xdr:sp macro="" textlink="">
      <xdr:nvSpPr>
        <xdr:cNvPr id="14" name="WordArt 30"/>
        <xdr:cNvSpPr>
          <a:spLocks noChangeArrowheads="1" noChangeShapeType="1"/>
        </xdr:cNvSpPr>
      </xdr:nvSpPr>
      <xdr:spPr bwMode="auto">
        <a:xfrm>
          <a:off x="6320589" y="10090986"/>
          <a:ext cx="1062789" cy="111293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cita essalud </a:t>
          </a:r>
        </a:p>
      </xdr:txBody>
    </xdr:sp>
    <xdr:clientData/>
  </xdr:twoCellAnchor>
  <xdr:twoCellAnchor>
    <xdr:from>
      <xdr:col>3</xdr:col>
      <xdr:colOff>0</xdr:colOff>
      <xdr:row>21</xdr:row>
      <xdr:rowOff>52915</xdr:rowOff>
    </xdr:from>
    <xdr:to>
      <xdr:col>10</xdr:col>
      <xdr:colOff>149818</xdr:colOff>
      <xdr:row>21</xdr:row>
      <xdr:rowOff>157636</xdr:rowOff>
    </xdr:to>
    <xdr:sp macro="" textlink="">
      <xdr:nvSpPr>
        <xdr:cNvPr id="23" name="WordArt 30"/>
        <xdr:cNvSpPr>
          <a:spLocks noChangeArrowheads="1" noChangeShapeType="1"/>
        </xdr:cNvSpPr>
      </xdr:nvSpPr>
      <xdr:spPr bwMode="auto">
        <a:xfrm>
          <a:off x="1344083" y="3196165"/>
          <a:ext cx="2150068" cy="104721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3</xdr:col>
      <xdr:colOff>0</xdr:colOff>
      <xdr:row>23</xdr:row>
      <xdr:rowOff>52915</xdr:rowOff>
    </xdr:from>
    <xdr:to>
      <xdr:col>10</xdr:col>
      <xdr:colOff>149818</xdr:colOff>
      <xdr:row>23</xdr:row>
      <xdr:rowOff>157636</xdr:rowOff>
    </xdr:to>
    <xdr:sp macro="" textlink="">
      <xdr:nvSpPr>
        <xdr:cNvPr id="24" name="WordArt 30"/>
        <xdr:cNvSpPr>
          <a:spLocks noChangeArrowheads="1" noChangeShapeType="1"/>
        </xdr:cNvSpPr>
      </xdr:nvSpPr>
      <xdr:spPr bwMode="auto">
        <a:xfrm>
          <a:off x="1344083" y="3704165"/>
          <a:ext cx="2150068" cy="104721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13</xdr:col>
      <xdr:colOff>0</xdr:colOff>
      <xdr:row>21</xdr:row>
      <xdr:rowOff>44824</xdr:rowOff>
    </xdr:from>
    <xdr:to>
      <xdr:col>20</xdr:col>
      <xdr:colOff>149817</xdr:colOff>
      <xdr:row>21</xdr:row>
      <xdr:rowOff>149545</xdr:rowOff>
    </xdr:to>
    <xdr:sp macro="" textlink="">
      <xdr:nvSpPr>
        <xdr:cNvPr id="17" name="WordArt 30"/>
        <xdr:cNvSpPr>
          <a:spLocks noChangeArrowheads="1" noChangeShapeType="1"/>
        </xdr:cNvSpPr>
      </xdr:nvSpPr>
      <xdr:spPr bwMode="auto">
        <a:xfrm>
          <a:off x="4280647" y="3339353"/>
          <a:ext cx="2189288" cy="104721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23</xdr:col>
      <xdr:colOff>0</xdr:colOff>
      <xdr:row>21</xdr:row>
      <xdr:rowOff>44824</xdr:rowOff>
    </xdr:from>
    <xdr:to>
      <xdr:col>30</xdr:col>
      <xdr:colOff>149817</xdr:colOff>
      <xdr:row>21</xdr:row>
      <xdr:rowOff>149545</xdr:rowOff>
    </xdr:to>
    <xdr:sp macro="" textlink="">
      <xdr:nvSpPr>
        <xdr:cNvPr id="18" name="WordArt 30"/>
        <xdr:cNvSpPr>
          <a:spLocks noChangeArrowheads="1" noChangeShapeType="1"/>
        </xdr:cNvSpPr>
      </xdr:nvSpPr>
      <xdr:spPr bwMode="auto">
        <a:xfrm>
          <a:off x="7194176" y="3339353"/>
          <a:ext cx="2189288" cy="104721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23</xdr:col>
      <xdr:colOff>0</xdr:colOff>
      <xdr:row>12</xdr:row>
      <xdr:rowOff>44824</xdr:rowOff>
    </xdr:from>
    <xdr:to>
      <xdr:col>30</xdr:col>
      <xdr:colOff>149817</xdr:colOff>
      <xdr:row>12</xdr:row>
      <xdr:rowOff>149545</xdr:rowOff>
    </xdr:to>
    <xdr:sp macro="" textlink="">
      <xdr:nvSpPr>
        <xdr:cNvPr id="19" name="WordArt 30"/>
        <xdr:cNvSpPr>
          <a:spLocks noChangeArrowheads="1" noChangeShapeType="1"/>
        </xdr:cNvSpPr>
      </xdr:nvSpPr>
      <xdr:spPr bwMode="auto">
        <a:xfrm>
          <a:off x="7194176" y="1826559"/>
          <a:ext cx="2189288" cy="104721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2</xdr:col>
      <xdr:colOff>112060</xdr:colOff>
      <xdr:row>36</xdr:row>
      <xdr:rowOff>44824</xdr:rowOff>
    </xdr:from>
    <xdr:to>
      <xdr:col>11</xdr:col>
      <xdr:colOff>9157</xdr:colOff>
      <xdr:row>36</xdr:row>
      <xdr:rowOff>156883</xdr:rowOff>
    </xdr:to>
    <xdr:sp macro="" textlink="">
      <xdr:nvSpPr>
        <xdr:cNvPr id="20" name="WordArt 30"/>
        <xdr:cNvSpPr>
          <a:spLocks noChangeArrowheads="1" noChangeShapeType="1"/>
        </xdr:cNvSpPr>
      </xdr:nvSpPr>
      <xdr:spPr bwMode="auto">
        <a:xfrm>
          <a:off x="1187825" y="5748618"/>
          <a:ext cx="2519273" cy="112059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permiso  x ONPE  miembro de mesaa </a:t>
          </a:r>
        </a:p>
      </xdr:txBody>
    </xdr:sp>
    <xdr:clientData/>
  </xdr:twoCellAnchor>
  <xdr:twoCellAnchor>
    <xdr:from>
      <xdr:col>13</xdr:col>
      <xdr:colOff>0</xdr:colOff>
      <xdr:row>41</xdr:row>
      <xdr:rowOff>44824</xdr:rowOff>
    </xdr:from>
    <xdr:to>
      <xdr:col>20</xdr:col>
      <xdr:colOff>229733</xdr:colOff>
      <xdr:row>41</xdr:row>
      <xdr:rowOff>150659</xdr:rowOff>
    </xdr:to>
    <xdr:sp macro="" textlink="">
      <xdr:nvSpPr>
        <xdr:cNvPr id="21" name="WordArt 30"/>
        <xdr:cNvSpPr>
          <a:spLocks noChangeArrowheads="1" noChangeShapeType="1"/>
        </xdr:cNvSpPr>
      </xdr:nvSpPr>
      <xdr:spPr bwMode="auto">
        <a:xfrm>
          <a:off x="4280647" y="6589059"/>
          <a:ext cx="2269204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 </a:t>
          </a:r>
        </a:p>
      </xdr:txBody>
    </xdr:sp>
    <xdr:clientData/>
  </xdr:twoCellAnchor>
  <xdr:twoCellAnchor editAs="oneCell">
    <xdr:from>
      <xdr:col>9</xdr:col>
      <xdr:colOff>145677</xdr:colOff>
      <xdr:row>50</xdr:row>
      <xdr:rowOff>123265</xdr:rowOff>
    </xdr:from>
    <xdr:to>
      <xdr:col>41</xdr:col>
      <xdr:colOff>11206</xdr:colOff>
      <xdr:row>83</xdr:row>
      <xdr:rowOff>182656</xdr:rowOff>
    </xdr:to>
    <xdr:pic>
      <xdr:nvPicPr>
        <xdr:cNvPr id="1127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31628" r="33444"/>
        <a:stretch>
          <a:fillRect/>
        </a:stretch>
      </xdr:blipFill>
      <xdr:spPr bwMode="auto">
        <a:xfrm>
          <a:off x="3260912" y="8135471"/>
          <a:ext cx="9211235" cy="5886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67</xdr:row>
      <xdr:rowOff>157180</xdr:rowOff>
    </xdr:from>
    <xdr:to>
      <xdr:col>40</xdr:col>
      <xdr:colOff>238125</xdr:colOff>
      <xdr:row>67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6442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VoluntariaCOMPRAS   atp</a:t>
          </a:r>
        </a:p>
      </xdr:txBody>
    </xdr:sp>
    <xdr:clientData/>
  </xdr:twoCellAnchor>
  <xdr:twoCellAnchor>
    <xdr:from>
      <xdr:col>26</xdr:col>
      <xdr:colOff>38100</xdr:colOff>
      <xdr:row>69</xdr:row>
      <xdr:rowOff>211051</xdr:rowOff>
    </xdr:from>
    <xdr:to>
      <xdr:col>34</xdr:col>
      <xdr:colOff>47625</xdr:colOff>
      <xdr:row>69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962900" y="1104097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72</xdr:row>
      <xdr:rowOff>211051</xdr:rowOff>
    </xdr:from>
    <xdr:to>
      <xdr:col>57</xdr:col>
      <xdr:colOff>80895</xdr:colOff>
      <xdr:row>72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71725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207</xdr:row>
      <xdr:rowOff>157180</xdr:rowOff>
    </xdr:from>
    <xdr:to>
      <xdr:col>40</xdr:col>
      <xdr:colOff>238125</xdr:colOff>
      <xdr:row>207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854293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210</xdr:row>
      <xdr:rowOff>211051</xdr:rowOff>
    </xdr:from>
    <xdr:to>
      <xdr:col>33</xdr:col>
      <xdr:colOff>47625</xdr:colOff>
      <xdr:row>210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926355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210</xdr:row>
      <xdr:rowOff>211051</xdr:rowOff>
    </xdr:from>
    <xdr:to>
      <xdr:col>57</xdr:col>
      <xdr:colOff>80895</xdr:colOff>
      <xdr:row>210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926355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11</xdr:col>
      <xdr:colOff>280737</xdr:colOff>
      <xdr:row>62</xdr:row>
      <xdr:rowOff>160419</xdr:rowOff>
    </xdr:from>
    <xdr:to>
      <xdr:col>19</xdr:col>
      <xdr:colOff>144805</xdr:colOff>
      <xdr:row>63</xdr:row>
      <xdr:rowOff>95806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3919287" y="9866394"/>
          <a:ext cx="2150068" cy="106837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3</xdr:col>
      <xdr:colOff>140368</xdr:colOff>
      <xdr:row>63</xdr:row>
      <xdr:rowOff>20051</xdr:rowOff>
    </xdr:from>
    <xdr:to>
      <xdr:col>11</xdr:col>
      <xdr:colOff>78749</xdr:colOff>
      <xdr:row>63</xdr:row>
      <xdr:rowOff>125886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1492918" y="9897476"/>
          <a:ext cx="22243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 </a:t>
          </a:r>
        </a:p>
      </xdr:txBody>
    </xdr:sp>
    <xdr:clientData/>
  </xdr:twoCellAnchor>
  <xdr:twoCellAnchor>
    <xdr:from>
      <xdr:col>23</xdr:col>
      <xdr:colOff>0</xdr:colOff>
      <xdr:row>63</xdr:row>
      <xdr:rowOff>0</xdr:rowOff>
    </xdr:from>
    <xdr:to>
      <xdr:col>30</xdr:col>
      <xdr:colOff>154831</xdr:colOff>
      <xdr:row>63</xdr:row>
      <xdr:rowOff>105835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7067550" y="987742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V A C A C I O N E S  * </a:t>
          </a:r>
        </a:p>
      </xdr:txBody>
    </xdr:sp>
    <xdr:clientData/>
  </xdr:twoCellAnchor>
  <xdr:twoCellAnchor>
    <xdr:from>
      <xdr:col>32</xdr:col>
      <xdr:colOff>0</xdr:colOff>
      <xdr:row>63</xdr:row>
      <xdr:rowOff>0</xdr:rowOff>
    </xdr:from>
    <xdr:to>
      <xdr:col>39</xdr:col>
      <xdr:colOff>229144</xdr:colOff>
      <xdr:row>63</xdr:row>
      <xdr:rowOff>105835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9639300" y="9877425"/>
          <a:ext cx="2229394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Descanso  medico   particular </a:t>
          </a:r>
        </a:p>
      </xdr:txBody>
    </xdr:sp>
    <xdr:clientData/>
  </xdr:twoCellAnchor>
  <xdr:twoCellAnchor>
    <xdr:from>
      <xdr:col>26</xdr:col>
      <xdr:colOff>0</xdr:colOff>
      <xdr:row>64</xdr:row>
      <xdr:rowOff>0</xdr:rowOff>
    </xdr:from>
    <xdr:to>
      <xdr:col>33</xdr:col>
      <xdr:colOff>154831</xdr:colOff>
      <xdr:row>64</xdr:row>
      <xdr:rowOff>105835</xdr:rowOff>
    </xdr:to>
    <xdr:sp macro="" textlink="">
      <xdr:nvSpPr>
        <xdr:cNvPr id="12" name="WordArt 30"/>
        <xdr:cNvSpPr>
          <a:spLocks noChangeArrowheads="1" noChangeShapeType="1"/>
        </xdr:cNvSpPr>
      </xdr:nvSpPr>
      <xdr:spPr bwMode="auto">
        <a:xfrm>
          <a:off x="7924800" y="1004887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permiso  x Atencion  medica </a:t>
          </a:r>
        </a:p>
      </xdr:txBody>
    </xdr:sp>
    <xdr:clientData/>
  </xdr:twoCellAnchor>
  <xdr:twoCellAnchor>
    <xdr:from>
      <xdr:col>34</xdr:col>
      <xdr:colOff>0</xdr:colOff>
      <xdr:row>64</xdr:row>
      <xdr:rowOff>0</xdr:rowOff>
    </xdr:from>
    <xdr:to>
      <xdr:col>41</xdr:col>
      <xdr:colOff>209092</xdr:colOff>
      <xdr:row>64</xdr:row>
      <xdr:rowOff>105835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10210800" y="10048875"/>
          <a:ext cx="2237917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Descanso  medico   ESSALUD  </a:t>
          </a:r>
        </a:p>
      </xdr:txBody>
    </xdr:sp>
    <xdr:clientData/>
  </xdr:twoCellAnchor>
  <xdr:twoCellAnchor>
    <xdr:from>
      <xdr:col>20</xdr:col>
      <xdr:colOff>110289</xdr:colOff>
      <xdr:row>63</xdr:row>
      <xdr:rowOff>80211</xdr:rowOff>
    </xdr:from>
    <xdr:to>
      <xdr:col>24</xdr:col>
      <xdr:colOff>30078</xdr:colOff>
      <xdr:row>64</xdr:row>
      <xdr:rowOff>20054</xdr:rowOff>
    </xdr:to>
    <xdr:sp macro="" textlink="">
      <xdr:nvSpPr>
        <xdr:cNvPr id="14" name="WordArt 30"/>
        <xdr:cNvSpPr>
          <a:spLocks noChangeArrowheads="1" noChangeShapeType="1"/>
        </xdr:cNvSpPr>
      </xdr:nvSpPr>
      <xdr:spPr bwMode="auto">
        <a:xfrm>
          <a:off x="6320589" y="9957636"/>
          <a:ext cx="1062789" cy="111293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cita essalud </a:t>
          </a:r>
        </a:p>
      </xdr:txBody>
    </xdr:sp>
    <xdr:clientData/>
  </xdr:twoCellAnchor>
  <xdr:twoCellAnchor>
    <xdr:from>
      <xdr:col>22</xdr:col>
      <xdr:colOff>130342</xdr:colOff>
      <xdr:row>15</xdr:row>
      <xdr:rowOff>50132</xdr:rowOff>
    </xdr:from>
    <xdr:to>
      <xdr:col>32</xdr:col>
      <xdr:colOff>0</xdr:colOff>
      <xdr:row>15</xdr:row>
      <xdr:rowOff>160421</xdr:rowOff>
    </xdr:to>
    <xdr:sp macro="" textlink="">
      <xdr:nvSpPr>
        <xdr:cNvPr id="24" name="WordArt 30"/>
        <xdr:cNvSpPr>
          <a:spLocks noChangeArrowheads="1" noChangeShapeType="1"/>
        </xdr:cNvSpPr>
      </xdr:nvSpPr>
      <xdr:spPr bwMode="auto">
        <a:xfrm>
          <a:off x="7008395" y="2526632"/>
          <a:ext cx="2777289" cy="110289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Remunerado x capacitacion </a:t>
          </a:r>
        </a:p>
      </xdr:txBody>
    </xdr:sp>
    <xdr:clientData/>
  </xdr:twoCellAnchor>
  <xdr:twoCellAnchor>
    <xdr:from>
      <xdr:col>3</xdr:col>
      <xdr:colOff>0</xdr:colOff>
      <xdr:row>35</xdr:row>
      <xdr:rowOff>50130</xdr:rowOff>
    </xdr:from>
    <xdr:to>
      <xdr:col>10</xdr:col>
      <xdr:colOff>154831</xdr:colOff>
      <xdr:row>35</xdr:row>
      <xdr:rowOff>155965</xdr:rowOff>
    </xdr:to>
    <xdr:sp macro="" textlink="">
      <xdr:nvSpPr>
        <xdr:cNvPr id="16" name="WordArt 30"/>
        <xdr:cNvSpPr>
          <a:spLocks noChangeArrowheads="1" noChangeShapeType="1"/>
        </xdr:cNvSpPr>
      </xdr:nvSpPr>
      <xdr:spPr bwMode="auto">
        <a:xfrm>
          <a:off x="1353553" y="5805235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3</xdr:col>
      <xdr:colOff>0</xdr:colOff>
      <xdr:row>41</xdr:row>
      <xdr:rowOff>40104</xdr:rowOff>
    </xdr:from>
    <xdr:to>
      <xdr:col>10</xdr:col>
      <xdr:colOff>229144</xdr:colOff>
      <xdr:row>41</xdr:row>
      <xdr:rowOff>145939</xdr:rowOff>
    </xdr:to>
    <xdr:sp macro="" textlink="">
      <xdr:nvSpPr>
        <xdr:cNvPr id="18" name="WordArt 30"/>
        <xdr:cNvSpPr>
          <a:spLocks noChangeArrowheads="1" noChangeShapeType="1"/>
        </xdr:cNvSpPr>
      </xdr:nvSpPr>
      <xdr:spPr bwMode="auto">
        <a:xfrm>
          <a:off x="1353553" y="6817893"/>
          <a:ext cx="2264486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 </a:t>
          </a:r>
        </a:p>
      </xdr:txBody>
    </xdr:sp>
    <xdr:clientData/>
  </xdr:twoCellAnchor>
  <xdr:twoCellAnchor>
    <xdr:from>
      <xdr:col>3</xdr:col>
      <xdr:colOff>0</xdr:colOff>
      <xdr:row>42</xdr:row>
      <xdr:rowOff>50130</xdr:rowOff>
    </xdr:from>
    <xdr:to>
      <xdr:col>10</xdr:col>
      <xdr:colOff>229144</xdr:colOff>
      <xdr:row>42</xdr:row>
      <xdr:rowOff>155965</xdr:rowOff>
    </xdr:to>
    <xdr:sp macro="" textlink="">
      <xdr:nvSpPr>
        <xdr:cNvPr id="19" name="WordArt 30"/>
        <xdr:cNvSpPr>
          <a:spLocks noChangeArrowheads="1" noChangeShapeType="1"/>
        </xdr:cNvSpPr>
      </xdr:nvSpPr>
      <xdr:spPr bwMode="auto">
        <a:xfrm>
          <a:off x="1353553" y="6998367"/>
          <a:ext cx="2264486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 </a:t>
          </a:r>
        </a:p>
      </xdr:txBody>
    </xdr:sp>
    <xdr:clientData/>
  </xdr:twoCellAnchor>
  <xdr:twoCellAnchor>
    <xdr:from>
      <xdr:col>3</xdr:col>
      <xdr:colOff>0</xdr:colOff>
      <xdr:row>45</xdr:row>
      <xdr:rowOff>40104</xdr:rowOff>
    </xdr:from>
    <xdr:to>
      <xdr:col>10</xdr:col>
      <xdr:colOff>154831</xdr:colOff>
      <xdr:row>45</xdr:row>
      <xdr:rowOff>145939</xdr:rowOff>
    </xdr:to>
    <xdr:sp macro="" textlink="">
      <xdr:nvSpPr>
        <xdr:cNvPr id="20" name="WordArt 30"/>
        <xdr:cNvSpPr>
          <a:spLocks noChangeArrowheads="1" noChangeShapeType="1"/>
        </xdr:cNvSpPr>
      </xdr:nvSpPr>
      <xdr:spPr bwMode="auto">
        <a:xfrm>
          <a:off x="1353553" y="7499683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13</xdr:col>
      <xdr:colOff>0</xdr:colOff>
      <xdr:row>37</xdr:row>
      <xdr:rowOff>50130</xdr:rowOff>
    </xdr:from>
    <xdr:to>
      <xdr:col>20</xdr:col>
      <xdr:colOff>154831</xdr:colOff>
      <xdr:row>37</xdr:row>
      <xdr:rowOff>155965</xdr:rowOff>
    </xdr:to>
    <xdr:sp macro="" textlink="">
      <xdr:nvSpPr>
        <xdr:cNvPr id="21" name="WordArt 30"/>
        <xdr:cNvSpPr>
          <a:spLocks noChangeArrowheads="1" noChangeShapeType="1"/>
        </xdr:cNvSpPr>
      </xdr:nvSpPr>
      <xdr:spPr bwMode="auto">
        <a:xfrm>
          <a:off x="4261184" y="5975683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13</xdr:col>
      <xdr:colOff>0</xdr:colOff>
      <xdr:row>42</xdr:row>
      <xdr:rowOff>50130</xdr:rowOff>
    </xdr:from>
    <xdr:to>
      <xdr:col>20</xdr:col>
      <xdr:colOff>229144</xdr:colOff>
      <xdr:row>42</xdr:row>
      <xdr:rowOff>155965</xdr:rowOff>
    </xdr:to>
    <xdr:sp macro="" textlink="">
      <xdr:nvSpPr>
        <xdr:cNvPr id="22" name="WordArt 30"/>
        <xdr:cNvSpPr>
          <a:spLocks noChangeArrowheads="1" noChangeShapeType="1"/>
        </xdr:cNvSpPr>
      </xdr:nvSpPr>
      <xdr:spPr bwMode="auto">
        <a:xfrm>
          <a:off x="4261184" y="6827919"/>
          <a:ext cx="2264486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 </a:t>
          </a:r>
        </a:p>
      </xdr:txBody>
    </xdr:sp>
    <xdr:clientData/>
  </xdr:twoCellAnchor>
  <xdr:twoCellAnchor>
    <xdr:from>
      <xdr:col>23</xdr:col>
      <xdr:colOff>0</xdr:colOff>
      <xdr:row>42</xdr:row>
      <xdr:rowOff>50130</xdr:rowOff>
    </xdr:from>
    <xdr:to>
      <xdr:col>30</xdr:col>
      <xdr:colOff>154831</xdr:colOff>
      <xdr:row>42</xdr:row>
      <xdr:rowOff>155965</xdr:rowOff>
    </xdr:to>
    <xdr:sp macro="" textlink="">
      <xdr:nvSpPr>
        <xdr:cNvPr id="23" name="WordArt 30"/>
        <xdr:cNvSpPr>
          <a:spLocks noChangeArrowheads="1" noChangeShapeType="1"/>
        </xdr:cNvSpPr>
      </xdr:nvSpPr>
      <xdr:spPr bwMode="auto">
        <a:xfrm>
          <a:off x="7168816" y="6827919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67</xdr:row>
      <xdr:rowOff>157180</xdr:rowOff>
    </xdr:from>
    <xdr:to>
      <xdr:col>40</xdr:col>
      <xdr:colOff>238125</xdr:colOff>
      <xdr:row>67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6442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VoluntariaCOMPRAS   atp</a:t>
          </a:r>
        </a:p>
      </xdr:txBody>
    </xdr:sp>
    <xdr:clientData/>
  </xdr:twoCellAnchor>
  <xdr:twoCellAnchor>
    <xdr:from>
      <xdr:col>26</xdr:col>
      <xdr:colOff>38100</xdr:colOff>
      <xdr:row>69</xdr:row>
      <xdr:rowOff>211051</xdr:rowOff>
    </xdr:from>
    <xdr:to>
      <xdr:col>34</xdr:col>
      <xdr:colOff>47625</xdr:colOff>
      <xdr:row>69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962900" y="1104097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72</xdr:row>
      <xdr:rowOff>211051</xdr:rowOff>
    </xdr:from>
    <xdr:to>
      <xdr:col>57</xdr:col>
      <xdr:colOff>80895</xdr:colOff>
      <xdr:row>72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71725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207</xdr:row>
      <xdr:rowOff>157180</xdr:rowOff>
    </xdr:from>
    <xdr:to>
      <xdr:col>40</xdr:col>
      <xdr:colOff>238125</xdr:colOff>
      <xdr:row>207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854293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210</xdr:row>
      <xdr:rowOff>211051</xdr:rowOff>
    </xdr:from>
    <xdr:to>
      <xdr:col>33</xdr:col>
      <xdr:colOff>47625</xdr:colOff>
      <xdr:row>210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926355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210</xdr:row>
      <xdr:rowOff>211051</xdr:rowOff>
    </xdr:from>
    <xdr:to>
      <xdr:col>57</xdr:col>
      <xdr:colOff>80895</xdr:colOff>
      <xdr:row>210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926355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11</xdr:col>
      <xdr:colOff>280737</xdr:colOff>
      <xdr:row>62</xdr:row>
      <xdr:rowOff>160419</xdr:rowOff>
    </xdr:from>
    <xdr:to>
      <xdr:col>19</xdr:col>
      <xdr:colOff>144805</xdr:colOff>
      <xdr:row>63</xdr:row>
      <xdr:rowOff>95806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3960395" y="9845840"/>
          <a:ext cx="2190173" cy="105834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3</xdr:col>
      <xdr:colOff>140368</xdr:colOff>
      <xdr:row>63</xdr:row>
      <xdr:rowOff>20051</xdr:rowOff>
    </xdr:from>
    <xdr:to>
      <xdr:col>11</xdr:col>
      <xdr:colOff>78749</xdr:colOff>
      <xdr:row>63</xdr:row>
      <xdr:rowOff>125886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1492918" y="9897476"/>
          <a:ext cx="22243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 </a:t>
          </a:r>
        </a:p>
      </xdr:txBody>
    </xdr:sp>
    <xdr:clientData/>
  </xdr:twoCellAnchor>
  <xdr:twoCellAnchor>
    <xdr:from>
      <xdr:col>23</xdr:col>
      <xdr:colOff>0</xdr:colOff>
      <xdr:row>63</xdr:row>
      <xdr:rowOff>0</xdr:rowOff>
    </xdr:from>
    <xdr:to>
      <xdr:col>30</xdr:col>
      <xdr:colOff>154831</xdr:colOff>
      <xdr:row>63</xdr:row>
      <xdr:rowOff>105835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7067550" y="987742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V A C A C I O N E S  * </a:t>
          </a:r>
        </a:p>
      </xdr:txBody>
    </xdr:sp>
    <xdr:clientData/>
  </xdr:twoCellAnchor>
  <xdr:twoCellAnchor>
    <xdr:from>
      <xdr:col>32</xdr:col>
      <xdr:colOff>0</xdr:colOff>
      <xdr:row>63</xdr:row>
      <xdr:rowOff>0</xdr:rowOff>
    </xdr:from>
    <xdr:to>
      <xdr:col>39</xdr:col>
      <xdr:colOff>229144</xdr:colOff>
      <xdr:row>63</xdr:row>
      <xdr:rowOff>105835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9639300" y="9877425"/>
          <a:ext cx="2229394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Descanso  medico   particular </a:t>
          </a:r>
        </a:p>
      </xdr:txBody>
    </xdr:sp>
    <xdr:clientData/>
  </xdr:twoCellAnchor>
  <xdr:twoCellAnchor>
    <xdr:from>
      <xdr:col>26</xdr:col>
      <xdr:colOff>0</xdr:colOff>
      <xdr:row>64</xdr:row>
      <xdr:rowOff>0</xdr:rowOff>
    </xdr:from>
    <xdr:to>
      <xdr:col>33</xdr:col>
      <xdr:colOff>154831</xdr:colOff>
      <xdr:row>64</xdr:row>
      <xdr:rowOff>105835</xdr:rowOff>
    </xdr:to>
    <xdr:sp macro="" textlink="">
      <xdr:nvSpPr>
        <xdr:cNvPr id="12" name="WordArt 30"/>
        <xdr:cNvSpPr>
          <a:spLocks noChangeArrowheads="1" noChangeShapeType="1"/>
        </xdr:cNvSpPr>
      </xdr:nvSpPr>
      <xdr:spPr bwMode="auto">
        <a:xfrm>
          <a:off x="7924800" y="1004887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permiso  x Atencion  medica </a:t>
          </a:r>
        </a:p>
      </xdr:txBody>
    </xdr:sp>
    <xdr:clientData/>
  </xdr:twoCellAnchor>
  <xdr:twoCellAnchor>
    <xdr:from>
      <xdr:col>34</xdr:col>
      <xdr:colOff>0</xdr:colOff>
      <xdr:row>64</xdr:row>
      <xdr:rowOff>0</xdr:rowOff>
    </xdr:from>
    <xdr:to>
      <xdr:col>41</xdr:col>
      <xdr:colOff>209092</xdr:colOff>
      <xdr:row>64</xdr:row>
      <xdr:rowOff>105835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10210800" y="10048875"/>
          <a:ext cx="2237917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Descanso  medico   ESSALUD  </a:t>
          </a:r>
        </a:p>
      </xdr:txBody>
    </xdr:sp>
    <xdr:clientData/>
  </xdr:twoCellAnchor>
  <xdr:twoCellAnchor>
    <xdr:from>
      <xdr:col>20</xdr:col>
      <xdr:colOff>110289</xdr:colOff>
      <xdr:row>63</xdr:row>
      <xdr:rowOff>80211</xdr:rowOff>
    </xdr:from>
    <xdr:to>
      <xdr:col>24</xdr:col>
      <xdr:colOff>30078</xdr:colOff>
      <xdr:row>64</xdr:row>
      <xdr:rowOff>20054</xdr:rowOff>
    </xdr:to>
    <xdr:sp macro="" textlink="">
      <xdr:nvSpPr>
        <xdr:cNvPr id="14" name="WordArt 30"/>
        <xdr:cNvSpPr>
          <a:spLocks noChangeArrowheads="1" noChangeShapeType="1"/>
        </xdr:cNvSpPr>
      </xdr:nvSpPr>
      <xdr:spPr bwMode="auto">
        <a:xfrm>
          <a:off x="6406815" y="9936079"/>
          <a:ext cx="1082842" cy="110291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cita essalud </a:t>
          </a:r>
        </a:p>
      </xdr:txBody>
    </xdr:sp>
    <xdr:clientData/>
  </xdr:twoCellAnchor>
  <xdr:twoCellAnchor>
    <xdr:from>
      <xdr:col>3</xdr:col>
      <xdr:colOff>0</xdr:colOff>
      <xdr:row>11</xdr:row>
      <xdr:rowOff>50130</xdr:rowOff>
    </xdr:from>
    <xdr:to>
      <xdr:col>10</xdr:col>
      <xdr:colOff>154831</xdr:colOff>
      <xdr:row>11</xdr:row>
      <xdr:rowOff>155965</xdr:rowOff>
    </xdr:to>
    <xdr:sp macro="" textlink="">
      <xdr:nvSpPr>
        <xdr:cNvPr id="15" name="WordArt 30"/>
        <xdr:cNvSpPr>
          <a:spLocks noChangeArrowheads="1" noChangeShapeType="1"/>
        </xdr:cNvSpPr>
      </xdr:nvSpPr>
      <xdr:spPr bwMode="auto">
        <a:xfrm>
          <a:off x="1352550" y="1669380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V A C A C I O N E S  * </a:t>
          </a:r>
        </a:p>
      </xdr:txBody>
    </xdr:sp>
    <xdr:clientData/>
  </xdr:twoCellAnchor>
  <xdr:twoCellAnchor>
    <xdr:from>
      <xdr:col>13</xdr:col>
      <xdr:colOff>0</xdr:colOff>
      <xdr:row>11</xdr:row>
      <xdr:rowOff>50130</xdr:rowOff>
    </xdr:from>
    <xdr:to>
      <xdr:col>20</xdr:col>
      <xdr:colOff>154831</xdr:colOff>
      <xdr:row>11</xdr:row>
      <xdr:rowOff>155965</xdr:rowOff>
    </xdr:to>
    <xdr:sp macro="" textlink="">
      <xdr:nvSpPr>
        <xdr:cNvPr id="16" name="WordArt 30"/>
        <xdr:cNvSpPr>
          <a:spLocks noChangeArrowheads="1" noChangeShapeType="1"/>
        </xdr:cNvSpPr>
      </xdr:nvSpPr>
      <xdr:spPr bwMode="auto">
        <a:xfrm>
          <a:off x="4210050" y="1669380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V A C A C I O N E S  * </a:t>
          </a:r>
        </a:p>
      </xdr:txBody>
    </xdr:sp>
    <xdr:clientData/>
  </xdr:twoCellAnchor>
  <xdr:twoCellAnchor>
    <xdr:from>
      <xdr:col>23</xdr:col>
      <xdr:colOff>0</xdr:colOff>
      <xdr:row>11</xdr:row>
      <xdr:rowOff>50130</xdr:rowOff>
    </xdr:from>
    <xdr:to>
      <xdr:col>30</xdr:col>
      <xdr:colOff>154831</xdr:colOff>
      <xdr:row>11</xdr:row>
      <xdr:rowOff>155965</xdr:rowOff>
    </xdr:to>
    <xdr:sp macro="" textlink="">
      <xdr:nvSpPr>
        <xdr:cNvPr id="17" name="WordArt 30"/>
        <xdr:cNvSpPr>
          <a:spLocks noChangeArrowheads="1" noChangeShapeType="1"/>
        </xdr:cNvSpPr>
      </xdr:nvSpPr>
      <xdr:spPr bwMode="auto">
        <a:xfrm>
          <a:off x="7067550" y="1669380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V A C A C I O N E S  * </a:t>
          </a:r>
        </a:p>
      </xdr:txBody>
    </xdr:sp>
    <xdr:clientData/>
  </xdr:twoCellAnchor>
  <xdr:twoCellAnchor>
    <xdr:from>
      <xdr:col>23</xdr:col>
      <xdr:colOff>60156</xdr:colOff>
      <xdr:row>21</xdr:row>
      <xdr:rowOff>50130</xdr:rowOff>
    </xdr:from>
    <xdr:to>
      <xdr:col>30</xdr:col>
      <xdr:colOff>289300</xdr:colOff>
      <xdr:row>21</xdr:row>
      <xdr:rowOff>155965</xdr:rowOff>
    </xdr:to>
    <xdr:sp macro="" textlink="">
      <xdr:nvSpPr>
        <xdr:cNvPr id="18" name="WordArt 30"/>
        <xdr:cNvSpPr>
          <a:spLocks noChangeArrowheads="1" noChangeShapeType="1"/>
        </xdr:cNvSpPr>
      </xdr:nvSpPr>
      <xdr:spPr bwMode="auto">
        <a:xfrm>
          <a:off x="7228972" y="3298656"/>
          <a:ext cx="2264486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 </a:t>
          </a:r>
        </a:p>
      </xdr:txBody>
    </xdr:sp>
    <xdr:clientData/>
  </xdr:twoCellAnchor>
  <xdr:twoCellAnchor>
    <xdr:from>
      <xdr:col>3</xdr:col>
      <xdr:colOff>499</xdr:colOff>
      <xdr:row>42</xdr:row>
      <xdr:rowOff>50132</xdr:rowOff>
    </xdr:from>
    <xdr:to>
      <xdr:col>11</xdr:col>
      <xdr:colOff>130341</xdr:colOff>
      <xdr:row>42</xdr:row>
      <xdr:rowOff>150395</xdr:rowOff>
    </xdr:to>
    <xdr:sp macro="" textlink="">
      <xdr:nvSpPr>
        <xdr:cNvPr id="19" name="WordArt 30"/>
        <xdr:cNvSpPr>
          <a:spLocks noChangeArrowheads="1" noChangeShapeType="1"/>
        </xdr:cNvSpPr>
      </xdr:nvSpPr>
      <xdr:spPr bwMode="auto">
        <a:xfrm>
          <a:off x="1354052" y="6697579"/>
          <a:ext cx="2455947" cy="100263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cita  essalud   PRUEBA  HOLLTER  </a:t>
          </a:r>
        </a:p>
      </xdr:txBody>
    </xdr:sp>
    <xdr:clientData/>
  </xdr:twoCellAnchor>
  <xdr:twoCellAnchor>
    <xdr:from>
      <xdr:col>23</xdr:col>
      <xdr:colOff>0</xdr:colOff>
      <xdr:row>36</xdr:row>
      <xdr:rowOff>50130</xdr:rowOff>
    </xdr:from>
    <xdr:to>
      <xdr:col>30</xdr:col>
      <xdr:colOff>229144</xdr:colOff>
      <xdr:row>36</xdr:row>
      <xdr:rowOff>155965</xdr:rowOff>
    </xdr:to>
    <xdr:sp macro="" textlink="">
      <xdr:nvSpPr>
        <xdr:cNvPr id="23" name="WordArt 30"/>
        <xdr:cNvSpPr>
          <a:spLocks noChangeArrowheads="1" noChangeShapeType="1"/>
        </xdr:cNvSpPr>
      </xdr:nvSpPr>
      <xdr:spPr bwMode="auto">
        <a:xfrm>
          <a:off x="7168816" y="5725025"/>
          <a:ext cx="2264486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Descanso  medico   ESSALUD  </a:t>
          </a:r>
        </a:p>
      </xdr:txBody>
    </xdr:sp>
    <xdr:clientData/>
  </xdr:twoCellAnchor>
  <xdr:twoCellAnchor>
    <xdr:from>
      <xdr:col>3</xdr:col>
      <xdr:colOff>0</xdr:colOff>
      <xdr:row>45</xdr:row>
      <xdr:rowOff>50130</xdr:rowOff>
    </xdr:from>
    <xdr:to>
      <xdr:col>10</xdr:col>
      <xdr:colOff>229144</xdr:colOff>
      <xdr:row>45</xdr:row>
      <xdr:rowOff>155965</xdr:rowOff>
    </xdr:to>
    <xdr:sp macro="" textlink="">
      <xdr:nvSpPr>
        <xdr:cNvPr id="24" name="WordArt 30"/>
        <xdr:cNvSpPr>
          <a:spLocks noChangeArrowheads="1" noChangeShapeType="1"/>
        </xdr:cNvSpPr>
      </xdr:nvSpPr>
      <xdr:spPr bwMode="auto">
        <a:xfrm>
          <a:off x="1353553" y="7208919"/>
          <a:ext cx="2264486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Descanso  medico   particular </a:t>
          </a:r>
        </a:p>
      </xdr:txBody>
    </xdr:sp>
    <xdr:clientData/>
  </xdr:twoCellAnchor>
  <xdr:twoCellAnchor>
    <xdr:from>
      <xdr:col>13</xdr:col>
      <xdr:colOff>0</xdr:colOff>
      <xdr:row>45</xdr:row>
      <xdr:rowOff>50130</xdr:rowOff>
    </xdr:from>
    <xdr:to>
      <xdr:col>20</xdr:col>
      <xdr:colOff>229144</xdr:colOff>
      <xdr:row>45</xdr:row>
      <xdr:rowOff>155965</xdr:rowOff>
    </xdr:to>
    <xdr:sp macro="" textlink="">
      <xdr:nvSpPr>
        <xdr:cNvPr id="25" name="WordArt 30"/>
        <xdr:cNvSpPr>
          <a:spLocks noChangeArrowheads="1" noChangeShapeType="1"/>
        </xdr:cNvSpPr>
      </xdr:nvSpPr>
      <xdr:spPr bwMode="auto">
        <a:xfrm>
          <a:off x="4261184" y="7208919"/>
          <a:ext cx="2264486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Descanso  medico   particular </a:t>
          </a:r>
        </a:p>
      </xdr:txBody>
    </xdr:sp>
    <xdr:clientData/>
  </xdr:twoCellAnchor>
  <xdr:twoCellAnchor>
    <xdr:from>
      <xdr:col>13</xdr:col>
      <xdr:colOff>0</xdr:colOff>
      <xdr:row>42</xdr:row>
      <xdr:rowOff>40104</xdr:rowOff>
    </xdr:from>
    <xdr:to>
      <xdr:col>21</xdr:col>
      <xdr:colOff>129842</xdr:colOff>
      <xdr:row>42</xdr:row>
      <xdr:rowOff>140367</xdr:rowOff>
    </xdr:to>
    <xdr:sp macro="" textlink="">
      <xdr:nvSpPr>
        <xdr:cNvPr id="26" name="WordArt 30"/>
        <xdr:cNvSpPr>
          <a:spLocks noChangeArrowheads="1" noChangeShapeType="1"/>
        </xdr:cNvSpPr>
      </xdr:nvSpPr>
      <xdr:spPr bwMode="auto">
        <a:xfrm>
          <a:off x="4261184" y="6687551"/>
          <a:ext cx="2455947" cy="100263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cita  essalud   PRUEBA  HOLLTER  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67</xdr:row>
      <xdr:rowOff>157180</xdr:rowOff>
    </xdr:from>
    <xdr:to>
      <xdr:col>40</xdr:col>
      <xdr:colOff>238125</xdr:colOff>
      <xdr:row>67</xdr:row>
      <xdr:rowOff>157180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10229850" y="10644205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VoluntariaCOMPRAS   atp</a:t>
          </a:r>
        </a:p>
      </xdr:txBody>
    </xdr:sp>
    <xdr:clientData/>
  </xdr:twoCellAnchor>
  <xdr:twoCellAnchor>
    <xdr:from>
      <xdr:col>26</xdr:col>
      <xdr:colOff>38100</xdr:colOff>
      <xdr:row>69</xdr:row>
      <xdr:rowOff>211051</xdr:rowOff>
    </xdr:from>
    <xdr:to>
      <xdr:col>34</xdr:col>
      <xdr:colOff>47625</xdr:colOff>
      <xdr:row>69</xdr:row>
      <xdr:rowOff>211051</xdr:rowOff>
    </xdr:to>
    <xdr:sp macro="" textlink="">
      <xdr:nvSpPr>
        <xdr:cNvPr id="3" name="WordArt 2"/>
        <xdr:cNvSpPr>
          <a:spLocks noChangeArrowheads="1" noChangeShapeType="1"/>
        </xdr:cNvSpPr>
      </xdr:nvSpPr>
      <xdr:spPr bwMode="auto">
        <a:xfrm>
          <a:off x="7962900" y="11040976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72</xdr:row>
      <xdr:rowOff>211051</xdr:rowOff>
    </xdr:from>
    <xdr:to>
      <xdr:col>57</xdr:col>
      <xdr:colOff>80895</xdr:colOff>
      <xdr:row>72</xdr:row>
      <xdr:rowOff>211051</xdr:rowOff>
    </xdr:to>
    <xdr:sp macro="" textlink="">
      <xdr:nvSpPr>
        <xdr:cNvPr id="4" name="WordArt 2"/>
        <xdr:cNvSpPr>
          <a:spLocks noChangeArrowheads="1" noChangeShapeType="1"/>
        </xdr:cNvSpPr>
      </xdr:nvSpPr>
      <xdr:spPr bwMode="auto">
        <a:xfrm>
          <a:off x="12630150" y="1171725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34</xdr:col>
      <xdr:colOff>19050</xdr:colOff>
      <xdr:row>207</xdr:row>
      <xdr:rowOff>157180</xdr:rowOff>
    </xdr:from>
    <xdr:to>
      <xdr:col>40</xdr:col>
      <xdr:colOff>238125</xdr:colOff>
      <xdr:row>207</xdr:row>
      <xdr:rowOff>157180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10229850" y="38542930"/>
          <a:ext cx="196215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600" u="sng" strike="sngStrike" kern="10" cap="small" spc="0">
              <a:ln w="9525">
                <a:solidFill>
                  <a:srgbClr val="00FF00"/>
                </a:solidFill>
                <a:round/>
                <a:headEnd/>
                <a:tailEnd/>
              </a:ln>
              <a:solidFill>
                <a:srgbClr val="FFFF00">
                  <a:alpha val="50000"/>
                </a:srgbClr>
              </a:solidFill>
              <a:latin typeface="Arial"/>
              <a:cs typeface="Arial"/>
            </a:rPr>
            <a:t>Renuncia Voluntaria</a:t>
          </a:r>
        </a:p>
      </xdr:txBody>
    </xdr:sp>
    <xdr:clientData/>
  </xdr:twoCellAnchor>
  <xdr:twoCellAnchor>
    <xdr:from>
      <xdr:col>25</xdr:col>
      <xdr:colOff>38100</xdr:colOff>
      <xdr:row>210</xdr:row>
      <xdr:rowOff>211051</xdr:rowOff>
    </xdr:from>
    <xdr:to>
      <xdr:col>33</xdr:col>
      <xdr:colOff>47625</xdr:colOff>
      <xdr:row>210</xdr:row>
      <xdr:rowOff>211051</xdr:rowOff>
    </xdr:to>
    <xdr:sp macro="" textlink="">
      <xdr:nvSpPr>
        <xdr:cNvPr id="6" name="WordArt 2"/>
        <xdr:cNvSpPr>
          <a:spLocks noChangeArrowheads="1" noChangeShapeType="1"/>
        </xdr:cNvSpPr>
      </xdr:nvSpPr>
      <xdr:spPr bwMode="auto">
        <a:xfrm>
          <a:off x="7677150" y="39263551"/>
          <a:ext cx="229552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Permiso por Compensar</a:t>
          </a:r>
        </a:p>
      </xdr:txBody>
    </xdr:sp>
    <xdr:clientData/>
  </xdr:twoCellAnchor>
  <xdr:twoCellAnchor>
    <xdr:from>
      <xdr:col>43</xdr:col>
      <xdr:colOff>38100</xdr:colOff>
      <xdr:row>210</xdr:row>
      <xdr:rowOff>211051</xdr:rowOff>
    </xdr:from>
    <xdr:to>
      <xdr:col>57</xdr:col>
      <xdr:colOff>80895</xdr:colOff>
      <xdr:row>210</xdr:row>
      <xdr:rowOff>211051</xdr:rowOff>
    </xdr:to>
    <xdr:sp macro="" textlink="">
      <xdr:nvSpPr>
        <xdr:cNvPr id="7" name="WordArt 2"/>
        <xdr:cNvSpPr>
          <a:spLocks noChangeArrowheads="1" noChangeShapeType="1"/>
        </xdr:cNvSpPr>
      </xdr:nvSpPr>
      <xdr:spPr bwMode="auto">
        <a:xfrm>
          <a:off x="12630150" y="39263551"/>
          <a:ext cx="3738495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400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666699"/>
              </a:solidFill>
              <a:latin typeface="Arial Unicode MS"/>
              <a:ea typeface="Arial Unicode MS"/>
              <a:cs typeface="Arial Unicode MS"/>
            </a:rPr>
            <a:t>Turno por Compensar x Serv</a:t>
          </a:r>
        </a:p>
      </xdr:txBody>
    </xdr:sp>
    <xdr:clientData/>
  </xdr:twoCellAnchor>
  <xdr:twoCellAnchor>
    <xdr:from>
      <xdr:col>13</xdr:col>
      <xdr:colOff>110290</xdr:colOff>
      <xdr:row>62</xdr:row>
      <xdr:rowOff>160419</xdr:rowOff>
    </xdr:from>
    <xdr:to>
      <xdr:col>20</xdr:col>
      <xdr:colOff>265121</xdr:colOff>
      <xdr:row>63</xdr:row>
      <xdr:rowOff>95806</xdr:rowOff>
    </xdr:to>
    <xdr:sp macro="" textlink="">
      <xdr:nvSpPr>
        <xdr:cNvPr id="8" name="WordArt 30"/>
        <xdr:cNvSpPr>
          <a:spLocks noChangeArrowheads="1" noChangeShapeType="1"/>
        </xdr:cNvSpPr>
      </xdr:nvSpPr>
      <xdr:spPr bwMode="auto">
        <a:xfrm>
          <a:off x="4320340" y="9866394"/>
          <a:ext cx="2155081" cy="106837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I N A S I S T E N C I A </a:t>
          </a:r>
        </a:p>
      </xdr:txBody>
    </xdr:sp>
    <xdr:clientData/>
  </xdr:twoCellAnchor>
  <xdr:twoCellAnchor>
    <xdr:from>
      <xdr:col>3</xdr:col>
      <xdr:colOff>140368</xdr:colOff>
      <xdr:row>63</xdr:row>
      <xdr:rowOff>20051</xdr:rowOff>
    </xdr:from>
    <xdr:to>
      <xdr:col>11</xdr:col>
      <xdr:colOff>78749</xdr:colOff>
      <xdr:row>63</xdr:row>
      <xdr:rowOff>125886</xdr:rowOff>
    </xdr:to>
    <xdr:sp macro="" textlink="">
      <xdr:nvSpPr>
        <xdr:cNvPr id="9" name="WordArt 30"/>
        <xdr:cNvSpPr>
          <a:spLocks noChangeArrowheads="1" noChangeShapeType="1"/>
        </xdr:cNvSpPr>
      </xdr:nvSpPr>
      <xdr:spPr bwMode="auto">
        <a:xfrm>
          <a:off x="1492918" y="9897476"/>
          <a:ext cx="22243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Permiso  No  Remunerado </a:t>
          </a:r>
        </a:p>
      </xdr:txBody>
    </xdr:sp>
    <xdr:clientData/>
  </xdr:twoCellAnchor>
  <xdr:twoCellAnchor>
    <xdr:from>
      <xdr:col>23</xdr:col>
      <xdr:colOff>0</xdr:colOff>
      <xdr:row>63</xdr:row>
      <xdr:rowOff>0</xdr:rowOff>
    </xdr:from>
    <xdr:to>
      <xdr:col>30</xdr:col>
      <xdr:colOff>154831</xdr:colOff>
      <xdr:row>63</xdr:row>
      <xdr:rowOff>105835</xdr:rowOff>
    </xdr:to>
    <xdr:sp macro="" textlink="">
      <xdr:nvSpPr>
        <xdr:cNvPr id="10" name="WordArt 30"/>
        <xdr:cNvSpPr>
          <a:spLocks noChangeArrowheads="1" noChangeShapeType="1"/>
        </xdr:cNvSpPr>
      </xdr:nvSpPr>
      <xdr:spPr bwMode="auto">
        <a:xfrm>
          <a:off x="7067550" y="987742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V A C A C I O N E S  * </a:t>
          </a:r>
        </a:p>
      </xdr:txBody>
    </xdr:sp>
    <xdr:clientData/>
  </xdr:twoCellAnchor>
  <xdr:twoCellAnchor>
    <xdr:from>
      <xdr:col>32</xdr:col>
      <xdr:colOff>0</xdr:colOff>
      <xdr:row>63</xdr:row>
      <xdr:rowOff>0</xdr:rowOff>
    </xdr:from>
    <xdr:to>
      <xdr:col>39</xdr:col>
      <xdr:colOff>229144</xdr:colOff>
      <xdr:row>63</xdr:row>
      <xdr:rowOff>105835</xdr:rowOff>
    </xdr:to>
    <xdr:sp macro="" textlink="">
      <xdr:nvSpPr>
        <xdr:cNvPr id="11" name="WordArt 30"/>
        <xdr:cNvSpPr>
          <a:spLocks noChangeArrowheads="1" noChangeShapeType="1"/>
        </xdr:cNvSpPr>
      </xdr:nvSpPr>
      <xdr:spPr bwMode="auto">
        <a:xfrm>
          <a:off x="9639300" y="9877425"/>
          <a:ext cx="2229394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Descanso  medico   particular </a:t>
          </a:r>
        </a:p>
      </xdr:txBody>
    </xdr:sp>
    <xdr:clientData/>
  </xdr:twoCellAnchor>
  <xdr:twoCellAnchor>
    <xdr:from>
      <xdr:col>26</xdr:col>
      <xdr:colOff>0</xdr:colOff>
      <xdr:row>64</xdr:row>
      <xdr:rowOff>0</xdr:rowOff>
    </xdr:from>
    <xdr:to>
      <xdr:col>33</xdr:col>
      <xdr:colOff>154831</xdr:colOff>
      <xdr:row>64</xdr:row>
      <xdr:rowOff>105835</xdr:rowOff>
    </xdr:to>
    <xdr:sp macro="" textlink="">
      <xdr:nvSpPr>
        <xdr:cNvPr id="12" name="WordArt 30"/>
        <xdr:cNvSpPr>
          <a:spLocks noChangeArrowheads="1" noChangeShapeType="1"/>
        </xdr:cNvSpPr>
      </xdr:nvSpPr>
      <xdr:spPr bwMode="auto">
        <a:xfrm>
          <a:off x="7924800" y="10048875"/>
          <a:ext cx="2155081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permiso  x Atencion  medica </a:t>
          </a:r>
        </a:p>
      </xdr:txBody>
    </xdr:sp>
    <xdr:clientData/>
  </xdr:twoCellAnchor>
  <xdr:twoCellAnchor>
    <xdr:from>
      <xdr:col>34</xdr:col>
      <xdr:colOff>0</xdr:colOff>
      <xdr:row>64</xdr:row>
      <xdr:rowOff>0</xdr:rowOff>
    </xdr:from>
    <xdr:to>
      <xdr:col>41</xdr:col>
      <xdr:colOff>209092</xdr:colOff>
      <xdr:row>64</xdr:row>
      <xdr:rowOff>105835</xdr:rowOff>
    </xdr:to>
    <xdr:sp macro="" textlink="">
      <xdr:nvSpPr>
        <xdr:cNvPr id="13" name="WordArt 30"/>
        <xdr:cNvSpPr>
          <a:spLocks noChangeArrowheads="1" noChangeShapeType="1"/>
        </xdr:cNvSpPr>
      </xdr:nvSpPr>
      <xdr:spPr bwMode="auto">
        <a:xfrm>
          <a:off x="10210800" y="10048875"/>
          <a:ext cx="2237917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 Descanso  medico   ESSALUD  </a:t>
          </a:r>
        </a:p>
      </xdr:txBody>
    </xdr:sp>
    <xdr:clientData/>
  </xdr:twoCellAnchor>
  <xdr:twoCellAnchor>
    <xdr:from>
      <xdr:col>20</xdr:col>
      <xdr:colOff>170447</xdr:colOff>
      <xdr:row>63</xdr:row>
      <xdr:rowOff>110290</xdr:rowOff>
    </xdr:from>
    <xdr:to>
      <xdr:col>24</xdr:col>
      <xdr:colOff>90236</xdr:colOff>
      <xdr:row>64</xdr:row>
      <xdr:rowOff>50133</xdr:rowOff>
    </xdr:to>
    <xdr:sp macro="" textlink="">
      <xdr:nvSpPr>
        <xdr:cNvPr id="14" name="WordArt 30"/>
        <xdr:cNvSpPr>
          <a:spLocks noChangeArrowheads="1" noChangeShapeType="1"/>
        </xdr:cNvSpPr>
      </xdr:nvSpPr>
      <xdr:spPr bwMode="auto">
        <a:xfrm>
          <a:off x="6380747" y="9987715"/>
          <a:ext cx="1062789" cy="111293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cita essalud </a:t>
          </a:r>
        </a:p>
      </xdr:txBody>
    </xdr:sp>
    <xdr:clientData/>
  </xdr:twoCellAnchor>
  <xdr:twoCellAnchor>
    <xdr:from>
      <xdr:col>3</xdr:col>
      <xdr:colOff>0</xdr:colOff>
      <xdr:row>11</xdr:row>
      <xdr:rowOff>50130</xdr:rowOff>
    </xdr:from>
    <xdr:to>
      <xdr:col>10</xdr:col>
      <xdr:colOff>154831</xdr:colOff>
      <xdr:row>11</xdr:row>
      <xdr:rowOff>155965</xdr:rowOff>
    </xdr:to>
    <xdr:sp macro="" textlink="">
      <xdr:nvSpPr>
        <xdr:cNvPr id="22" name="WordArt 30"/>
        <xdr:cNvSpPr>
          <a:spLocks noChangeArrowheads="1" noChangeShapeType="1"/>
        </xdr:cNvSpPr>
      </xdr:nvSpPr>
      <xdr:spPr bwMode="auto">
        <a:xfrm>
          <a:off x="1353553" y="1674393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V A C A C I O N E S  * </a:t>
          </a:r>
        </a:p>
      </xdr:txBody>
    </xdr:sp>
    <xdr:clientData/>
  </xdr:twoCellAnchor>
  <xdr:twoCellAnchor>
    <xdr:from>
      <xdr:col>13</xdr:col>
      <xdr:colOff>0</xdr:colOff>
      <xdr:row>11</xdr:row>
      <xdr:rowOff>50130</xdr:rowOff>
    </xdr:from>
    <xdr:to>
      <xdr:col>20</xdr:col>
      <xdr:colOff>154831</xdr:colOff>
      <xdr:row>11</xdr:row>
      <xdr:rowOff>155965</xdr:rowOff>
    </xdr:to>
    <xdr:sp macro="" textlink="">
      <xdr:nvSpPr>
        <xdr:cNvPr id="23" name="WordArt 30"/>
        <xdr:cNvSpPr>
          <a:spLocks noChangeArrowheads="1" noChangeShapeType="1"/>
        </xdr:cNvSpPr>
      </xdr:nvSpPr>
      <xdr:spPr bwMode="auto">
        <a:xfrm>
          <a:off x="4261184" y="1674393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V A C A C I O N E S  * </a:t>
          </a:r>
        </a:p>
      </xdr:txBody>
    </xdr:sp>
    <xdr:clientData/>
  </xdr:twoCellAnchor>
  <xdr:twoCellAnchor>
    <xdr:from>
      <xdr:col>23</xdr:col>
      <xdr:colOff>0</xdr:colOff>
      <xdr:row>11</xdr:row>
      <xdr:rowOff>50130</xdr:rowOff>
    </xdr:from>
    <xdr:to>
      <xdr:col>30</xdr:col>
      <xdr:colOff>154831</xdr:colOff>
      <xdr:row>11</xdr:row>
      <xdr:rowOff>155965</xdr:rowOff>
    </xdr:to>
    <xdr:sp macro="" textlink="">
      <xdr:nvSpPr>
        <xdr:cNvPr id="24" name="WordArt 30"/>
        <xdr:cNvSpPr>
          <a:spLocks noChangeArrowheads="1" noChangeShapeType="1"/>
        </xdr:cNvSpPr>
      </xdr:nvSpPr>
      <xdr:spPr bwMode="auto">
        <a:xfrm>
          <a:off x="7168816" y="1674393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V A C A C I O N E S  * </a:t>
          </a:r>
        </a:p>
      </xdr:txBody>
    </xdr:sp>
    <xdr:clientData/>
  </xdr:twoCellAnchor>
  <xdr:twoCellAnchor>
    <xdr:from>
      <xdr:col>3</xdr:col>
      <xdr:colOff>0</xdr:colOff>
      <xdr:row>33</xdr:row>
      <xdr:rowOff>60156</xdr:rowOff>
    </xdr:from>
    <xdr:to>
      <xdr:col>10</xdr:col>
      <xdr:colOff>154831</xdr:colOff>
      <xdr:row>33</xdr:row>
      <xdr:rowOff>165991</xdr:rowOff>
    </xdr:to>
    <xdr:sp macro="" textlink="">
      <xdr:nvSpPr>
        <xdr:cNvPr id="25" name="WordArt 30"/>
        <xdr:cNvSpPr>
          <a:spLocks noChangeArrowheads="1" noChangeShapeType="1"/>
        </xdr:cNvSpPr>
      </xdr:nvSpPr>
      <xdr:spPr bwMode="auto">
        <a:xfrm>
          <a:off x="1353553" y="5223709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V A C A C I O N E S  * </a:t>
          </a:r>
        </a:p>
      </xdr:txBody>
    </xdr:sp>
    <xdr:clientData/>
  </xdr:twoCellAnchor>
  <xdr:twoCellAnchor>
    <xdr:from>
      <xdr:col>13</xdr:col>
      <xdr:colOff>0</xdr:colOff>
      <xdr:row>33</xdr:row>
      <xdr:rowOff>50130</xdr:rowOff>
    </xdr:from>
    <xdr:to>
      <xdr:col>20</xdr:col>
      <xdr:colOff>154831</xdr:colOff>
      <xdr:row>33</xdr:row>
      <xdr:rowOff>155965</xdr:rowOff>
    </xdr:to>
    <xdr:sp macro="" textlink="">
      <xdr:nvSpPr>
        <xdr:cNvPr id="26" name="WordArt 30"/>
        <xdr:cNvSpPr>
          <a:spLocks noChangeArrowheads="1" noChangeShapeType="1"/>
        </xdr:cNvSpPr>
      </xdr:nvSpPr>
      <xdr:spPr bwMode="auto">
        <a:xfrm>
          <a:off x="4261184" y="5213683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V A C A C I O N E S  * </a:t>
          </a:r>
        </a:p>
      </xdr:txBody>
    </xdr:sp>
    <xdr:clientData/>
  </xdr:twoCellAnchor>
  <xdr:twoCellAnchor>
    <xdr:from>
      <xdr:col>23</xdr:col>
      <xdr:colOff>0</xdr:colOff>
      <xdr:row>33</xdr:row>
      <xdr:rowOff>50130</xdr:rowOff>
    </xdr:from>
    <xdr:to>
      <xdr:col>30</xdr:col>
      <xdr:colOff>154831</xdr:colOff>
      <xdr:row>33</xdr:row>
      <xdr:rowOff>155965</xdr:rowOff>
    </xdr:to>
    <xdr:sp macro="" textlink="">
      <xdr:nvSpPr>
        <xdr:cNvPr id="27" name="WordArt 30"/>
        <xdr:cNvSpPr>
          <a:spLocks noChangeArrowheads="1" noChangeShapeType="1"/>
        </xdr:cNvSpPr>
      </xdr:nvSpPr>
      <xdr:spPr bwMode="auto">
        <a:xfrm>
          <a:off x="7168816" y="5213683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* V A C A C I O N E S  * </a:t>
          </a:r>
        </a:p>
      </xdr:txBody>
    </xdr:sp>
    <xdr:clientData/>
  </xdr:twoCellAnchor>
  <xdr:twoCellAnchor>
    <xdr:from>
      <xdr:col>3</xdr:col>
      <xdr:colOff>0</xdr:colOff>
      <xdr:row>22</xdr:row>
      <xdr:rowOff>50130</xdr:rowOff>
    </xdr:from>
    <xdr:to>
      <xdr:col>10</xdr:col>
      <xdr:colOff>154831</xdr:colOff>
      <xdr:row>22</xdr:row>
      <xdr:rowOff>155965</xdr:rowOff>
    </xdr:to>
    <xdr:sp macro="" textlink="">
      <xdr:nvSpPr>
        <xdr:cNvPr id="28" name="WordArt 30"/>
        <xdr:cNvSpPr>
          <a:spLocks noChangeArrowheads="1" noChangeShapeType="1"/>
        </xdr:cNvSpPr>
      </xdr:nvSpPr>
      <xdr:spPr bwMode="auto">
        <a:xfrm>
          <a:off x="1353553" y="3469104"/>
          <a:ext cx="2190173" cy="10583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permiso  x Atencion  medica </a:t>
          </a:r>
        </a:p>
      </xdr:txBody>
    </xdr:sp>
    <xdr:clientData/>
  </xdr:twoCellAnchor>
  <xdr:twoCellAnchor>
    <xdr:from>
      <xdr:col>28</xdr:col>
      <xdr:colOff>10027</xdr:colOff>
      <xdr:row>20</xdr:row>
      <xdr:rowOff>40107</xdr:rowOff>
    </xdr:from>
    <xdr:to>
      <xdr:col>31</xdr:col>
      <xdr:colOff>280738</xdr:colOff>
      <xdr:row>20</xdr:row>
      <xdr:rowOff>160423</xdr:rowOff>
    </xdr:to>
    <xdr:sp macro="" textlink="">
      <xdr:nvSpPr>
        <xdr:cNvPr id="29" name="WordArt 30"/>
        <xdr:cNvSpPr>
          <a:spLocks noChangeArrowheads="1" noChangeShapeType="1"/>
        </xdr:cNvSpPr>
      </xdr:nvSpPr>
      <xdr:spPr bwMode="auto">
        <a:xfrm>
          <a:off x="8632659" y="3118186"/>
          <a:ext cx="1143000" cy="120316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1800" i="1" u="none" strike="noStrike" kern="10" cap="small" spc="360" normalizeH="1" baseline="0">
              <a:ln w="12700">
                <a:solidFill>
                  <a:srgbClr val="80008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 Atencion  medica 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9.xml"/><Relationship Id="rId4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10.xml"/><Relationship Id="rId4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7.xml"/><Relationship Id="rId4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youtube.com/watch?v=4viSziGUps4" TargetMode="External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4:G10"/>
  <sheetViews>
    <sheetView workbookViewId="0">
      <selection activeCell="B2" sqref="B2"/>
    </sheetView>
  </sheetViews>
  <sheetFormatPr baseColWidth="10" defaultRowHeight="15"/>
  <cols>
    <col min="1" max="1" width="2.7109375" customWidth="1"/>
    <col min="2" max="2" width="16.7109375" customWidth="1"/>
    <col min="3" max="3" width="16.7109375" style="623" customWidth="1"/>
    <col min="4" max="4" width="16.7109375" customWidth="1"/>
    <col min="5" max="5" width="16.7109375" style="623" customWidth="1"/>
    <col min="6" max="6" width="16.7109375" customWidth="1"/>
    <col min="7" max="7" width="16.7109375" style="623" customWidth="1"/>
    <col min="8" max="16" width="16.7109375" customWidth="1"/>
  </cols>
  <sheetData>
    <row r="4" spans="2:7">
      <c r="B4" t="s">
        <v>61</v>
      </c>
      <c r="C4" s="623">
        <v>43841</v>
      </c>
      <c r="D4" t="s">
        <v>64</v>
      </c>
      <c r="E4" s="623">
        <v>43846</v>
      </c>
      <c r="F4" t="s">
        <v>47</v>
      </c>
      <c r="G4" s="623">
        <v>43827</v>
      </c>
    </row>
    <row r="5" spans="2:7">
      <c r="C5" s="623">
        <v>43850</v>
      </c>
      <c r="E5" s="623">
        <v>43864</v>
      </c>
      <c r="G5" s="623">
        <v>43862</v>
      </c>
    </row>
    <row r="6" spans="2:7">
      <c r="C6" s="623">
        <v>43851</v>
      </c>
    </row>
    <row r="7" spans="2:7">
      <c r="C7" s="623">
        <v>43852</v>
      </c>
    </row>
    <row r="8" spans="2:7">
      <c r="C8" s="623">
        <v>43853</v>
      </c>
    </row>
    <row r="9" spans="2:7">
      <c r="C9" s="623">
        <v>43854</v>
      </c>
    </row>
    <row r="10" spans="2:7">
      <c r="C10" s="623">
        <v>43855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H282"/>
  <sheetViews>
    <sheetView zoomScale="95" zoomScaleNormal="95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AF17" sqref="AF17"/>
    </sheetView>
  </sheetViews>
  <sheetFormatPr baseColWidth="10" defaultRowHeight="15"/>
  <cols>
    <col min="1" max="1" width="2.28515625" style="1" customWidth="1"/>
    <col min="2" max="2" width="13.7109375" style="7" customWidth="1"/>
    <col min="3" max="4" width="4.28515625" style="3" customWidth="1"/>
    <col min="5" max="5" width="4.28515625" style="4" customWidth="1"/>
    <col min="6" max="6" width="4.28515625" style="5" customWidth="1"/>
    <col min="7" max="8" width="4.28515625" style="3" customWidth="1"/>
    <col min="9" max="9" width="4.28515625" style="5" customWidth="1"/>
    <col min="10" max="10" width="4.28515625" style="3" customWidth="1"/>
    <col min="11" max="12" width="4.28515625" style="6" customWidth="1"/>
    <col min="13" max="26" width="4.28515625" style="3" customWidth="1"/>
    <col min="27" max="39" width="4.28515625" style="7" customWidth="1"/>
    <col min="40" max="40" width="4.7109375" style="7" customWidth="1"/>
    <col min="41" max="41" width="4.28515625" style="7" customWidth="1"/>
    <col min="42" max="42" width="4.7109375" style="7" customWidth="1"/>
    <col min="43" max="43" width="0.5703125" style="7" customWidth="1"/>
    <col min="44" max="45" width="4.140625" style="7" customWidth="1"/>
    <col min="46" max="46" width="7.7109375" style="7" customWidth="1"/>
    <col min="47" max="47" width="0.85546875" style="7" customWidth="1"/>
    <col min="48" max="54" width="2.7109375" style="7" customWidth="1"/>
    <col min="55" max="55" width="0.85546875" style="7" customWidth="1"/>
    <col min="56" max="56" width="8.42578125" style="7" bestFit="1" customWidth="1"/>
    <col min="57" max="57" width="10.28515625" style="7" customWidth="1"/>
    <col min="58" max="59" width="11.42578125" style="7"/>
    <col min="60" max="62" width="12.7109375" style="7" customWidth="1"/>
    <col min="63" max="16384" width="11.42578125" style="7"/>
  </cols>
  <sheetData>
    <row r="1" spans="1:58" ht="6" customHeight="1">
      <c r="B1" s="2">
        <f>+W27</f>
        <v>43838</v>
      </c>
      <c r="C1" s="3" t="s">
        <v>0</v>
      </c>
      <c r="AN1" s="8"/>
      <c r="AO1" s="8"/>
      <c r="AR1" s="1198">
        <f>+AR48+AT48</f>
        <v>201</v>
      </c>
      <c r="AS1" s="1199"/>
      <c r="AT1" s="1199"/>
      <c r="AU1" s="1200"/>
    </row>
    <row r="2" spans="1:58" ht="6" customHeight="1">
      <c r="AJ2" s="8"/>
      <c r="AK2" s="8"/>
      <c r="AL2" s="8"/>
      <c r="AM2" s="8"/>
      <c r="AN2" s="8"/>
      <c r="AO2" s="8"/>
      <c r="AR2" s="1201"/>
      <c r="AS2" s="1202"/>
      <c r="AT2" s="1202"/>
      <c r="AU2" s="1203"/>
    </row>
    <row r="3" spans="1:58" s="10" customFormat="1" ht="20.100000000000001" customHeight="1">
      <c r="A3" s="1"/>
      <c r="B3" s="740">
        <f>+B1+1</f>
        <v>43839</v>
      </c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740"/>
      <c r="AB3" s="740"/>
      <c r="AC3" s="740"/>
      <c r="AD3" s="740"/>
      <c r="AE3" s="740"/>
      <c r="AF3" s="740"/>
      <c r="AG3" s="740"/>
      <c r="AH3" s="740"/>
      <c r="AI3" s="740"/>
      <c r="AJ3" s="740"/>
      <c r="AK3" s="740"/>
      <c r="AL3" s="740"/>
      <c r="AM3" s="740"/>
      <c r="AN3" s="740"/>
      <c r="AO3" s="740"/>
      <c r="AP3" s="9"/>
      <c r="AT3" s="11"/>
    </row>
    <row r="4" spans="1:58" ht="3" customHeight="1" thickBot="1">
      <c r="B4" s="12"/>
      <c r="C4" s="3">
        <v>0</v>
      </c>
    </row>
    <row r="5" spans="1:58" ht="9.9499999999999993" customHeight="1">
      <c r="B5" s="741" t="s">
        <v>1</v>
      </c>
      <c r="C5" s="744">
        <v>43832</v>
      </c>
      <c r="D5" s="744"/>
      <c r="E5" s="744"/>
      <c r="F5" s="744"/>
      <c r="G5" s="744"/>
      <c r="H5" s="744"/>
      <c r="I5" s="744"/>
      <c r="J5" s="744"/>
      <c r="K5" s="746"/>
      <c r="L5" s="747"/>
      <c r="M5" s="744">
        <f>1+C5</f>
        <v>43833</v>
      </c>
      <c r="N5" s="744"/>
      <c r="O5" s="744"/>
      <c r="P5" s="744"/>
      <c r="Q5" s="744"/>
      <c r="R5" s="744"/>
      <c r="S5" s="744"/>
      <c r="T5" s="744"/>
      <c r="U5" s="746"/>
      <c r="V5" s="747"/>
      <c r="W5" s="750">
        <f>1+M5</f>
        <v>43834</v>
      </c>
      <c r="X5" s="750"/>
      <c r="Y5" s="750"/>
      <c r="Z5" s="750"/>
      <c r="AA5" s="750"/>
      <c r="AB5" s="750"/>
      <c r="AC5" s="750"/>
      <c r="AD5" s="750"/>
      <c r="AE5" s="752"/>
      <c r="AF5" s="753"/>
      <c r="AG5" s="756">
        <f>1+W5</f>
        <v>43835</v>
      </c>
      <c r="AH5" s="757"/>
      <c r="AI5" s="757"/>
      <c r="AJ5" s="757"/>
      <c r="AK5" s="757"/>
      <c r="AL5" s="757"/>
      <c r="AM5" s="757"/>
      <c r="AN5" s="757"/>
      <c r="AO5" s="791" t="s">
        <v>2</v>
      </c>
      <c r="AP5" s="793" t="s">
        <v>3</v>
      </c>
      <c r="AQ5" s="794"/>
      <c r="AR5" s="794"/>
      <c r="AS5" s="795"/>
      <c r="AT5" s="802" t="s">
        <v>4</v>
      </c>
      <c r="AV5" s="779" t="s">
        <v>5</v>
      </c>
      <c r="AW5" s="779"/>
      <c r="AX5" s="779"/>
      <c r="AY5" s="779"/>
      <c r="AZ5" s="779"/>
      <c r="BA5" s="779"/>
      <c r="BB5" s="779"/>
      <c r="BC5" s="13"/>
      <c r="BD5" s="804" t="s">
        <v>6</v>
      </c>
      <c r="BE5" s="805" t="s">
        <v>7</v>
      </c>
      <c r="BF5" s="776" t="s">
        <v>8</v>
      </c>
    </row>
    <row r="6" spans="1:58" ht="9.9499999999999993" customHeight="1">
      <c r="B6" s="742"/>
      <c r="C6" s="745"/>
      <c r="D6" s="745"/>
      <c r="E6" s="745"/>
      <c r="F6" s="745"/>
      <c r="G6" s="745"/>
      <c r="H6" s="745"/>
      <c r="I6" s="745"/>
      <c r="J6" s="745"/>
      <c r="K6" s="748"/>
      <c r="L6" s="749"/>
      <c r="M6" s="745"/>
      <c r="N6" s="745"/>
      <c r="O6" s="745"/>
      <c r="P6" s="745"/>
      <c r="Q6" s="745"/>
      <c r="R6" s="745"/>
      <c r="S6" s="745"/>
      <c r="T6" s="745"/>
      <c r="U6" s="748"/>
      <c r="V6" s="749"/>
      <c r="W6" s="751"/>
      <c r="X6" s="751"/>
      <c r="Y6" s="751"/>
      <c r="Z6" s="751"/>
      <c r="AA6" s="751"/>
      <c r="AB6" s="751"/>
      <c r="AC6" s="751"/>
      <c r="AD6" s="751"/>
      <c r="AE6" s="754"/>
      <c r="AF6" s="755"/>
      <c r="AG6" s="758"/>
      <c r="AH6" s="759"/>
      <c r="AI6" s="759"/>
      <c r="AJ6" s="759"/>
      <c r="AK6" s="759"/>
      <c r="AL6" s="759"/>
      <c r="AM6" s="759"/>
      <c r="AN6" s="759"/>
      <c r="AO6" s="792"/>
      <c r="AP6" s="796"/>
      <c r="AQ6" s="797"/>
      <c r="AR6" s="797"/>
      <c r="AS6" s="798"/>
      <c r="AT6" s="803"/>
      <c r="AV6" s="779" t="s">
        <v>9</v>
      </c>
      <c r="AW6" s="779"/>
      <c r="AX6" s="779"/>
      <c r="AY6" s="779"/>
      <c r="AZ6" s="779"/>
      <c r="BA6" s="779"/>
      <c r="BB6" s="779"/>
      <c r="BC6" s="13"/>
      <c r="BD6" s="804"/>
      <c r="BE6" s="805"/>
      <c r="BF6" s="777"/>
    </row>
    <row r="7" spans="1:58" ht="15.2" customHeight="1">
      <c r="B7" s="742"/>
      <c r="C7" s="780" t="s">
        <v>10</v>
      </c>
      <c r="D7" s="781"/>
      <c r="E7" s="766" t="s">
        <v>11</v>
      </c>
      <c r="F7" s="769" t="s">
        <v>12</v>
      </c>
      <c r="G7" s="772" t="s">
        <v>10</v>
      </c>
      <c r="H7" s="761"/>
      <c r="I7" s="769" t="s">
        <v>12</v>
      </c>
      <c r="J7" s="773" t="s">
        <v>13</v>
      </c>
      <c r="K7" s="786" t="s">
        <v>14</v>
      </c>
      <c r="L7" s="789" t="s">
        <v>15</v>
      </c>
      <c r="M7" s="760" t="s">
        <v>10</v>
      </c>
      <c r="N7" s="761"/>
      <c r="O7" s="766" t="s">
        <v>11</v>
      </c>
      <c r="P7" s="769" t="s">
        <v>12</v>
      </c>
      <c r="Q7" s="772" t="s">
        <v>10</v>
      </c>
      <c r="R7" s="761"/>
      <c r="S7" s="769" t="s">
        <v>12</v>
      </c>
      <c r="T7" s="773" t="s">
        <v>13</v>
      </c>
      <c r="U7" s="786" t="s">
        <v>14</v>
      </c>
      <c r="V7" s="789" t="s">
        <v>15</v>
      </c>
      <c r="W7" s="814" t="s">
        <v>10</v>
      </c>
      <c r="X7" s="810"/>
      <c r="Y7" s="766" t="s">
        <v>11</v>
      </c>
      <c r="Z7" s="769" t="s">
        <v>12</v>
      </c>
      <c r="AA7" s="809" t="s">
        <v>10</v>
      </c>
      <c r="AB7" s="810"/>
      <c r="AC7" s="769" t="s">
        <v>12</v>
      </c>
      <c r="AD7" s="773" t="s">
        <v>13</v>
      </c>
      <c r="AE7" s="807" t="s">
        <v>14</v>
      </c>
      <c r="AF7" s="789" t="s">
        <v>15</v>
      </c>
      <c r="AG7" s="809" t="s">
        <v>10</v>
      </c>
      <c r="AH7" s="810"/>
      <c r="AI7" s="766" t="s">
        <v>11</v>
      </c>
      <c r="AJ7" s="825" t="s">
        <v>12</v>
      </c>
      <c r="AK7" s="809" t="s">
        <v>10</v>
      </c>
      <c r="AL7" s="810"/>
      <c r="AM7" s="769" t="s">
        <v>12</v>
      </c>
      <c r="AN7" s="828" t="s">
        <v>16</v>
      </c>
      <c r="AO7" s="830" t="s">
        <v>14</v>
      </c>
      <c r="AP7" s="796"/>
      <c r="AQ7" s="797"/>
      <c r="AR7" s="797"/>
      <c r="AS7" s="798"/>
      <c r="AT7" s="803"/>
      <c r="AV7" s="806">
        <f>+C5</f>
        <v>43832</v>
      </c>
      <c r="AW7" s="806">
        <f>+M5</f>
        <v>43833</v>
      </c>
      <c r="AX7" s="806">
        <f>+W5</f>
        <v>43834</v>
      </c>
      <c r="AY7" s="832">
        <f>+AG5</f>
        <v>43835</v>
      </c>
      <c r="AZ7" s="806">
        <f>+C27</f>
        <v>43836</v>
      </c>
      <c r="BA7" s="806">
        <f>+M27</f>
        <v>43837</v>
      </c>
      <c r="BB7" s="806">
        <f>+W27</f>
        <v>43838</v>
      </c>
      <c r="BC7" s="14"/>
      <c r="BD7" s="804"/>
      <c r="BE7" s="805"/>
      <c r="BF7" s="777"/>
    </row>
    <row r="8" spans="1:58" ht="15.2" customHeight="1">
      <c r="B8" s="742"/>
      <c r="C8" s="782"/>
      <c r="D8" s="783"/>
      <c r="E8" s="767"/>
      <c r="F8" s="770"/>
      <c r="G8" s="763"/>
      <c r="H8" s="763"/>
      <c r="I8" s="770"/>
      <c r="J8" s="774"/>
      <c r="K8" s="787"/>
      <c r="L8" s="789"/>
      <c r="M8" s="762"/>
      <c r="N8" s="763"/>
      <c r="O8" s="767"/>
      <c r="P8" s="770"/>
      <c r="Q8" s="763"/>
      <c r="R8" s="763"/>
      <c r="S8" s="770"/>
      <c r="T8" s="774"/>
      <c r="U8" s="787"/>
      <c r="V8" s="789"/>
      <c r="W8" s="815"/>
      <c r="X8" s="810"/>
      <c r="Y8" s="767"/>
      <c r="Z8" s="770"/>
      <c r="AA8" s="811"/>
      <c r="AB8" s="810"/>
      <c r="AC8" s="770"/>
      <c r="AD8" s="774"/>
      <c r="AE8" s="807"/>
      <c r="AF8" s="789"/>
      <c r="AG8" s="811"/>
      <c r="AH8" s="810"/>
      <c r="AI8" s="767"/>
      <c r="AJ8" s="826"/>
      <c r="AK8" s="811"/>
      <c r="AL8" s="810"/>
      <c r="AM8" s="770"/>
      <c r="AN8" s="828"/>
      <c r="AO8" s="830"/>
      <c r="AP8" s="796"/>
      <c r="AQ8" s="797"/>
      <c r="AR8" s="797"/>
      <c r="AS8" s="798"/>
      <c r="AT8" s="803"/>
      <c r="AV8" s="806"/>
      <c r="AW8" s="806"/>
      <c r="AX8" s="806"/>
      <c r="AY8" s="832"/>
      <c r="AZ8" s="806"/>
      <c r="BA8" s="806"/>
      <c r="BB8" s="806"/>
      <c r="BC8" s="14"/>
      <c r="BD8" s="804"/>
      <c r="BE8" s="805"/>
      <c r="BF8" s="777"/>
    </row>
    <row r="9" spans="1:58" ht="15.2" customHeight="1">
      <c r="B9" s="742"/>
      <c r="C9" s="782"/>
      <c r="D9" s="783"/>
      <c r="E9" s="767"/>
      <c r="F9" s="770"/>
      <c r="G9" s="763"/>
      <c r="H9" s="763"/>
      <c r="I9" s="770"/>
      <c r="J9" s="774"/>
      <c r="K9" s="787"/>
      <c r="L9" s="789"/>
      <c r="M9" s="762"/>
      <c r="N9" s="763"/>
      <c r="O9" s="767"/>
      <c r="P9" s="770"/>
      <c r="Q9" s="763"/>
      <c r="R9" s="763"/>
      <c r="S9" s="770"/>
      <c r="T9" s="774"/>
      <c r="U9" s="787"/>
      <c r="V9" s="789"/>
      <c r="W9" s="815"/>
      <c r="X9" s="810"/>
      <c r="Y9" s="767"/>
      <c r="Z9" s="770"/>
      <c r="AA9" s="811"/>
      <c r="AB9" s="810"/>
      <c r="AC9" s="770"/>
      <c r="AD9" s="774"/>
      <c r="AE9" s="807"/>
      <c r="AF9" s="789"/>
      <c r="AG9" s="811"/>
      <c r="AH9" s="810"/>
      <c r="AI9" s="767"/>
      <c r="AJ9" s="826"/>
      <c r="AK9" s="811"/>
      <c r="AL9" s="810"/>
      <c r="AM9" s="770"/>
      <c r="AN9" s="828"/>
      <c r="AO9" s="830"/>
      <c r="AP9" s="796"/>
      <c r="AQ9" s="797"/>
      <c r="AR9" s="797"/>
      <c r="AS9" s="798"/>
      <c r="AT9" s="803"/>
      <c r="AV9" s="806"/>
      <c r="AW9" s="806"/>
      <c r="AX9" s="806"/>
      <c r="AY9" s="832"/>
      <c r="AZ9" s="806"/>
      <c r="BA9" s="806"/>
      <c r="BB9" s="806"/>
      <c r="BC9" s="14"/>
      <c r="BD9" s="804"/>
      <c r="BE9" s="805"/>
      <c r="BF9" s="777"/>
    </row>
    <row r="10" spans="1:58" ht="15.2" customHeight="1" thickBot="1">
      <c r="B10" s="743"/>
      <c r="C10" s="784"/>
      <c r="D10" s="785"/>
      <c r="E10" s="768"/>
      <c r="F10" s="771"/>
      <c r="G10" s="765"/>
      <c r="H10" s="765"/>
      <c r="I10" s="771"/>
      <c r="J10" s="775"/>
      <c r="K10" s="788"/>
      <c r="L10" s="790"/>
      <c r="M10" s="764"/>
      <c r="N10" s="765"/>
      <c r="O10" s="768"/>
      <c r="P10" s="771"/>
      <c r="Q10" s="765"/>
      <c r="R10" s="765"/>
      <c r="S10" s="771"/>
      <c r="T10" s="775"/>
      <c r="U10" s="788"/>
      <c r="V10" s="790"/>
      <c r="W10" s="816"/>
      <c r="X10" s="813"/>
      <c r="Y10" s="768"/>
      <c r="Z10" s="771"/>
      <c r="AA10" s="812"/>
      <c r="AB10" s="813"/>
      <c r="AC10" s="771"/>
      <c r="AD10" s="775"/>
      <c r="AE10" s="808"/>
      <c r="AF10" s="790"/>
      <c r="AG10" s="812"/>
      <c r="AH10" s="813"/>
      <c r="AI10" s="768"/>
      <c r="AJ10" s="827"/>
      <c r="AK10" s="812"/>
      <c r="AL10" s="813"/>
      <c r="AM10" s="771"/>
      <c r="AN10" s="829"/>
      <c r="AO10" s="831"/>
      <c r="AP10" s="799"/>
      <c r="AQ10" s="800"/>
      <c r="AR10" s="800"/>
      <c r="AS10" s="801"/>
      <c r="AT10" s="15">
        <v>4</v>
      </c>
      <c r="AV10" s="806"/>
      <c r="AW10" s="806"/>
      <c r="AX10" s="806"/>
      <c r="AY10" s="832"/>
      <c r="AZ10" s="806"/>
      <c r="BA10" s="806"/>
      <c r="BB10" s="806"/>
      <c r="BC10" s="14"/>
      <c r="BD10" s="804"/>
      <c r="BE10" s="805"/>
      <c r="BF10" s="778"/>
    </row>
    <row r="11" spans="1:58" ht="14.1" customHeight="1">
      <c r="A11" s="1">
        <v>1</v>
      </c>
      <c r="B11" s="16" t="str">
        <f t="shared" ref="B11:B16" si="0">+B73</f>
        <v>Eduardo Segura D.</v>
      </c>
      <c r="C11" s="17">
        <v>8</v>
      </c>
      <c r="D11" s="18">
        <v>16</v>
      </c>
      <c r="E11" s="19">
        <v>1</v>
      </c>
      <c r="F11" s="20">
        <f t="shared" ref="F11:F21" si="1">+D11-C11-E11</f>
        <v>7</v>
      </c>
      <c r="G11" s="21"/>
      <c r="H11" s="22"/>
      <c r="I11" s="20">
        <f t="shared" ref="I11:I21" si="2">+H11-G11</f>
        <v>0</v>
      </c>
      <c r="J11" s="23"/>
      <c r="K11" s="24">
        <f t="shared" ref="K11:K21" si="3">+I11+F11-L11</f>
        <v>8</v>
      </c>
      <c r="L11" s="25">
        <f t="shared" ref="L11:L25" si="4">IF(C11&gt;0,(F11+I11)+IF(K$5&gt;0,F11,-8),0)+IF(U$5&gt;0,I11,0)</f>
        <v>-1</v>
      </c>
      <c r="M11" s="26">
        <v>7</v>
      </c>
      <c r="N11" s="21">
        <v>14</v>
      </c>
      <c r="O11" s="23">
        <v>1</v>
      </c>
      <c r="P11" s="20">
        <f t="shared" ref="P11:P21" si="5">+N11-M11-O11</f>
        <v>6</v>
      </c>
      <c r="Q11" s="22"/>
      <c r="R11" s="544">
        <v>2</v>
      </c>
      <c r="S11" s="20">
        <f t="shared" ref="S11:S21" si="6">+R11-Q11</f>
        <v>2</v>
      </c>
      <c r="T11" s="23"/>
      <c r="U11" s="24">
        <f t="shared" ref="U11:U21" si="7">+S11+P11-V11</f>
        <v>8</v>
      </c>
      <c r="V11" s="25">
        <f t="shared" ref="V11:V21" si="8">IF(M11&gt;0,(P11+S11)+IF(U$5&gt;0,P11,-8),0)+IF(AE$5&gt;0,S11,0)</f>
        <v>0</v>
      </c>
      <c r="W11" s="26">
        <v>7</v>
      </c>
      <c r="X11" s="22">
        <v>16</v>
      </c>
      <c r="Y11" s="27">
        <v>1</v>
      </c>
      <c r="Z11" s="20">
        <f t="shared" ref="Z11:Z21" si="9">+X11-W11-Y11</f>
        <v>8</v>
      </c>
      <c r="AA11" s="22"/>
      <c r="AB11" s="28"/>
      <c r="AC11" s="20">
        <f t="shared" ref="AC11:AC21" si="10">+AB11-AA11</f>
        <v>0</v>
      </c>
      <c r="AD11" s="23"/>
      <c r="AE11" s="24">
        <f t="shared" ref="AE11:AE25" si="11">+AC11+Z11-IF(AE$5&gt;0,AF11/2,AF11)</f>
        <v>8</v>
      </c>
      <c r="AF11" s="25">
        <f>IF(W11&gt;0,IF(AE$5&gt;0,(Z11+AC11)*2,(Z11+AC11-8)),0)*IF(Z11&lt;9,IF(AE$5&gt;0,1,2),1)+IF(Z11&gt;8,AC11,0)</f>
        <v>0</v>
      </c>
      <c r="AG11" s="22"/>
      <c r="AH11" s="22"/>
      <c r="AI11" s="27"/>
      <c r="AJ11" s="29">
        <f t="shared" ref="AJ11:AJ25" si="12">+AH11-AG11-AI11</f>
        <v>0</v>
      </c>
      <c r="AK11" s="21"/>
      <c r="AL11" s="21"/>
      <c r="AM11" s="20">
        <f t="shared" ref="AM11:AM21" si="13">+AL11-AK11</f>
        <v>0</v>
      </c>
      <c r="AN11" s="30"/>
      <c r="AO11" s="31">
        <f t="shared" ref="AO11:AO21" si="14">(AJ11*2+AM11)</f>
        <v>0</v>
      </c>
      <c r="AP11" s="817">
        <f t="shared" ref="AP11:AP18" si="15">+L11+V11+AF11+AO11+L33+V33+AF33-AN11</f>
        <v>-3</v>
      </c>
      <c r="AQ11" s="818"/>
      <c r="AR11" s="819">
        <f t="shared" ref="AR11:AR21" si="16">ROUND(BD11*AP11,1)</f>
        <v>-13.6</v>
      </c>
      <c r="AS11" s="820"/>
      <c r="AT11" s="32">
        <f t="shared" ref="AT11:AT18" si="17">IF(AT33&gt;0,AT33*$AT$10,0)</f>
        <v>24</v>
      </c>
      <c r="AV11" s="33">
        <f t="shared" ref="AV11:AV21" si="18">+L11</f>
        <v>-1</v>
      </c>
      <c r="AW11" s="33">
        <f t="shared" ref="AW11:AW21" si="19">+V11</f>
        <v>0</v>
      </c>
      <c r="AX11" s="33">
        <f t="shared" ref="AX11:AX21" si="20">+AF11</f>
        <v>0</v>
      </c>
      <c r="AY11" s="34">
        <f t="shared" ref="AY11:AY21" si="21">+AO11</f>
        <v>0</v>
      </c>
      <c r="AZ11" s="33">
        <f t="shared" ref="AZ11:AZ18" si="22">+L33</f>
        <v>-1</v>
      </c>
      <c r="BA11" s="33">
        <f t="shared" ref="BA11:BA18" si="23">+V33</f>
        <v>-1</v>
      </c>
      <c r="BB11" s="33">
        <f t="shared" ref="BB11:BB18" si="24">+AF33</f>
        <v>0</v>
      </c>
      <c r="BC11" s="35"/>
      <c r="BD11" s="36">
        <f t="shared" ref="BD11:BD16" si="25">+I73</f>
        <v>4.5464285714285708</v>
      </c>
      <c r="BE11" s="37">
        <f t="shared" ref="BE11:BE21" si="26">+BD11*AP11</f>
        <v>-13.639285714285712</v>
      </c>
      <c r="BF11" s="38">
        <f t="shared" ref="BF11:BF21" si="27">+BD11*AY11</f>
        <v>0</v>
      </c>
    </row>
    <row r="12" spans="1:58" ht="14.1" customHeight="1">
      <c r="A12" s="1">
        <v>2</v>
      </c>
      <c r="B12" s="39" t="str">
        <f t="shared" si="0"/>
        <v>Cesar Mendez M.</v>
      </c>
      <c r="C12" s="17"/>
      <c r="D12" s="18"/>
      <c r="E12" s="19"/>
      <c r="F12" s="40">
        <f t="shared" si="1"/>
        <v>0</v>
      </c>
      <c r="G12" s="18"/>
      <c r="H12" s="18"/>
      <c r="I12" s="40">
        <f t="shared" si="2"/>
        <v>0</v>
      </c>
      <c r="J12" s="19"/>
      <c r="K12" s="41">
        <f t="shared" si="3"/>
        <v>0</v>
      </c>
      <c r="L12" s="25">
        <f t="shared" si="4"/>
        <v>0</v>
      </c>
      <c r="M12" s="59"/>
      <c r="N12" s="18"/>
      <c r="O12" s="19"/>
      <c r="P12" s="40">
        <f t="shared" si="5"/>
        <v>0</v>
      </c>
      <c r="Q12" s="43"/>
      <c r="R12" s="43"/>
      <c r="S12" s="40">
        <f t="shared" si="6"/>
        <v>0</v>
      </c>
      <c r="T12" s="19"/>
      <c r="U12" s="41">
        <f t="shared" si="7"/>
        <v>0</v>
      </c>
      <c r="V12" s="25">
        <f t="shared" si="8"/>
        <v>0</v>
      </c>
      <c r="W12" s="18"/>
      <c r="X12" s="18"/>
      <c r="Y12" s="19"/>
      <c r="Z12" s="40">
        <f t="shared" si="9"/>
        <v>0</v>
      </c>
      <c r="AA12" s="44"/>
      <c r="AB12" s="28"/>
      <c r="AC12" s="40">
        <f t="shared" si="10"/>
        <v>0</v>
      </c>
      <c r="AD12" s="19"/>
      <c r="AE12" s="41">
        <f t="shared" si="11"/>
        <v>0</v>
      </c>
      <c r="AF12" s="25">
        <f>IF(W12&gt;0,IF(AE$5&gt;0,(Z12+AC12)*2,(Z12+AC12-8)),0)*IF(Z12&lt;9,IF(AE$5&gt;0,1,2),1)+IF(Z12&gt;8,AC12,0)</f>
        <v>0</v>
      </c>
      <c r="AG12" s="45"/>
      <c r="AH12" s="18"/>
      <c r="AI12" s="19"/>
      <c r="AJ12" s="46">
        <f>+AH12-AG12-AI12</f>
        <v>0</v>
      </c>
      <c r="AK12" s="18"/>
      <c r="AL12" s="18"/>
      <c r="AM12" s="40">
        <f t="shared" si="13"/>
        <v>0</v>
      </c>
      <c r="AN12" s="47"/>
      <c r="AO12" s="48">
        <f t="shared" si="14"/>
        <v>0</v>
      </c>
      <c r="AP12" s="821">
        <f t="shared" si="15"/>
        <v>0</v>
      </c>
      <c r="AQ12" s="822"/>
      <c r="AR12" s="823">
        <f t="shared" si="16"/>
        <v>0</v>
      </c>
      <c r="AS12" s="824"/>
      <c r="AT12" s="49">
        <f t="shared" si="17"/>
        <v>0</v>
      </c>
      <c r="AV12" s="33">
        <f t="shared" si="18"/>
        <v>0</v>
      </c>
      <c r="AW12" s="33">
        <f t="shared" si="19"/>
        <v>0</v>
      </c>
      <c r="AX12" s="33">
        <f t="shared" si="20"/>
        <v>0</v>
      </c>
      <c r="AY12" s="34">
        <f t="shared" si="21"/>
        <v>0</v>
      </c>
      <c r="AZ12" s="33">
        <f t="shared" si="22"/>
        <v>0</v>
      </c>
      <c r="BA12" s="33">
        <f t="shared" si="23"/>
        <v>0</v>
      </c>
      <c r="BB12" s="33">
        <f t="shared" si="24"/>
        <v>0</v>
      </c>
      <c r="BC12" s="35"/>
      <c r="BD12" s="36">
        <f t="shared" si="25"/>
        <v>5.1339285714285712</v>
      </c>
      <c r="BE12" s="37">
        <f t="shared" si="26"/>
        <v>0</v>
      </c>
      <c r="BF12" s="38">
        <f t="shared" si="27"/>
        <v>0</v>
      </c>
    </row>
    <row r="13" spans="1:58" ht="14.1" customHeight="1">
      <c r="A13" s="1">
        <v>3</v>
      </c>
      <c r="B13" s="39" t="str">
        <f t="shared" si="0"/>
        <v xml:space="preserve">  -  .  -  </v>
      </c>
      <c r="C13" s="50"/>
      <c r="D13" s="51"/>
      <c r="E13" s="52"/>
      <c r="F13" s="53">
        <f t="shared" si="1"/>
        <v>0</v>
      </c>
      <c r="G13" s="43"/>
      <c r="H13" s="43"/>
      <c r="I13" s="53">
        <f t="shared" si="2"/>
        <v>0</v>
      </c>
      <c r="J13" s="54"/>
      <c r="K13" s="55">
        <f t="shared" si="3"/>
        <v>0</v>
      </c>
      <c r="L13" s="25">
        <f t="shared" si="4"/>
        <v>0</v>
      </c>
      <c r="M13" s="56"/>
      <c r="N13" s="43"/>
      <c r="O13" s="54"/>
      <c r="P13" s="53">
        <f t="shared" si="5"/>
        <v>0</v>
      </c>
      <c r="Q13" s="43"/>
      <c r="R13" s="43"/>
      <c r="S13" s="53">
        <f t="shared" si="6"/>
        <v>0</v>
      </c>
      <c r="T13" s="54"/>
      <c r="U13" s="55">
        <f t="shared" si="7"/>
        <v>0</v>
      </c>
      <c r="V13" s="25">
        <f t="shared" si="8"/>
        <v>0</v>
      </c>
      <c r="W13" s="56"/>
      <c r="X13" s="43"/>
      <c r="Y13" s="54"/>
      <c r="Z13" s="53">
        <f t="shared" si="9"/>
        <v>0</v>
      </c>
      <c r="AA13" s="44"/>
      <c r="AB13" s="28"/>
      <c r="AC13" s="40">
        <f t="shared" si="10"/>
        <v>0</v>
      </c>
      <c r="AD13" s="54"/>
      <c r="AE13" s="55">
        <f t="shared" si="11"/>
        <v>0</v>
      </c>
      <c r="AF13" s="25">
        <f>IF(W13&gt;0,IF(AE$5&gt;0,(Z13+AC13)*2,(Z13+AC13-8)),0)*IF(Z13&lt;9,IF(AE$5&gt;0,1,2),1)+IF(Z13&gt;8,AC13,0)</f>
        <v>0</v>
      </c>
      <c r="AG13" s="45"/>
      <c r="AH13" s="18"/>
      <c r="AI13" s="19"/>
      <c r="AJ13" s="46">
        <f t="shared" si="12"/>
        <v>0</v>
      </c>
      <c r="AK13" s="18"/>
      <c r="AL13" s="18"/>
      <c r="AM13" s="40">
        <f t="shared" si="13"/>
        <v>0</v>
      </c>
      <c r="AN13" s="57"/>
      <c r="AO13" s="48">
        <f t="shared" si="14"/>
        <v>0</v>
      </c>
      <c r="AP13" s="821">
        <f t="shared" si="15"/>
        <v>0</v>
      </c>
      <c r="AQ13" s="822"/>
      <c r="AR13" s="823">
        <f t="shared" si="16"/>
        <v>0</v>
      </c>
      <c r="AS13" s="824"/>
      <c r="AT13" s="49">
        <f t="shared" si="17"/>
        <v>0</v>
      </c>
      <c r="AV13" s="33">
        <f t="shared" si="18"/>
        <v>0</v>
      </c>
      <c r="AW13" s="33">
        <f t="shared" si="19"/>
        <v>0</v>
      </c>
      <c r="AX13" s="33">
        <f t="shared" si="20"/>
        <v>0</v>
      </c>
      <c r="AY13" s="34">
        <f t="shared" si="21"/>
        <v>0</v>
      </c>
      <c r="AZ13" s="33">
        <f t="shared" si="22"/>
        <v>0</v>
      </c>
      <c r="BA13" s="33">
        <f t="shared" si="23"/>
        <v>0</v>
      </c>
      <c r="BB13" s="33">
        <f t="shared" si="24"/>
        <v>0</v>
      </c>
      <c r="BC13" s="35"/>
      <c r="BD13" s="36">
        <f t="shared" si="25"/>
        <v>4.1666785714285712</v>
      </c>
      <c r="BE13" s="37">
        <f t="shared" si="26"/>
        <v>0</v>
      </c>
      <c r="BF13" s="38">
        <f t="shared" si="27"/>
        <v>0</v>
      </c>
    </row>
    <row r="14" spans="1:58" ht="14.1" customHeight="1">
      <c r="A14" s="1">
        <v>4</v>
      </c>
      <c r="B14" s="58" t="str">
        <f t="shared" si="0"/>
        <v>Juan Manrique V.</v>
      </c>
      <c r="C14" s="17">
        <v>7</v>
      </c>
      <c r="D14" s="18">
        <v>16</v>
      </c>
      <c r="E14" s="19">
        <v>1</v>
      </c>
      <c r="F14" s="40">
        <f t="shared" si="1"/>
        <v>8</v>
      </c>
      <c r="G14" s="18"/>
      <c r="H14" s="43"/>
      <c r="I14" s="40">
        <f t="shared" si="2"/>
        <v>0</v>
      </c>
      <c r="J14" s="19"/>
      <c r="K14" s="41">
        <f t="shared" si="3"/>
        <v>8</v>
      </c>
      <c r="L14" s="25">
        <f t="shared" si="4"/>
        <v>0</v>
      </c>
      <c r="M14" s="59">
        <v>8</v>
      </c>
      <c r="N14" s="18">
        <v>18</v>
      </c>
      <c r="O14" s="19">
        <v>1</v>
      </c>
      <c r="P14" s="40">
        <f t="shared" si="5"/>
        <v>9</v>
      </c>
      <c r="Q14" s="43"/>
      <c r="R14" s="43"/>
      <c r="S14" s="40">
        <f t="shared" si="6"/>
        <v>0</v>
      </c>
      <c r="T14" s="19"/>
      <c r="U14" s="41">
        <f t="shared" si="7"/>
        <v>8</v>
      </c>
      <c r="V14" s="25">
        <f t="shared" si="8"/>
        <v>1</v>
      </c>
      <c r="W14" s="18">
        <v>8</v>
      </c>
      <c r="X14" s="18">
        <v>16</v>
      </c>
      <c r="Y14" s="19">
        <v>1</v>
      </c>
      <c r="Z14" s="40">
        <f t="shared" si="9"/>
        <v>7</v>
      </c>
      <c r="AA14" s="43"/>
      <c r="AB14" s="28">
        <v>0.5</v>
      </c>
      <c r="AC14" s="40">
        <f t="shared" si="10"/>
        <v>0.5</v>
      </c>
      <c r="AD14" s="19"/>
      <c r="AE14" s="41">
        <f t="shared" si="11"/>
        <v>8.5</v>
      </c>
      <c r="AF14" s="25">
        <f>IF(W14&gt;0,IF(AE$5&gt;0,(Z14+AC14)*2,(Z14+AC14-8)),0)*IF(Z14&lt;9,IF(AE$5&gt;0,1,2),1)+IF(Z14&gt;8,AC14,0)</f>
        <v>-1</v>
      </c>
      <c r="AG14" s="45"/>
      <c r="AH14" s="18"/>
      <c r="AI14" s="19"/>
      <c r="AJ14" s="46">
        <f t="shared" si="12"/>
        <v>0</v>
      </c>
      <c r="AK14" s="18"/>
      <c r="AL14" s="18"/>
      <c r="AM14" s="40">
        <f t="shared" si="13"/>
        <v>0</v>
      </c>
      <c r="AN14" s="47"/>
      <c r="AO14" s="48">
        <f t="shared" si="14"/>
        <v>0</v>
      </c>
      <c r="AP14" s="845">
        <f t="shared" si="15"/>
        <v>3</v>
      </c>
      <c r="AQ14" s="846"/>
      <c r="AR14" s="823">
        <f t="shared" si="16"/>
        <v>15.4</v>
      </c>
      <c r="AS14" s="824"/>
      <c r="AT14" s="49">
        <f t="shared" si="17"/>
        <v>24</v>
      </c>
      <c r="AV14" s="33">
        <f t="shared" si="18"/>
        <v>0</v>
      </c>
      <c r="AW14" s="33">
        <f t="shared" si="19"/>
        <v>1</v>
      </c>
      <c r="AX14" s="33">
        <f t="shared" si="20"/>
        <v>-1</v>
      </c>
      <c r="AY14" s="34">
        <f t="shared" si="21"/>
        <v>0</v>
      </c>
      <c r="AZ14" s="33">
        <f t="shared" si="22"/>
        <v>1</v>
      </c>
      <c r="BA14" s="33">
        <f t="shared" si="23"/>
        <v>1</v>
      </c>
      <c r="BB14" s="33">
        <f t="shared" si="24"/>
        <v>1</v>
      </c>
      <c r="BC14" s="35"/>
      <c r="BD14" s="36">
        <f t="shared" si="25"/>
        <v>5.1339285714285712</v>
      </c>
      <c r="BE14" s="60">
        <f t="shared" si="26"/>
        <v>15.401785714285714</v>
      </c>
      <c r="BF14" s="61">
        <f t="shared" si="27"/>
        <v>0</v>
      </c>
    </row>
    <row r="15" spans="1:58" s="69" customFormat="1" ht="14.1" customHeight="1">
      <c r="A15" s="62">
        <v>5</v>
      </c>
      <c r="B15" s="63" t="str">
        <f t="shared" si="0"/>
        <v xml:space="preserve"> Irving Huaringa B.</v>
      </c>
      <c r="C15" s="17">
        <v>7</v>
      </c>
      <c r="D15" s="18">
        <v>16</v>
      </c>
      <c r="E15" s="19">
        <v>1</v>
      </c>
      <c r="F15" s="40">
        <f t="shared" si="1"/>
        <v>8</v>
      </c>
      <c r="G15" s="18"/>
      <c r="H15" s="43"/>
      <c r="I15" s="40">
        <f t="shared" si="2"/>
        <v>0</v>
      </c>
      <c r="J15" s="19"/>
      <c r="K15" s="41">
        <f t="shared" si="3"/>
        <v>8</v>
      </c>
      <c r="L15" s="25">
        <f t="shared" si="4"/>
        <v>0</v>
      </c>
      <c r="M15" s="18">
        <v>7</v>
      </c>
      <c r="N15" s="18">
        <v>17</v>
      </c>
      <c r="O15" s="19">
        <v>1</v>
      </c>
      <c r="P15" s="40">
        <f t="shared" si="5"/>
        <v>9</v>
      </c>
      <c r="Q15" s="43"/>
      <c r="R15" s="43"/>
      <c r="S15" s="40">
        <f t="shared" si="6"/>
        <v>0</v>
      </c>
      <c r="T15" s="19"/>
      <c r="U15" s="41">
        <f t="shared" si="7"/>
        <v>8</v>
      </c>
      <c r="V15" s="25">
        <f t="shared" si="8"/>
        <v>1</v>
      </c>
      <c r="W15" s="18">
        <v>8</v>
      </c>
      <c r="X15" s="43">
        <v>16</v>
      </c>
      <c r="Y15" s="54">
        <v>1</v>
      </c>
      <c r="Z15" s="53">
        <f t="shared" si="9"/>
        <v>7</v>
      </c>
      <c r="AA15" s="64"/>
      <c r="AB15" s="28"/>
      <c r="AC15" s="40">
        <f t="shared" si="10"/>
        <v>0</v>
      </c>
      <c r="AD15" s="19"/>
      <c r="AE15" s="41">
        <f t="shared" si="11"/>
        <v>5</v>
      </c>
      <c r="AF15" s="25">
        <f>IF(W15&gt;0,IF(AE$5&gt;0,(Z15+AC15)*2,(Z15+AC15-5)),0)*IF(Z15&lt;6,IF(AE$5&gt;0,1,2),1)+IF(Z15&gt;5,AC15,0)</f>
        <v>2</v>
      </c>
      <c r="AG15" s="45"/>
      <c r="AH15" s="18"/>
      <c r="AI15" s="19"/>
      <c r="AJ15" s="46">
        <f>+AH15-AG15-AI15</f>
        <v>0</v>
      </c>
      <c r="AK15" s="18"/>
      <c r="AL15" s="18"/>
      <c r="AM15" s="40">
        <f>+AL15-AK15</f>
        <v>0</v>
      </c>
      <c r="AN15" s="65"/>
      <c r="AO15" s="48">
        <f>(AJ15*2+AM15)</f>
        <v>0</v>
      </c>
      <c r="AP15" s="821">
        <f t="shared" si="15"/>
        <v>1</v>
      </c>
      <c r="AQ15" s="822"/>
      <c r="AR15" s="823">
        <f>ROUND(BD15*AP15,1)</f>
        <v>5.0999999999999996</v>
      </c>
      <c r="AS15" s="824"/>
      <c r="AT15" s="49">
        <f t="shared" si="17"/>
        <v>24</v>
      </c>
      <c r="AU15" s="7"/>
      <c r="AV15" s="33">
        <f>+L15</f>
        <v>0</v>
      </c>
      <c r="AW15" s="33">
        <f>+V15</f>
        <v>1</v>
      </c>
      <c r="AX15" s="33">
        <f>+AF15</f>
        <v>2</v>
      </c>
      <c r="AY15" s="34">
        <f>+AO15</f>
        <v>0</v>
      </c>
      <c r="AZ15" s="33">
        <f t="shared" si="22"/>
        <v>-1</v>
      </c>
      <c r="BA15" s="33">
        <f t="shared" si="23"/>
        <v>0</v>
      </c>
      <c r="BB15" s="33">
        <f t="shared" si="24"/>
        <v>-1</v>
      </c>
      <c r="BC15" s="66"/>
      <c r="BD15" s="36">
        <f t="shared" si="25"/>
        <v>5.1339285714285712</v>
      </c>
      <c r="BE15" s="67">
        <f>+BD15*AP15</f>
        <v>5.1339285714285712</v>
      </c>
      <c r="BF15" s="68">
        <f>+BD15*AY15</f>
        <v>0</v>
      </c>
    </row>
    <row r="16" spans="1:58" s="84" customFormat="1" ht="6.75" customHeight="1">
      <c r="A16" s="70"/>
      <c r="B16" s="71" t="str">
        <f t="shared" si="0"/>
        <v xml:space="preserve">  -  .  -  </v>
      </c>
      <c r="C16" s="72"/>
      <c r="D16" s="73"/>
      <c r="E16" s="74"/>
      <c r="F16" s="75">
        <f t="shared" si="1"/>
        <v>0</v>
      </c>
      <c r="G16" s="73"/>
      <c r="H16" s="43"/>
      <c r="I16" s="75">
        <f t="shared" si="2"/>
        <v>0</v>
      </c>
      <c r="J16" s="74"/>
      <c r="K16" s="76">
        <f t="shared" si="3"/>
        <v>0</v>
      </c>
      <c r="L16" s="77">
        <f t="shared" si="4"/>
        <v>0</v>
      </c>
      <c r="M16" s="72"/>
      <c r="N16" s="73"/>
      <c r="O16" s="74"/>
      <c r="P16" s="75">
        <f t="shared" si="5"/>
        <v>0</v>
      </c>
      <c r="Q16" s="78"/>
      <c r="R16" s="78"/>
      <c r="S16" s="75">
        <f t="shared" si="6"/>
        <v>0</v>
      </c>
      <c r="T16" s="74"/>
      <c r="U16" s="76">
        <f t="shared" si="7"/>
        <v>0</v>
      </c>
      <c r="V16" s="77">
        <f t="shared" si="8"/>
        <v>0</v>
      </c>
      <c r="W16" s="73"/>
      <c r="X16" s="73"/>
      <c r="Y16" s="74"/>
      <c r="Z16" s="79">
        <f t="shared" si="9"/>
        <v>0</v>
      </c>
      <c r="AA16" s="78"/>
      <c r="AB16" s="80"/>
      <c r="AC16" s="75">
        <f t="shared" si="10"/>
        <v>0</v>
      </c>
      <c r="AD16" s="74"/>
      <c r="AE16" s="76">
        <f t="shared" si="11"/>
        <v>0</v>
      </c>
      <c r="AF16" s="77">
        <f t="shared" ref="AF16:AF21" si="28">IF(W16&gt;0,IF(AE$5&gt;0,(Z16+AC16)*2,(Z16+AC16-8)),0)*IF(Z16&lt;9,IF(AE$5&gt;0,1,2),1)+IF(Z16&gt;8,AC16,0)</f>
        <v>0</v>
      </c>
      <c r="AG16" s="73"/>
      <c r="AH16" s="73"/>
      <c r="AI16" s="74"/>
      <c r="AJ16" s="46">
        <f t="shared" si="12"/>
        <v>0</v>
      </c>
      <c r="AK16" s="73"/>
      <c r="AL16" s="73"/>
      <c r="AM16" s="75">
        <f t="shared" si="13"/>
        <v>0</v>
      </c>
      <c r="AN16" s="81"/>
      <c r="AO16" s="82">
        <f t="shared" si="14"/>
        <v>0</v>
      </c>
      <c r="AP16" s="1186">
        <f t="shared" si="15"/>
        <v>0</v>
      </c>
      <c r="AQ16" s="1187"/>
      <c r="AR16" s="1188">
        <f t="shared" si="16"/>
        <v>0</v>
      </c>
      <c r="AS16" s="1189"/>
      <c r="AT16" s="83">
        <f t="shared" si="17"/>
        <v>0</v>
      </c>
      <c r="AV16" s="85">
        <f t="shared" si="18"/>
        <v>0</v>
      </c>
      <c r="AW16" s="85">
        <f t="shared" si="19"/>
        <v>0</v>
      </c>
      <c r="AX16" s="85">
        <f t="shared" si="20"/>
        <v>0</v>
      </c>
      <c r="AY16" s="86">
        <f t="shared" si="21"/>
        <v>0</v>
      </c>
      <c r="AZ16" s="85">
        <f t="shared" si="22"/>
        <v>0</v>
      </c>
      <c r="BA16" s="85">
        <f t="shared" si="23"/>
        <v>0</v>
      </c>
      <c r="BB16" s="85">
        <f t="shared" si="24"/>
        <v>0</v>
      </c>
      <c r="BC16" s="87"/>
      <c r="BD16" s="88">
        <f t="shared" si="25"/>
        <v>3.6964285714285716</v>
      </c>
      <c r="BE16" s="89">
        <f t="shared" si="26"/>
        <v>0</v>
      </c>
      <c r="BF16" s="90">
        <f t="shared" si="27"/>
        <v>0</v>
      </c>
    </row>
    <row r="17" spans="1:60" s="69" customFormat="1" ht="14.1" customHeight="1">
      <c r="A17" s="62">
        <v>6</v>
      </c>
      <c r="B17" s="91" t="str">
        <f>+B80</f>
        <v>Jose Cortez P.</v>
      </c>
      <c r="C17" s="92">
        <v>7</v>
      </c>
      <c r="D17" s="92">
        <v>18</v>
      </c>
      <c r="E17" s="92">
        <v>1</v>
      </c>
      <c r="F17" s="93">
        <f>+D17-C17-E17</f>
        <v>10</v>
      </c>
      <c r="G17" s="43"/>
      <c r="H17" s="43"/>
      <c r="I17" s="93">
        <f>+H17-G17</f>
        <v>0</v>
      </c>
      <c r="J17" s="92"/>
      <c r="K17" s="41">
        <f>+I17+F17-L17</f>
        <v>8</v>
      </c>
      <c r="L17" s="94">
        <f>IF(C17&gt;0,(F17+I17)+IF(K$5&gt;0,F17,-8),0)+IF(U$5&gt;0,I17,0)</f>
        <v>2</v>
      </c>
      <c r="M17" s="98">
        <v>7</v>
      </c>
      <c r="N17" s="92">
        <v>18</v>
      </c>
      <c r="O17" s="92">
        <v>1</v>
      </c>
      <c r="P17" s="93">
        <f>+N17-M17-O17</f>
        <v>10</v>
      </c>
      <c r="Q17" s="43"/>
      <c r="R17" s="43"/>
      <c r="S17" s="93">
        <f>+R17-Q17</f>
        <v>0</v>
      </c>
      <c r="T17" s="19"/>
      <c r="U17" s="41">
        <f>+S17+P17-V17</f>
        <v>8</v>
      </c>
      <c r="V17" s="94">
        <f>IF(M17&gt;0,(P17+S17)+IF(U$5&gt;0,P17,-8),0)+IF(AE$5&gt;0,S17,0)</f>
        <v>2</v>
      </c>
      <c r="W17" s="92">
        <v>7</v>
      </c>
      <c r="X17" s="92">
        <v>16</v>
      </c>
      <c r="Y17" s="92">
        <v>1</v>
      </c>
      <c r="Z17" s="93">
        <f>+X17-W17-Y17</f>
        <v>8</v>
      </c>
      <c r="AA17" s="92"/>
      <c r="AB17" s="28"/>
      <c r="AC17" s="93">
        <f>+AB17-AA17</f>
        <v>0</v>
      </c>
      <c r="AD17" s="92"/>
      <c r="AE17" s="41">
        <f t="shared" si="11"/>
        <v>8</v>
      </c>
      <c r="AF17" s="94">
        <f t="shared" si="28"/>
        <v>0</v>
      </c>
      <c r="AG17" s="92"/>
      <c r="AH17" s="92"/>
      <c r="AI17" s="92"/>
      <c r="AJ17" s="46">
        <f>+AH17-AG17-AI17</f>
        <v>0</v>
      </c>
      <c r="AK17" s="92"/>
      <c r="AL17" s="92"/>
      <c r="AM17" s="93">
        <f>+AL17-AK17</f>
        <v>0</v>
      </c>
      <c r="AN17" s="96"/>
      <c r="AO17" s="97">
        <f>(AJ17*2+AM17)</f>
        <v>0</v>
      </c>
      <c r="AP17" s="833">
        <f t="shared" si="15"/>
        <v>7</v>
      </c>
      <c r="AQ17" s="834"/>
      <c r="AR17" s="835">
        <f>ROUND(BD17*AP17,1)</f>
        <v>27.1</v>
      </c>
      <c r="AS17" s="836"/>
      <c r="AT17" s="99">
        <f t="shared" si="17"/>
        <v>24</v>
      </c>
      <c r="AV17" s="100">
        <f>+L17</f>
        <v>2</v>
      </c>
      <c r="AW17" s="100">
        <f>+V17</f>
        <v>2</v>
      </c>
      <c r="AX17" s="100">
        <f>+AF17</f>
        <v>0</v>
      </c>
      <c r="AY17" s="101">
        <f>+AO17</f>
        <v>0</v>
      </c>
      <c r="AZ17" s="100">
        <f t="shared" si="22"/>
        <v>0</v>
      </c>
      <c r="BA17" s="100">
        <f t="shared" si="23"/>
        <v>2</v>
      </c>
      <c r="BB17" s="100">
        <f t="shared" si="24"/>
        <v>1</v>
      </c>
      <c r="BC17" s="35"/>
      <c r="BD17" s="36">
        <f>+I80</f>
        <v>3.8750035714285715</v>
      </c>
      <c r="BE17" s="67">
        <f>+BD17*AP17</f>
        <v>27.125025000000001</v>
      </c>
      <c r="BF17" s="68">
        <f>+BD17*AY17</f>
        <v>0</v>
      </c>
    </row>
    <row r="18" spans="1:60" s="69" customFormat="1" ht="14.1" customHeight="1">
      <c r="A18" s="62">
        <v>7</v>
      </c>
      <c r="B18" s="91" t="str">
        <f>+B81</f>
        <v>Rafael Armas R.</v>
      </c>
      <c r="C18" s="102">
        <v>7</v>
      </c>
      <c r="D18" s="102">
        <v>18</v>
      </c>
      <c r="E18" s="102">
        <v>1</v>
      </c>
      <c r="F18" s="93">
        <f>+D18-C18-E18</f>
        <v>10</v>
      </c>
      <c r="G18" s="43"/>
      <c r="H18" s="43"/>
      <c r="I18" s="93">
        <f>+H18-G18</f>
        <v>0</v>
      </c>
      <c r="J18" s="92"/>
      <c r="K18" s="41">
        <f>+I18+F18-L18</f>
        <v>8</v>
      </c>
      <c r="L18" s="94">
        <f>IF(C18&gt;0,(F18+I18)+IF(K$5&gt;0,F18,-8),0)+IF(U$5&gt;0,I18,0)</f>
        <v>2</v>
      </c>
      <c r="M18" s="98">
        <v>7</v>
      </c>
      <c r="N18" s="92">
        <v>23</v>
      </c>
      <c r="O18" s="92">
        <v>1</v>
      </c>
      <c r="P18" s="93">
        <f>+N18-M18-O18</f>
        <v>15</v>
      </c>
      <c r="Q18" s="43"/>
      <c r="R18" s="43"/>
      <c r="S18" s="93">
        <f>+R18-Q18</f>
        <v>0</v>
      </c>
      <c r="T18" s="92"/>
      <c r="U18" s="41">
        <f>+S18+P18-V18</f>
        <v>8</v>
      </c>
      <c r="V18" s="94">
        <f>IF(M18&gt;0,(P18+S18)+IF(U$5&gt;0,P18,-8),0)+IF(AE$5&gt;0,S18,0)</f>
        <v>7</v>
      </c>
      <c r="W18" s="92">
        <v>7</v>
      </c>
      <c r="X18" s="92">
        <v>17</v>
      </c>
      <c r="Y18" s="92">
        <v>1</v>
      </c>
      <c r="Z18" s="93">
        <f>+X18-W18-Y18</f>
        <v>9</v>
      </c>
      <c r="AA18" s="92"/>
      <c r="AB18" s="28"/>
      <c r="AC18" s="93">
        <f>+AB18-AA18</f>
        <v>0</v>
      </c>
      <c r="AD18" s="92"/>
      <c r="AE18" s="41">
        <f t="shared" si="11"/>
        <v>8</v>
      </c>
      <c r="AF18" s="94">
        <f t="shared" si="28"/>
        <v>1</v>
      </c>
      <c r="AG18" s="92">
        <v>7</v>
      </c>
      <c r="AH18" s="92">
        <v>18</v>
      </c>
      <c r="AI18" s="92">
        <v>1</v>
      </c>
      <c r="AJ18" s="46">
        <f>+AH18-AG18-AI18</f>
        <v>10</v>
      </c>
      <c r="AK18" s="92"/>
      <c r="AL18" s="92"/>
      <c r="AM18" s="93">
        <f>+AL18-AK18</f>
        <v>0</v>
      </c>
      <c r="AN18" s="96"/>
      <c r="AO18" s="97">
        <f>(AJ18*2+AM18)</f>
        <v>20</v>
      </c>
      <c r="AP18" s="837">
        <f t="shared" si="15"/>
        <v>38</v>
      </c>
      <c r="AQ18" s="838"/>
      <c r="AR18" s="839">
        <f>ROUND(BD18*AP18,1)</f>
        <v>147.30000000000001</v>
      </c>
      <c r="AS18" s="840"/>
      <c r="AT18" s="103">
        <f t="shared" si="17"/>
        <v>28</v>
      </c>
      <c r="AV18" s="100">
        <f>+L18</f>
        <v>2</v>
      </c>
      <c r="AW18" s="100">
        <f>+V18</f>
        <v>7</v>
      </c>
      <c r="AX18" s="100">
        <f>+AF18</f>
        <v>1</v>
      </c>
      <c r="AY18" s="101">
        <f>+AO18</f>
        <v>20</v>
      </c>
      <c r="AZ18" s="100">
        <f t="shared" si="22"/>
        <v>7</v>
      </c>
      <c r="BA18" s="100">
        <f t="shared" si="23"/>
        <v>1</v>
      </c>
      <c r="BB18" s="100">
        <f t="shared" si="24"/>
        <v>0</v>
      </c>
      <c r="BC18" s="66"/>
      <c r="BD18" s="36">
        <f>+I81</f>
        <v>3.8750035714285715</v>
      </c>
      <c r="BE18" s="67">
        <f>+BD18*AP18</f>
        <v>147.2501357142857</v>
      </c>
      <c r="BF18" s="68">
        <f>+BD18*AY18</f>
        <v>77.500071428571431</v>
      </c>
    </row>
    <row r="19" spans="1:60" s="116" customFormat="1" ht="14.1" customHeight="1">
      <c r="A19" s="62">
        <v>8</v>
      </c>
      <c r="B19" s="91" t="str">
        <f>+B82</f>
        <v>Jose Ochoa I.</v>
      </c>
      <c r="C19" s="102">
        <v>7</v>
      </c>
      <c r="D19" s="102">
        <v>18</v>
      </c>
      <c r="E19" s="102">
        <v>1</v>
      </c>
      <c r="F19" s="104">
        <f>+D19-C19-E19</f>
        <v>10</v>
      </c>
      <c r="G19" s="51"/>
      <c r="H19" s="43"/>
      <c r="I19" s="104">
        <f>+H19-G19</f>
        <v>0</v>
      </c>
      <c r="J19" s="105"/>
      <c r="K19" s="106">
        <f>+I19+F19-L19</f>
        <v>8</v>
      </c>
      <c r="L19" s="107">
        <f>IF(C19&gt;0,(F19+I19)+IF(K$5&gt;0,F19,-8),0)+IF(U$5&gt;0,I19,0)</f>
        <v>2</v>
      </c>
      <c r="M19" s="108">
        <v>7</v>
      </c>
      <c r="N19" s="105">
        <v>17</v>
      </c>
      <c r="O19" s="105">
        <v>1</v>
      </c>
      <c r="P19" s="104">
        <f>+N19-M19-O19</f>
        <v>9</v>
      </c>
      <c r="Q19" s="43"/>
      <c r="R19" s="43"/>
      <c r="S19" s="104">
        <f>+R19-Q19</f>
        <v>0</v>
      </c>
      <c r="T19" s="105"/>
      <c r="U19" s="106">
        <f>+S19+P19-V19</f>
        <v>8</v>
      </c>
      <c r="V19" s="107">
        <f>IF(M19&gt;0,(P19+S19)+IF(U$5&gt;0,P19,-8),0)+IF(AE$5&gt;0,S19,0)</f>
        <v>1</v>
      </c>
      <c r="W19" s="105">
        <v>7</v>
      </c>
      <c r="X19" s="105">
        <v>12</v>
      </c>
      <c r="Y19" s="105">
        <v>1</v>
      </c>
      <c r="Z19" s="104">
        <f>+X19-W19-Y19</f>
        <v>4</v>
      </c>
      <c r="AA19" s="105"/>
      <c r="AB19" s="109">
        <v>4</v>
      </c>
      <c r="AC19" s="104">
        <f>+AB19-AA19</f>
        <v>4</v>
      </c>
      <c r="AD19" s="105"/>
      <c r="AE19" s="106">
        <f t="shared" si="11"/>
        <v>8</v>
      </c>
      <c r="AF19" s="107">
        <f t="shared" si="28"/>
        <v>0</v>
      </c>
      <c r="AG19" s="105"/>
      <c r="AH19" s="105"/>
      <c r="AI19" s="105"/>
      <c r="AJ19" s="110">
        <f>+AH19-AG19-AI19</f>
        <v>0</v>
      </c>
      <c r="AK19" s="105"/>
      <c r="AL19" s="105"/>
      <c r="AM19" s="104">
        <f>+AL19-AK19</f>
        <v>0</v>
      </c>
      <c r="AN19" s="111"/>
      <c r="AO19" s="112">
        <f>(AJ19*2+AM19)</f>
        <v>0</v>
      </c>
      <c r="AP19" s="841">
        <f>+L19+V19+AF19+AO19+L42+V42+AF41-AN19</f>
        <v>4</v>
      </c>
      <c r="AQ19" s="842"/>
      <c r="AR19" s="843">
        <f>ROUND(BD19*AP19,1)</f>
        <v>15.5</v>
      </c>
      <c r="AS19" s="844"/>
      <c r="AT19" s="113">
        <f>IF(AT42&gt;0,AT42*$AT$10,0)</f>
        <v>24</v>
      </c>
      <c r="AU19" s="69"/>
      <c r="AV19" s="114">
        <f>+L19</f>
        <v>2</v>
      </c>
      <c r="AW19" s="114">
        <f>+V19</f>
        <v>1</v>
      </c>
      <c r="AX19" s="114">
        <f>+AF19</f>
        <v>0</v>
      </c>
      <c r="AY19" s="114">
        <f>+AO19</f>
        <v>0</v>
      </c>
      <c r="AZ19" s="114">
        <f>+L42</f>
        <v>0</v>
      </c>
      <c r="BA19" s="114">
        <f>+V42</f>
        <v>0</v>
      </c>
      <c r="BB19" s="114">
        <f>+AF42</f>
        <v>0</v>
      </c>
      <c r="BC19" s="35"/>
      <c r="BD19" s="115">
        <f>+I82</f>
        <v>3.8750035714285715</v>
      </c>
      <c r="BE19" s="115">
        <f>+BD19*AP19</f>
        <v>15.500014285714286</v>
      </c>
      <c r="BF19" s="115">
        <f>+BD19*AY19</f>
        <v>0</v>
      </c>
    </row>
    <row r="20" spans="1:60" s="116" customFormat="1" ht="14.1" customHeight="1">
      <c r="A20" s="62">
        <v>9</v>
      </c>
      <c r="B20" s="91" t="str">
        <f>+B83</f>
        <v>Jairo Mirabal</v>
      </c>
      <c r="C20" s="102">
        <v>7</v>
      </c>
      <c r="D20" s="102">
        <v>18</v>
      </c>
      <c r="E20" s="102">
        <v>1</v>
      </c>
      <c r="F20" s="104">
        <f>+D20-C20-E20</f>
        <v>10</v>
      </c>
      <c r="G20" s="51"/>
      <c r="H20" s="43"/>
      <c r="I20" s="104">
        <f>+H20-G20</f>
        <v>0</v>
      </c>
      <c r="J20" s="105"/>
      <c r="K20" s="106">
        <f>+I20+F20-L20</f>
        <v>8</v>
      </c>
      <c r="L20" s="107">
        <f>IF(C20&gt;0,(F20+I20)+IF(K$5&gt;0,F20,-8),0)+IF(U$5&gt;0,I20,0)</f>
        <v>2</v>
      </c>
      <c r="M20" s="108">
        <v>7</v>
      </c>
      <c r="N20" s="105">
        <v>18</v>
      </c>
      <c r="O20" s="105">
        <v>1</v>
      </c>
      <c r="P20" s="104">
        <f>+N20-M20-O20</f>
        <v>10</v>
      </c>
      <c r="Q20" s="43"/>
      <c r="R20" s="117"/>
      <c r="S20" s="104">
        <f>+R20-Q20</f>
        <v>0</v>
      </c>
      <c r="T20" s="105"/>
      <c r="U20" s="106">
        <f>+S20+P20-V20</f>
        <v>8</v>
      </c>
      <c r="V20" s="107">
        <f>IF(M20&gt;0,(P20+S20)+IF(U$5&gt;0,P20,-8),0)+IF(AE$5&gt;0,S20,0)</f>
        <v>2</v>
      </c>
      <c r="W20" s="105">
        <v>7</v>
      </c>
      <c r="X20" s="105">
        <v>16</v>
      </c>
      <c r="Y20" s="105">
        <v>1</v>
      </c>
      <c r="Z20" s="104">
        <f>+X20-W20-Y20</f>
        <v>8</v>
      </c>
      <c r="AA20" s="105"/>
      <c r="AB20" s="28"/>
      <c r="AC20" s="104">
        <f>+AB20-AA20</f>
        <v>0</v>
      </c>
      <c r="AD20" s="105"/>
      <c r="AE20" s="106">
        <f t="shared" si="11"/>
        <v>8</v>
      </c>
      <c r="AF20" s="107">
        <f t="shared" si="28"/>
        <v>0</v>
      </c>
      <c r="AG20" s="105"/>
      <c r="AH20" s="105"/>
      <c r="AI20" s="105"/>
      <c r="AJ20" s="110">
        <f>+AH20-AG20-AI20</f>
        <v>0</v>
      </c>
      <c r="AK20" s="105"/>
      <c r="AL20" s="105"/>
      <c r="AM20" s="104">
        <f>+AL20-AK20</f>
        <v>0</v>
      </c>
      <c r="AN20" s="111"/>
      <c r="AO20" s="112">
        <f>(AJ20*2+AM20)</f>
        <v>0</v>
      </c>
      <c r="AP20" s="841">
        <f t="shared" ref="AP20:AP25" si="29">+L20+V20+AF20+AO20+L42+V42+AF42-AN20</f>
        <v>4</v>
      </c>
      <c r="AQ20" s="842"/>
      <c r="AR20" s="843">
        <f>ROUND(BD20*AP20,1)</f>
        <v>15.5</v>
      </c>
      <c r="AS20" s="844"/>
      <c r="AT20" s="113">
        <f>IF(AT42&gt;0,AT42*$AT$10,0)</f>
        <v>24</v>
      </c>
      <c r="AU20" s="69"/>
      <c r="AV20" s="114">
        <f>+L20</f>
        <v>2</v>
      </c>
      <c r="AW20" s="114">
        <f>+V20</f>
        <v>2</v>
      </c>
      <c r="AX20" s="114">
        <f>+AF20</f>
        <v>0</v>
      </c>
      <c r="AY20" s="114">
        <f>+AO20</f>
        <v>0</v>
      </c>
      <c r="AZ20" s="114">
        <f>+L42</f>
        <v>0</v>
      </c>
      <c r="BA20" s="114">
        <f>+V42</f>
        <v>0</v>
      </c>
      <c r="BB20" s="114">
        <f>+AF42</f>
        <v>0</v>
      </c>
      <c r="BC20" s="35"/>
      <c r="BD20" s="115">
        <f>+I83</f>
        <v>3.8750035714285715</v>
      </c>
      <c r="BE20" s="115">
        <f>+BD20*AP20</f>
        <v>15.500014285714286</v>
      </c>
      <c r="BF20" s="115">
        <f>+BD20*AY20</f>
        <v>0</v>
      </c>
    </row>
    <row r="21" spans="1:60" s="69" customFormat="1" ht="14.1" customHeight="1" thickBot="1">
      <c r="A21" s="62">
        <v>10</v>
      </c>
      <c r="B21" s="118" t="str">
        <f>+B84</f>
        <v>Pedro Hostos S.</v>
      </c>
      <c r="C21" s="119">
        <v>7</v>
      </c>
      <c r="D21" s="119">
        <v>18</v>
      </c>
      <c r="E21" s="119">
        <v>1</v>
      </c>
      <c r="F21" s="120">
        <f t="shared" si="1"/>
        <v>10</v>
      </c>
      <c r="G21" s="121"/>
      <c r="H21" s="121"/>
      <c r="I21" s="120">
        <f t="shared" si="2"/>
        <v>0</v>
      </c>
      <c r="J21" s="119"/>
      <c r="K21" s="120">
        <f t="shared" si="3"/>
        <v>8</v>
      </c>
      <c r="L21" s="122">
        <f t="shared" si="4"/>
        <v>2</v>
      </c>
      <c r="M21" s="129">
        <v>7</v>
      </c>
      <c r="N21" s="119">
        <v>17</v>
      </c>
      <c r="O21" s="119">
        <v>1</v>
      </c>
      <c r="P21" s="120">
        <f t="shared" si="5"/>
        <v>9</v>
      </c>
      <c r="Q21" s="121"/>
      <c r="R21" s="121"/>
      <c r="S21" s="120">
        <f t="shared" si="6"/>
        <v>0</v>
      </c>
      <c r="T21" s="119"/>
      <c r="U21" s="120">
        <f t="shared" si="7"/>
        <v>8</v>
      </c>
      <c r="V21" s="122">
        <f t="shared" si="8"/>
        <v>1</v>
      </c>
      <c r="W21" s="119">
        <v>7</v>
      </c>
      <c r="X21" s="119">
        <v>10</v>
      </c>
      <c r="Y21" s="119">
        <v>0</v>
      </c>
      <c r="Z21" s="120">
        <f t="shared" si="9"/>
        <v>3</v>
      </c>
      <c r="AA21" s="119"/>
      <c r="AB21" s="551">
        <v>5</v>
      </c>
      <c r="AC21" s="120">
        <f t="shared" si="10"/>
        <v>5</v>
      </c>
      <c r="AD21" s="119"/>
      <c r="AE21" s="125">
        <f t="shared" si="11"/>
        <v>8</v>
      </c>
      <c r="AF21" s="122">
        <f t="shared" si="28"/>
        <v>0</v>
      </c>
      <c r="AG21" s="119"/>
      <c r="AH21" s="119"/>
      <c r="AI21" s="119"/>
      <c r="AJ21" s="126">
        <f t="shared" si="12"/>
        <v>0</v>
      </c>
      <c r="AK21" s="119"/>
      <c r="AL21" s="119"/>
      <c r="AM21" s="120">
        <f t="shared" si="13"/>
        <v>0</v>
      </c>
      <c r="AN21" s="127"/>
      <c r="AO21" s="128">
        <f t="shared" si="14"/>
        <v>0</v>
      </c>
      <c r="AP21" s="847">
        <f t="shared" si="29"/>
        <v>3</v>
      </c>
      <c r="AQ21" s="848"/>
      <c r="AR21" s="849">
        <f t="shared" si="16"/>
        <v>11.6</v>
      </c>
      <c r="AS21" s="850"/>
      <c r="AT21" s="130">
        <f>IF(AT43&gt;0,AT43*$AT$10,0)</f>
        <v>24</v>
      </c>
      <c r="AV21" s="131">
        <f t="shared" si="18"/>
        <v>2</v>
      </c>
      <c r="AW21" s="131">
        <f t="shared" si="19"/>
        <v>1</v>
      </c>
      <c r="AX21" s="131">
        <f t="shared" si="20"/>
        <v>0</v>
      </c>
      <c r="AY21" s="132">
        <f t="shared" si="21"/>
        <v>0</v>
      </c>
      <c r="AZ21" s="131">
        <f>+L43</f>
        <v>0</v>
      </c>
      <c r="BA21" s="131">
        <f>+V43</f>
        <v>0</v>
      </c>
      <c r="BB21" s="131">
        <f>+AF43</f>
        <v>0</v>
      </c>
      <c r="BC21" s="35"/>
      <c r="BD21" s="115">
        <f>+I84</f>
        <v>3.8750035714285715</v>
      </c>
      <c r="BE21" s="133">
        <f t="shared" si="26"/>
        <v>11.625010714285715</v>
      </c>
      <c r="BF21" s="134">
        <f t="shared" si="27"/>
        <v>0</v>
      </c>
    </row>
    <row r="22" spans="1:60" ht="14.1" customHeight="1" thickTop="1">
      <c r="A22" s="1">
        <v>11</v>
      </c>
      <c r="B22" s="39" t="str">
        <f>+B86</f>
        <v>Miguel Tejada Ll.</v>
      </c>
      <c r="C22" s="56">
        <v>7</v>
      </c>
      <c r="D22" s="43">
        <v>18</v>
      </c>
      <c r="E22" s="54">
        <v>1</v>
      </c>
      <c r="F22" s="53">
        <f>+D22-C22-E22</f>
        <v>10</v>
      </c>
      <c r="G22" s="43"/>
      <c r="H22" s="117"/>
      <c r="I22" s="53">
        <f>+H22-G22</f>
        <v>0</v>
      </c>
      <c r="J22" s="54"/>
      <c r="K22" s="55">
        <f>+I22+F22-L22</f>
        <v>8</v>
      </c>
      <c r="L22" s="135">
        <f>IF(C22&gt;0,(F22+I22)+IF(K$5&gt;0,F22,-8),0)+IF(U$5&gt;0,I22,0)</f>
        <v>2</v>
      </c>
      <c r="M22" s="136">
        <v>8</v>
      </c>
      <c r="N22" s="43">
        <v>18</v>
      </c>
      <c r="O22" s="54">
        <v>1</v>
      </c>
      <c r="P22" s="53">
        <f>+N22-M22-O22</f>
        <v>9</v>
      </c>
      <c r="Q22" s="43"/>
      <c r="R22" s="43"/>
      <c r="S22" s="53">
        <f>+R22-Q22</f>
        <v>0</v>
      </c>
      <c r="T22" s="54"/>
      <c r="U22" s="55">
        <f>+S22+P22-V22</f>
        <v>8</v>
      </c>
      <c r="V22" s="135">
        <f>IF(M22&gt;0,(P22+S22)+IF(U$5&gt;0,P22,-8),0)+IF(AE$5&gt;0,S22,0)</f>
        <v>1</v>
      </c>
      <c r="W22" s="43">
        <v>7</v>
      </c>
      <c r="X22" s="43">
        <v>16</v>
      </c>
      <c r="Y22" s="54">
        <v>1</v>
      </c>
      <c r="Z22" s="53">
        <f>+X22-W22-Y22</f>
        <v>8</v>
      </c>
      <c r="AA22" s="44"/>
      <c r="AB22" s="28"/>
      <c r="AC22" s="53">
        <f>+AB22-AA22</f>
        <v>0</v>
      </c>
      <c r="AD22" s="54"/>
      <c r="AE22" s="137">
        <f t="shared" si="11"/>
        <v>8</v>
      </c>
      <c r="AF22" s="135">
        <f>IF(W22&gt;0,IF(AE$5&gt;0,(Z22+AC22)*2,(Z22+AC22-8)),0)*IF(Z22&lt;9,IF(AE$5&gt;0,1,2),1)+IF(Z22&gt;8,AC22,0)</f>
        <v>0</v>
      </c>
      <c r="AG22" s="138">
        <v>7</v>
      </c>
      <c r="AH22" s="43">
        <v>18</v>
      </c>
      <c r="AI22" s="54">
        <v>1</v>
      </c>
      <c r="AJ22" s="139">
        <f>+AH22-AG22-AI22</f>
        <v>10</v>
      </c>
      <c r="AK22" s="43"/>
      <c r="AL22" s="43"/>
      <c r="AM22" s="53">
        <f>+AL22-AK22</f>
        <v>0</v>
      </c>
      <c r="AN22" s="57"/>
      <c r="AO22" s="140">
        <f>(AJ22*2+AM22)</f>
        <v>20</v>
      </c>
      <c r="AP22" s="821">
        <f t="shared" si="29"/>
        <v>24</v>
      </c>
      <c r="AQ22" s="822"/>
      <c r="AR22" s="823">
        <f>ROUND(BD22*AP22,1)</f>
        <v>130.4</v>
      </c>
      <c r="AS22" s="824"/>
      <c r="AT22" s="49">
        <f>IF(AT44&gt;0,AT44*$AT$10,0)</f>
        <v>28</v>
      </c>
      <c r="AV22" s="33">
        <f>+L22</f>
        <v>2</v>
      </c>
      <c r="AW22" s="33">
        <f>+V22</f>
        <v>1</v>
      </c>
      <c r="AX22" s="33">
        <f>+AF22</f>
        <v>0</v>
      </c>
      <c r="AY22" s="34">
        <f>+AO22</f>
        <v>20</v>
      </c>
      <c r="AZ22" s="33">
        <f>+L44</f>
        <v>1</v>
      </c>
      <c r="BA22" s="33">
        <f>+V44</f>
        <v>0</v>
      </c>
      <c r="BB22" s="33">
        <f>+AF44</f>
        <v>0</v>
      </c>
      <c r="BC22" s="35"/>
      <c r="BD22" s="36">
        <f>+I86</f>
        <v>5.4333333333333327</v>
      </c>
      <c r="BE22" s="37">
        <f>+BD22*AP22</f>
        <v>130.39999999999998</v>
      </c>
      <c r="BF22" s="38">
        <f>+BD22*AY22</f>
        <v>108.66666666666666</v>
      </c>
      <c r="BH22" s="141"/>
    </row>
    <row r="23" spans="1:60" ht="14.1" customHeight="1">
      <c r="A23" s="1">
        <v>12</v>
      </c>
      <c r="B23" s="39" t="str">
        <f>+B87</f>
        <v>Pier Alejos A.</v>
      </c>
      <c r="C23" s="56"/>
      <c r="D23" s="43"/>
      <c r="E23" s="54"/>
      <c r="F23" s="53">
        <f>+D23-C23-E23</f>
        <v>0</v>
      </c>
      <c r="G23" s="43"/>
      <c r="H23" s="117"/>
      <c r="I23" s="53">
        <f>+H23-G23</f>
        <v>0</v>
      </c>
      <c r="J23" s="54"/>
      <c r="K23" s="55">
        <f>+I23+F23-L23</f>
        <v>0</v>
      </c>
      <c r="L23" s="135">
        <f>IF(C23&gt;0,(F23+I23)+IF(K$5&gt;0,F23,-8),0)+IF(U$5&gt;0,I23,0)</f>
        <v>0</v>
      </c>
      <c r="M23" s="136">
        <v>7</v>
      </c>
      <c r="N23" s="43">
        <v>24</v>
      </c>
      <c r="O23" s="54">
        <v>1</v>
      </c>
      <c r="P23" s="53">
        <f>+N23-M23-O23</f>
        <v>16</v>
      </c>
      <c r="Q23" s="43"/>
      <c r="R23" s="43"/>
      <c r="S23" s="53">
        <f>+R23-Q23</f>
        <v>0</v>
      </c>
      <c r="T23" s="54"/>
      <c r="U23" s="55">
        <f>+S23+P23-V23</f>
        <v>8</v>
      </c>
      <c r="V23" s="135">
        <f>IF(M23&gt;0,(P23+S23)+IF(U$5&gt;0,P23,-8),0)+IF(AE$5&gt;0,S23,0)</f>
        <v>8</v>
      </c>
      <c r="W23" s="43">
        <v>7</v>
      </c>
      <c r="X23" s="43">
        <v>18</v>
      </c>
      <c r="Y23" s="54">
        <v>1</v>
      </c>
      <c r="Z23" s="53">
        <f>+X23-W23-Y23</f>
        <v>10</v>
      </c>
      <c r="AA23" s="44"/>
      <c r="AB23" s="28"/>
      <c r="AC23" s="53">
        <f>+AB23-AA23</f>
        <v>0</v>
      </c>
      <c r="AD23" s="54"/>
      <c r="AE23" s="137">
        <f t="shared" si="11"/>
        <v>8</v>
      </c>
      <c r="AF23" s="135">
        <f>IF(W23&gt;0,IF(AE$5&gt;0,(Z23+AC23)*2,(Z23+AC23-8)),0)*IF(Z23&lt;9,IF(AE$5&gt;0,1,2),1)+IF(Z23&gt;8,AC23,0)</f>
        <v>2</v>
      </c>
      <c r="AG23" s="138"/>
      <c r="AH23" s="43"/>
      <c r="AI23" s="54"/>
      <c r="AJ23" s="139">
        <f>+AH23-AG23-AI23</f>
        <v>0</v>
      </c>
      <c r="AK23" s="43"/>
      <c r="AL23" s="43"/>
      <c r="AM23" s="53">
        <f>+AL23-AK23</f>
        <v>0</v>
      </c>
      <c r="AN23" s="57">
        <v>-4</v>
      </c>
      <c r="AO23" s="140">
        <f>(AJ23*2+AM23)</f>
        <v>0</v>
      </c>
      <c r="AP23" s="821">
        <f t="shared" si="29"/>
        <v>21</v>
      </c>
      <c r="AQ23" s="822"/>
      <c r="AR23" s="823">
        <f>ROUND(BD23*AP23,1)</f>
        <v>81.400000000000006</v>
      </c>
      <c r="AS23" s="824"/>
      <c r="AT23" s="49">
        <f>IF(AT46&gt;0,AT46*$AT$10,0)</f>
        <v>28</v>
      </c>
      <c r="AV23" s="33">
        <f>+L23</f>
        <v>0</v>
      </c>
      <c r="AW23" s="33">
        <f>+V23</f>
        <v>8</v>
      </c>
      <c r="AX23" s="33">
        <f>+AF23</f>
        <v>2</v>
      </c>
      <c r="AY23" s="34">
        <f>+AO23</f>
        <v>0</v>
      </c>
      <c r="AZ23" s="33">
        <f>+L45</f>
        <v>7</v>
      </c>
      <c r="BA23" s="33">
        <f>+V45</f>
        <v>1</v>
      </c>
      <c r="BB23" s="33">
        <f>+AF45</f>
        <v>-1</v>
      </c>
      <c r="BC23" s="35"/>
      <c r="BD23" s="36">
        <f>+I87</f>
        <v>3.8750035714285715</v>
      </c>
      <c r="BE23" s="37">
        <f>+BD23*AP23</f>
        <v>81.37507500000001</v>
      </c>
      <c r="BF23" s="38">
        <f>+BD23*AY23</f>
        <v>0</v>
      </c>
      <c r="BH23" s="141"/>
    </row>
    <row r="24" spans="1:60" s="116" customFormat="1" ht="14.1" customHeight="1">
      <c r="A24" s="62">
        <v>13</v>
      </c>
      <c r="B24" s="142" t="str">
        <f t="shared" ref="B24:B25" si="30">+B88</f>
        <v>Angel Colina N.</v>
      </c>
      <c r="C24" s="102">
        <v>7</v>
      </c>
      <c r="D24" s="102">
        <v>18</v>
      </c>
      <c r="E24" s="102">
        <v>1</v>
      </c>
      <c r="F24" s="143">
        <f>+D24-C24-E24</f>
        <v>10</v>
      </c>
      <c r="G24" s="144"/>
      <c r="H24" s="145"/>
      <c r="I24" s="143">
        <f>+H24-G24</f>
        <v>0</v>
      </c>
      <c r="J24" s="102"/>
      <c r="K24" s="146">
        <f>+I24+F24-L24</f>
        <v>8</v>
      </c>
      <c r="L24" s="147">
        <f>IF(C24&gt;0,(F24+I24)+IF(K$5&gt;0,F24,-8),0)+IF(U$5&gt;0,I24,0)</f>
        <v>2</v>
      </c>
      <c r="M24" s="148">
        <v>7</v>
      </c>
      <c r="N24" s="102">
        <v>17</v>
      </c>
      <c r="O24" s="102">
        <v>1</v>
      </c>
      <c r="P24" s="143">
        <f>+N24-M24-O24</f>
        <v>9</v>
      </c>
      <c r="Q24" s="43"/>
      <c r="R24" s="43"/>
      <c r="S24" s="143">
        <f>+R24-Q24</f>
        <v>0</v>
      </c>
      <c r="T24" s="102"/>
      <c r="U24" s="146">
        <f>+S24+P24-V24</f>
        <v>8</v>
      </c>
      <c r="V24" s="147">
        <f>IF(M24&gt;0,(P24+S24)+IF(U$5&gt;0,P24,-8),0)+IF(AE$5&gt;0,S24,0)</f>
        <v>1</v>
      </c>
      <c r="W24" s="102">
        <v>7</v>
      </c>
      <c r="X24" s="102">
        <v>16</v>
      </c>
      <c r="Y24" s="102">
        <v>1</v>
      </c>
      <c r="Z24" s="143">
        <f>+X24-W24-Y24</f>
        <v>8</v>
      </c>
      <c r="AA24" s="102"/>
      <c r="AB24" s="28"/>
      <c r="AC24" s="143">
        <f>+AB24-AA24</f>
        <v>0</v>
      </c>
      <c r="AD24" s="102"/>
      <c r="AE24" s="146">
        <f t="shared" si="11"/>
        <v>8</v>
      </c>
      <c r="AF24" s="147">
        <f>IF(W24&gt;0,IF(AE$5&gt;0,(Z24+AC24)*2,(Z24+AC24-8)),0)*IF(Z24&lt;9,IF(AE$5&gt;0,1,2),1)+IF(Z24&gt;8,AC24,0)</f>
        <v>0</v>
      </c>
      <c r="AG24" s="102">
        <v>7</v>
      </c>
      <c r="AH24" s="102">
        <v>18</v>
      </c>
      <c r="AI24" s="102">
        <v>1</v>
      </c>
      <c r="AJ24" s="149">
        <f>+AH24-AG24-AI24</f>
        <v>10</v>
      </c>
      <c r="AK24" s="102"/>
      <c r="AL24" s="102"/>
      <c r="AM24" s="143">
        <f>+AL24-AK24</f>
        <v>0</v>
      </c>
      <c r="AN24" s="150"/>
      <c r="AO24" s="151">
        <f>(AJ24*2+AM24)</f>
        <v>20</v>
      </c>
      <c r="AP24" s="841">
        <f t="shared" si="29"/>
        <v>23</v>
      </c>
      <c r="AQ24" s="842"/>
      <c r="AR24" s="843">
        <f>ROUND(BD24*AP24,1)</f>
        <v>89.1</v>
      </c>
      <c r="AS24" s="844"/>
      <c r="AT24" s="113">
        <f t="shared" ref="AT24:AT25" si="31">IF(AT46&gt;0,AT46*$AT$10,0)</f>
        <v>28</v>
      </c>
      <c r="AU24" s="69"/>
      <c r="AV24" s="114">
        <f>+L24</f>
        <v>2</v>
      </c>
      <c r="AW24" s="114">
        <f>+V24</f>
        <v>1</v>
      </c>
      <c r="AX24" s="114">
        <f>+AF24</f>
        <v>0</v>
      </c>
      <c r="AY24" s="114">
        <f>+AO24</f>
        <v>20</v>
      </c>
      <c r="AZ24" s="114">
        <f t="shared" ref="AZ24:AZ25" si="32">+L46</f>
        <v>0</v>
      </c>
      <c r="BA24" s="114">
        <f t="shared" ref="BA24:BA25" si="33">+V46</f>
        <v>0</v>
      </c>
      <c r="BB24" s="114">
        <f t="shared" ref="BB24:BB25" si="34">+AF46</f>
        <v>0</v>
      </c>
      <c r="BC24" s="35"/>
      <c r="BD24" s="115">
        <f t="shared" ref="BD24:BD25" si="35">+I88</f>
        <v>3.8750035714285715</v>
      </c>
      <c r="BE24" s="115">
        <f>+BD24*AP24</f>
        <v>89.125082142857138</v>
      </c>
      <c r="BF24" s="115">
        <f>+BD24*AY24</f>
        <v>77.500071428571431</v>
      </c>
    </row>
    <row r="25" spans="1:60" ht="14.1" customHeight="1" thickBot="1">
      <c r="A25" s="1">
        <v>14</v>
      </c>
      <c r="B25" s="152" t="str">
        <f t="shared" si="30"/>
        <v>Jose Lares P.</v>
      </c>
      <c r="C25" s="153">
        <v>7</v>
      </c>
      <c r="D25" s="154">
        <v>18</v>
      </c>
      <c r="E25" s="155">
        <v>1</v>
      </c>
      <c r="F25" s="156">
        <f>+D25-C25-E25</f>
        <v>10</v>
      </c>
      <c r="G25" s="154"/>
      <c r="H25" s="154"/>
      <c r="I25" s="156">
        <f>+H25-G25</f>
        <v>0</v>
      </c>
      <c r="J25" s="155"/>
      <c r="K25" s="157">
        <f>+I25+F25-L25</f>
        <v>8</v>
      </c>
      <c r="L25" s="158">
        <f t="shared" si="4"/>
        <v>2</v>
      </c>
      <c r="M25" s="159">
        <v>7</v>
      </c>
      <c r="N25" s="154">
        <v>17</v>
      </c>
      <c r="O25" s="155">
        <v>1</v>
      </c>
      <c r="P25" s="156">
        <f>+N25-M25-O25</f>
        <v>9</v>
      </c>
      <c r="Q25" s="160"/>
      <c r="R25" s="160"/>
      <c r="S25" s="156">
        <f>+R25-Q25</f>
        <v>0</v>
      </c>
      <c r="T25" s="155"/>
      <c r="U25" s="157">
        <f>+S25+P25-V25</f>
        <v>8</v>
      </c>
      <c r="V25" s="158">
        <f>IF(M25&gt;0,(P25+S25)+IF(U$5&gt;0,P25,-8),0)+IF(AE$5&gt;0,S25,0)</f>
        <v>1</v>
      </c>
      <c r="W25" s="154">
        <v>7</v>
      </c>
      <c r="X25" s="154">
        <v>16</v>
      </c>
      <c r="Y25" s="155">
        <v>1</v>
      </c>
      <c r="Z25" s="156">
        <f>+X25-W25-Y25</f>
        <v>8</v>
      </c>
      <c r="AA25" s="154"/>
      <c r="AB25" s="161"/>
      <c r="AC25" s="156">
        <f>+AB25-AA25</f>
        <v>0</v>
      </c>
      <c r="AD25" s="155"/>
      <c r="AE25" s="157">
        <f t="shared" si="11"/>
        <v>8</v>
      </c>
      <c r="AF25" s="158">
        <f>IF(W25&gt;0,IF(AE$5&gt;0,(Z25+AC25)*2,(Z25+AC25-8)),0)*IF(Z25&lt;9,IF(AE$5&gt;0,1,2),1)+IF(Z25&gt;8,AC25,0)</f>
        <v>0</v>
      </c>
      <c r="AG25" s="162"/>
      <c r="AH25" s="154"/>
      <c r="AI25" s="155"/>
      <c r="AJ25" s="163">
        <f t="shared" si="12"/>
        <v>0</v>
      </c>
      <c r="AK25" s="154"/>
      <c r="AL25" s="154"/>
      <c r="AM25" s="156">
        <f>+AL25-AK25</f>
        <v>0</v>
      </c>
      <c r="AN25" s="164"/>
      <c r="AO25" s="165">
        <f>(AJ25*2+AM25)</f>
        <v>0</v>
      </c>
      <c r="AP25" s="1190">
        <f t="shared" si="29"/>
        <v>2</v>
      </c>
      <c r="AQ25" s="1191"/>
      <c r="AR25" s="1192">
        <f>ROUND(BD25*AP25,1)</f>
        <v>7.8</v>
      </c>
      <c r="AS25" s="1193"/>
      <c r="AT25" s="166">
        <f t="shared" si="31"/>
        <v>24</v>
      </c>
      <c r="AV25" s="114">
        <f>+L25</f>
        <v>2</v>
      </c>
      <c r="AW25" s="114">
        <f>+V25</f>
        <v>1</v>
      </c>
      <c r="AX25" s="114">
        <f>+AF25</f>
        <v>0</v>
      </c>
      <c r="AY25" s="114">
        <f>+AO25</f>
        <v>0</v>
      </c>
      <c r="AZ25" s="114">
        <f t="shared" si="32"/>
        <v>-3</v>
      </c>
      <c r="BA25" s="114">
        <f t="shared" si="33"/>
        <v>1</v>
      </c>
      <c r="BB25" s="114">
        <f t="shared" si="34"/>
        <v>1</v>
      </c>
      <c r="BC25" s="35"/>
      <c r="BD25" s="36">
        <f t="shared" si="35"/>
        <v>3.8750035714285715</v>
      </c>
      <c r="BE25" s="37">
        <f>+BD25*AP25</f>
        <v>7.7500071428571431</v>
      </c>
      <c r="BF25" s="38">
        <f>+BD25*AY25</f>
        <v>0</v>
      </c>
    </row>
    <row r="26" spans="1:60" ht="5.0999999999999996" customHeight="1" thickBot="1">
      <c r="BC26" s="167"/>
      <c r="BD26" s="168"/>
      <c r="BE26" s="855">
        <f>SUM(BE11:BE25)</f>
        <v>532.54679285714292</v>
      </c>
      <c r="BF26" s="856">
        <f>SUM(BF11:BF25)</f>
        <v>263.66680952380955</v>
      </c>
    </row>
    <row r="27" spans="1:60" ht="9.9499999999999993" customHeight="1">
      <c r="B27" s="741" t="s">
        <v>1</v>
      </c>
      <c r="C27" s="858">
        <f>1+AG5</f>
        <v>43836</v>
      </c>
      <c r="D27" s="858"/>
      <c r="E27" s="858"/>
      <c r="F27" s="858"/>
      <c r="G27" s="858"/>
      <c r="H27" s="858"/>
      <c r="I27" s="858"/>
      <c r="J27" s="858"/>
      <c r="K27" s="860"/>
      <c r="L27" s="861"/>
      <c r="M27" s="864">
        <f>1+C27</f>
        <v>43837</v>
      </c>
      <c r="N27" s="865"/>
      <c r="O27" s="865"/>
      <c r="P27" s="865"/>
      <c r="Q27" s="865"/>
      <c r="R27" s="865"/>
      <c r="S27" s="865"/>
      <c r="T27" s="866"/>
      <c r="U27" s="870"/>
      <c r="V27" s="871"/>
      <c r="W27" s="864">
        <f>1+M27</f>
        <v>43838</v>
      </c>
      <c r="X27" s="865"/>
      <c r="Y27" s="865"/>
      <c r="Z27" s="865"/>
      <c r="AA27" s="865"/>
      <c r="AB27" s="865"/>
      <c r="AC27" s="865"/>
      <c r="AD27" s="866"/>
      <c r="AE27" s="880"/>
      <c r="AF27" s="881"/>
      <c r="AH27" s="884" t="s">
        <v>18</v>
      </c>
      <c r="AI27" s="879">
        <f>+C5</f>
        <v>43832</v>
      </c>
      <c r="AJ27" s="885">
        <f t="shared" ref="AJ27:AO27" si="36">1+AI27</f>
        <v>43833</v>
      </c>
      <c r="AK27" s="885">
        <f t="shared" si="36"/>
        <v>43834</v>
      </c>
      <c r="AL27" s="878">
        <f t="shared" si="36"/>
        <v>43835</v>
      </c>
      <c r="AM27" s="878">
        <f t="shared" si="36"/>
        <v>43836</v>
      </c>
      <c r="AN27" s="879">
        <f t="shared" si="36"/>
        <v>43837</v>
      </c>
      <c r="AO27" s="879">
        <f t="shared" si="36"/>
        <v>43838</v>
      </c>
      <c r="AP27" s="911" t="s">
        <v>19</v>
      </c>
      <c r="AQ27" s="912"/>
      <c r="AR27" s="913" t="s">
        <v>20</v>
      </c>
      <c r="AS27" s="914"/>
      <c r="AT27" s="898" t="s">
        <v>21</v>
      </c>
      <c r="AW27" s="901">
        <f>+AL27</f>
        <v>43835</v>
      </c>
      <c r="AX27" s="902"/>
      <c r="AZ27" s="907" t="s">
        <v>22</v>
      </c>
      <c r="BA27" s="907"/>
      <c r="BB27" s="907"/>
      <c r="BC27" s="907"/>
      <c r="BD27" s="168"/>
      <c r="BE27" s="855"/>
      <c r="BF27" s="857"/>
    </row>
    <row r="28" spans="1:60" ht="9.9499999999999993" customHeight="1">
      <c r="B28" s="742"/>
      <c r="C28" s="859"/>
      <c r="D28" s="859"/>
      <c r="E28" s="859"/>
      <c r="F28" s="859"/>
      <c r="G28" s="859"/>
      <c r="H28" s="859"/>
      <c r="I28" s="859"/>
      <c r="J28" s="859"/>
      <c r="K28" s="862"/>
      <c r="L28" s="863"/>
      <c r="M28" s="867"/>
      <c r="N28" s="868"/>
      <c r="O28" s="868"/>
      <c r="P28" s="868"/>
      <c r="Q28" s="868"/>
      <c r="R28" s="868"/>
      <c r="S28" s="868"/>
      <c r="T28" s="869"/>
      <c r="U28" s="872"/>
      <c r="V28" s="873"/>
      <c r="W28" s="867"/>
      <c r="X28" s="868"/>
      <c r="Y28" s="868"/>
      <c r="Z28" s="868"/>
      <c r="AA28" s="868"/>
      <c r="AB28" s="868"/>
      <c r="AC28" s="868"/>
      <c r="AD28" s="869"/>
      <c r="AE28" s="882"/>
      <c r="AF28" s="883"/>
      <c r="AH28" s="884"/>
      <c r="AI28" s="879"/>
      <c r="AJ28" s="885"/>
      <c r="AK28" s="885"/>
      <c r="AL28" s="878"/>
      <c r="AM28" s="878"/>
      <c r="AN28" s="879"/>
      <c r="AO28" s="879"/>
      <c r="AP28" s="911"/>
      <c r="AQ28" s="912"/>
      <c r="AR28" s="915"/>
      <c r="AS28" s="916"/>
      <c r="AT28" s="899"/>
      <c r="AW28" s="903"/>
      <c r="AX28" s="904"/>
      <c r="AZ28" s="908">
        <f>SUM(AV11:BB25)</f>
        <v>122</v>
      </c>
      <c r="BA28" s="909"/>
      <c r="BB28" s="909"/>
      <c r="BC28" s="169"/>
      <c r="BD28" s="168"/>
      <c r="BE28" s="170"/>
    </row>
    <row r="29" spans="1:60" ht="15.2" customHeight="1">
      <c r="B29" s="742"/>
      <c r="C29" s="780" t="s">
        <v>10</v>
      </c>
      <c r="D29" s="874"/>
      <c r="E29" s="766" t="s">
        <v>11</v>
      </c>
      <c r="F29" s="769" t="s">
        <v>12</v>
      </c>
      <c r="G29" s="877" t="s">
        <v>10</v>
      </c>
      <c r="H29" s="874"/>
      <c r="I29" s="769" t="s">
        <v>12</v>
      </c>
      <c r="J29" s="773" t="s">
        <v>13</v>
      </c>
      <c r="K29" s="786" t="s">
        <v>14</v>
      </c>
      <c r="L29" s="886" t="s">
        <v>15</v>
      </c>
      <c r="M29" s="780" t="s">
        <v>10</v>
      </c>
      <c r="N29" s="888"/>
      <c r="O29" s="767" t="s">
        <v>11</v>
      </c>
      <c r="P29" s="770" t="s">
        <v>12</v>
      </c>
      <c r="Q29" s="877" t="s">
        <v>10</v>
      </c>
      <c r="R29" s="893"/>
      <c r="S29" s="770" t="s">
        <v>12</v>
      </c>
      <c r="T29" s="774" t="s">
        <v>13</v>
      </c>
      <c r="U29" s="787" t="s">
        <v>14</v>
      </c>
      <c r="V29" s="886" t="s">
        <v>15</v>
      </c>
      <c r="W29" s="780" t="s">
        <v>10</v>
      </c>
      <c r="X29" s="888"/>
      <c r="Y29" s="767" t="s">
        <v>11</v>
      </c>
      <c r="Z29" s="770" t="s">
        <v>12</v>
      </c>
      <c r="AA29" s="877" t="s">
        <v>10</v>
      </c>
      <c r="AB29" s="893"/>
      <c r="AC29" s="770" t="s">
        <v>12</v>
      </c>
      <c r="AD29" s="774" t="s">
        <v>13</v>
      </c>
      <c r="AE29" s="787" t="s">
        <v>14</v>
      </c>
      <c r="AF29" s="886"/>
      <c r="AH29" s="884"/>
      <c r="AI29" s="879"/>
      <c r="AJ29" s="885"/>
      <c r="AK29" s="885"/>
      <c r="AL29" s="878"/>
      <c r="AM29" s="878"/>
      <c r="AN29" s="879"/>
      <c r="AO29" s="879"/>
      <c r="AP29" s="911"/>
      <c r="AQ29" s="912"/>
      <c r="AR29" s="915"/>
      <c r="AS29" s="916"/>
      <c r="AT29" s="899"/>
      <c r="AW29" s="903"/>
      <c r="AX29" s="904"/>
      <c r="AZ29" s="910"/>
      <c r="BA29" s="910"/>
      <c r="BB29" s="910"/>
      <c r="BC29" s="169"/>
      <c r="BD29" s="168"/>
      <c r="BE29" s="168"/>
    </row>
    <row r="30" spans="1:60" ht="15.2" customHeight="1">
      <c r="B30" s="742"/>
      <c r="C30" s="875"/>
      <c r="D30" s="810"/>
      <c r="E30" s="767"/>
      <c r="F30" s="770"/>
      <c r="G30" s="811"/>
      <c r="H30" s="810"/>
      <c r="I30" s="770"/>
      <c r="J30" s="774"/>
      <c r="K30" s="787"/>
      <c r="L30" s="886"/>
      <c r="M30" s="889"/>
      <c r="N30" s="890"/>
      <c r="O30" s="767"/>
      <c r="P30" s="770"/>
      <c r="Q30" s="894"/>
      <c r="R30" s="895"/>
      <c r="S30" s="770"/>
      <c r="T30" s="774"/>
      <c r="U30" s="787"/>
      <c r="V30" s="886"/>
      <c r="W30" s="889"/>
      <c r="X30" s="890"/>
      <c r="Y30" s="767"/>
      <c r="Z30" s="770"/>
      <c r="AA30" s="894"/>
      <c r="AB30" s="895"/>
      <c r="AC30" s="770"/>
      <c r="AD30" s="774"/>
      <c r="AE30" s="787"/>
      <c r="AF30" s="886"/>
      <c r="AH30" s="884"/>
      <c r="AI30" s="879"/>
      <c r="AJ30" s="885"/>
      <c r="AK30" s="885"/>
      <c r="AL30" s="878"/>
      <c r="AM30" s="878"/>
      <c r="AN30" s="879"/>
      <c r="AO30" s="879"/>
      <c r="AP30" s="911"/>
      <c r="AQ30" s="912"/>
      <c r="AR30" s="915"/>
      <c r="AS30" s="916"/>
      <c r="AT30" s="899"/>
      <c r="AW30" s="903"/>
      <c r="AX30" s="904"/>
      <c r="AY30" s="7" t="s">
        <v>23</v>
      </c>
      <c r="BD30" s="171">
        <f>+AZ28-AW49</f>
        <v>62</v>
      </c>
      <c r="BE30" s="172" t="s">
        <v>24</v>
      </c>
    </row>
    <row r="31" spans="1:60" ht="15.2" customHeight="1">
      <c r="B31" s="742"/>
      <c r="C31" s="875"/>
      <c r="D31" s="810"/>
      <c r="E31" s="767"/>
      <c r="F31" s="770"/>
      <c r="G31" s="811"/>
      <c r="H31" s="810"/>
      <c r="I31" s="770"/>
      <c r="J31" s="774"/>
      <c r="K31" s="787"/>
      <c r="L31" s="886"/>
      <c r="M31" s="889"/>
      <c r="N31" s="890"/>
      <c r="O31" s="767"/>
      <c r="P31" s="770"/>
      <c r="Q31" s="894"/>
      <c r="R31" s="895"/>
      <c r="S31" s="770"/>
      <c r="T31" s="774"/>
      <c r="U31" s="787"/>
      <c r="V31" s="886"/>
      <c r="W31" s="889"/>
      <c r="X31" s="890"/>
      <c r="Y31" s="767"/>
      <c r="Z31" s="770"/>
      <c r="AA31" s="894"/>
      <c r="AB31" s="895"/>
      <c r="AC31" s="770"/>
      <c r="AD31" s="774"/>
      <c r="AE31" s="787"/>
      <c r="AF31" s="886"/>
      <c r="AH31" s="884"/>
      <c r="AI31" s="879"/>
      <c r="AJ31" s="885"/>
      <c r="AK31" s="885"/>
      <c r="AL31" s="878"/>
      <c r="AM31" s="878"/>
      <c r="AN31" s="879"/>
      <c r="AO31" s="879"/>
      <c r="AP31" s="911"/>
      <c r="AQ31" s="912"/>
      <c r="AR31" s="915"/>
      <c r="AS31" s="916"/>
      <c r="AT31" s="899"/>
      <c r="AW31" s="903"/>
      <c r="AX31" s="904"/>
    </row>
    <row r="32" spans="1:60" ht="15.2" customHeight="1" thickBot="1">
      <c r="B32" s="743"/>
      <c r="C32" s="876"/>
      <c r="D32" s="813"/>
      <c r="E32" s="768"/>
      <c r="F32" s="771"/>
      <c r="G32" s="812"/>
      <c r="H32" s="813"/>
      <c r="I32" s="771"/>
      <c r="J32" s="775"/>
      <c r="K32" s="788"/>
      <c r="L32" s="887"/>
      <c r="M32" s="891"/>
      <c r="N32" s="892"/>
      <c r="O32" s="768"/>
      <c r="P32" s="771"/>
      <c r="Q32" s="896"/>
      <c r="R32" s="897"/>
      <c r="S32" s="771"/>
      <c r="T32" s="775"/>
      <c r="U32" s="788"/>
      <c r="V32" s="887"/>
      <c r="W32" s="891"/>
      <c r="X32" s="892"/>
      <c r="Y32" s="768"/>
      <c r="Z32" s="771"/>
      <c r="AA32" s="896"/>
      <c r="AB32" s="897"/>
      <c r="AC32" s="771"/>
      <c r="AD32" s="775"/>
      <c r="AE32" s="788"/>
      <c r="AF32" s="887"/>
      <c r="AH32" s="884"/>
      <c r="AI32" s="879"/>
      <c r="AJ32" s="885"/>
      <c r="AK32" s="885"/>
      <c r="AL32" s="878"/>
      <c r="AM32" s="878"/>
      <c r="AN32" s="879"/>
      <c r="AO32" s="879"/>
      <c r="AP32" s="911"/>
      <c r="AQ32" s="912"/>
      <c r="AR32" s="917"/>
      <c r="AS32" s="918"/>
      <c r="AT32" s="900"/>
      <c r="AW32" s="905"/>
      <c r="AX32" s="906"/>
      <c r="BE32" s="173"/>
    </row>
    <row r="33" spans="1:57" ht="14.1" customHeight="1">
      <c r="B33" s="16" t="str">
        <f t="shared" ref="B33:B47" si="37">+B11</f>
        <v>Eduardo Segura D.</v>
      </c>
      <c r="C33" s="17">
        <v>8</v>
      </c>
      <c r="D33" s="18">
        <v>14</v>
      </c>
      <c r="E33" s="19">
        <v>1</v>
      </c>
      <c r="F33" s="40">
        <f t="shared" ref="F33:F47" si="38">+D33-C33-E33</f>
        <v>5</v>
      </c>
      <c r="G33" s="43"/>
      <c r="H33" s="544">
        <v>2</v>
      </c>
      <c r="I33" s="40">
        <f t="shared" ref="I33:I47" si="39">+H33-G33</f>
        <v>2</v>
      </c>
      <c r="J33" s="19"/>
      <c r="K33" s="41">
        <f t="shared" ref="K33:K47" si="40">+I33+F33-L33</f>
        <v>8</v>
      </c>
      <c r="L33" s="25">
        <f t="shared" ref="L33:L47" si="41">IF(C33&gt;0,(F33+I33)+IF(K$27&gt;0,F33,-8),0)+IF(U$27&gt;0,I33,0)</f>
        <v>-1</v>
      </c>
      <c r="M33" s="43">
        <v>8</v>
      </c>
      <c r="N33" s="18">
        <v>16</v>
      </c>
      <c r="O33" s="19">
        <v>1</v>
      </c>
      <c r="P33" s="40">
        <f t="shared" ref="P33:P47" si="42">+N33-M33-O33</f>
        <v>7</v>
      </c>
      <c r="Q33" s="138"/>
      <c r="R33" s="174"/>
      <c r="S33" s="40">
        <f t="shared" ref="S33:S47" si="43">+R33-Q33</f>
        <v>0</v>
      </c>
      <c r="T33" s="19"/>
      <c r="U33" s="41">
        <f t="shared" ref="U33:U47" si="44">+S33+P33-V33</f>
        <v>8</v>
      </c>
      <c r="V33" s="25">
        <f t="shared" ref="V33:V47" si="45">IF(M33&gt;0,(P33+S33)+IF(U$27&gt;0,P33,-8),0)+IF(AE$27&gt;0,S33,0)</f>
        <v>-1</v>
      </c>
      <c r="W33" s="18">
        <v>7</v>
      </c>
      <c r="X33" s="18">
        <v>16</v>
      </c>
      <c r="Y33" s="175">
        <v>1</v>
      </c>
      <c r="Z33" s="176">
        <f t="shared" ref="Z33:Z47" si="46">+X33-W33-Y33</f>
        <v>8</v>
      </c>
      <c r="AA33" s="138"/>
      <c r="AB33" s="22"/>
      <c r="AC33" s="176">
        <f t="shared" ref="AC33:AC47" si="47">+AB33-AA33</f>
        <v>0</v>
      </c>
      <c r="AD33" s="175"/>
      <c r="AE33" s="177">
        <f t="shared" ref="AE33:AE47" si="48">+AC33+Z33-AF33</f>
        <v>8</v>
      </c>
      <c r="AF33" s="25">
        <f t="shared" ref="AF33:AF47" si="49">IF(W33&gt;0,(Z33+AC33)+IF(AE$27&gt;0,0+Z33,-8),0)</f>
        <v>0</v>
      </c>
      <c r="AG33" s="69"/>
      <c r="AH33" s="178">
        <v>0</v>
      </c>
      <c r="AI33" s="179">
        <f t="shared" ref="AI33:AI40" si="50">+K11+(IF(ISBLANK($K$5),-8,0))</f>
        <v>0</v>
      </c>
      <c r="AJ33" s="179">
        <f t="shared" ref="AJ33:AJ40" si="51">IF(ISBLANK($U$5),-8,0)+U11</f>
        <v>0</v>
      </c>
      <c r="AK33" s="179">
        <f>IF(ISBLANK($AE$5),-8,0)+AE11</f>
        <v>0</v>
      </c>
      <c r="AL33" s="179">
        <f t="shared" ref="AL33:AL47" si="52">IF(ISBLANK($AO$5),-8,0)+AO11+AW33</f>
        <v>0</v>
      </c>
      <c r="AM33" s="179">
        <f t="shared" ref="AM33:AM47" si="53">IF(ISBLANK($K$27),-8,0)+K33</f>
        <v>0</v>
      </c>
      <c r="AN33" s="179">
        <f t="shared" ref="AN33:AN47" si="54">IF(ISBLANK($U$27),-8,0)+U33</f>
        <v>0</v>
      </c>
      <c r="AO33" s="179">
        <f t="shared" ref="AO33:AO47" si="55">IF(ISBLANK($AE$27),-8,0)+AE33</f>
        <v>0</v>
      </c>
      <c r="AP33" s="180">
        <f t="shared" ref="AP33:AP47" si="56">SUM(AH33:AO33)</f>
        <v>0</v>
      </c>
      <c r="AQ33" s="69"/>
      <c r="AR33" s="919">
        <f t="shared" ref="AR33:AR38" si="57">+X73*Q73</f>
        <v>0</v>
      </c>
      <c r="AS33" s="925"/>
      <c r="AT33" s="181">
        <f t="shared" ref="AT33:AT43" si="58">IF(K11+L11&gt;0,1,0)+IF(U11+V11&gt;0,1,0)+IF(AE11+AF11&gt;0,1,0)+IF(AO11&gt;3,1,0)+IF(K33+L33&gt;0,1,0)+IF(U33+V33&gt;0,1,0)+IF(AE33+AF33&gt;0,1,0)</f>
        <v>6</v>
      </c>
      <c r="AU33" s="69"/>
      <c r="AV33" s="69"/>
      <c r="AW33" s="921"/>
      <c r="AX33" s="922"/>
      <c r="BD33" s="182"/>
      <c r="BE33" s="183"/>
    </row>
    <row r="34" spans="1:57" ht="14.1" customHeight="1">
      <c r="B34" s="39" t="str">
        <f t="shared" si="37"/>
        <v>Cesar Mendez M.</v>
      </c>
      <c r="C34" s="17"/>
      <c r="D34" s="18"/>
      <c r="E34" s="19"/>
      <c r="F34" s="40">
        <f t="shared" si="38"/>
        <v>0</v>
      </c>
      <c r="G34" s="43"/>
      <c r="H34" s="43"/>
      <c r="I34" s="40">
        <f t="shared" si="39"/>
        <v>0</v>
      </c>
      <c r="J34" s="19"/>
      <c r="K34" s="41">
        <f t="shared" si="40"/>
        <v>0</v>
      </c>
      <c r="L34" s="25">
        <f t="shared" si="41"/>
        <v>0</v>
      </c>
      <c r="M34" s="43"/>
      <c r="N34" s="18"/>
      <c r="O34" s="19"/>
      <c r="P34" s="40">
        <f t="shared" si="42"/>
        <v>0</v>
      </c>
      <c r="Q34" s="43"/>
      <c r="R34" s="184"/>
      <c r="S34" s="40">
        <f t="shared" si="43"/>
        <v>0</v>
      </c>
      <c r="T34" s="19"/>
      <c r="U34" s="41">
        <f t="shared" si="44"/>
        <v>0</v>
      </c>
      <c r="V34" s="25">
        <f t="shared" si="45"/>
        <v>0</v>
      </c>
      <c r="W34" s="18"/>
      <c r="X34" s="18"/>
      <c r="Y34" s="19"/>
      <c r="Z34" s="40">
        <f t="shared" si="46"/>
        <v>0</v>
      </c>
      <c r="AA34" s="18"/>
      <c r="AB34" s="43"/>
      <c r="AC34" s="40">
        <f t="shared" si="47"/>
        <v>0</v>
      </c>
      <c r="AD34" s="19"/>
      <c r="AE34" s="41">
        <f t="shared" si="48"/>
        <v>0</v>
      </c>
      <c r="AF34" s="25">
        <f t="shared" si="49"/>
        <v>0</v>
      </c>
      <c r="AG34" s="69"/>
      <c r="AH34" s="178">
        <v>0</v>
      </c>
      <c r="AI34" s="179">
        <f t="shared" si="50"/>
        <v>-8</v>
      </c>
      <c r="AJ34" s="179">
        <f t="shared" si="51"/>
        <v>-8</v>
      </c>
      <c r="AK34" s="179">
        <f>IF(ISBLANK($AE$5),-8,0)+AE12</f>
        <v>-8</v>
      </c>
      <c r="AL34" s="179">
        <f t="shared" si="52"/>
        <v>0</v>
      </c>
      <c r="AM34" s="179">
        <f t="shared" si="53"/>
        <v>-8</v>
      </c>
      <c r="AN34" s="179">
        <f t="shared" si="54"/>
        <v>-8</v>
      </c>
      <c r="AO34" s="179">
        <f t="shared" si="55"/>
        <v>-8</v>
      </c>
      <c r="AP34" s="180">
        <f t="shared" si="56"/>
        <v>-48</v>
      </c>
      <c r="AQ34" s="69"/>
      <c r="AR34" s="919">
        <f t="shared" si="57"/>
        <v>0</v>
      </c>
      <c r="AS34" s="920"/>
      <c r="AT34" s="181">
        <f t="shared" si="58"/>
        <v>0</v>
      </c>
      <c r="AU34" s="69"/>
      <c r="AV34" s="69"/>
      <c r="AW34" s="921"/>
      <c r="AX34" s="922"/>
    </row>
    <row r="35" spans="1:57" ht="14.1" customHeight="1">
      <c r="B35" s="39" t="str">
        <f t="shared" si="37"/>
        <v xml:space="preserve">  -  .  -  </v>
      </c>
      <c r="C35" s="50"/>
      <c r="D35" s="51"/>
      <c r="E35" s="52"/>
      <c r="F35" s="185">
        <f t="shared" si="38"/>
        <v>0</v>
      </c>
      <c r="G35" s="43"/>
      <c r="H35" s="43"/>
      <c r="I35" s="185">
        <f t="shared" si="39"/>
        <v>0</v>
      </c>
      <c r="J35" s="54"/>
      <c r="K35" s="106">
        <f t="shared" si="40"/>
        <v>0</v>
      </c>
      <c r="L35" s="25">
        <f t="shared" si="41"/>
        <v>0</v>
      </c>
      <c r="M35" s="43"/>
      <c r="N35" s="18"/>
      <c r="O35" s="19"/>
      <c r="P35" s="40">
        <f t="shared" si="42"/>
        <v>0</v>
      </c>
      <c r="Q35" s="43"/>
      <c r="R35" s="186"/>
      <c r="S35" s="185">
        <f t="shared" si="43"/>
        <v>0</v>
      </c>
      <c r="T35" s="54"/>
      <c r="U35" s="41">
        <f t="shared" si="44"/>
        <v>0</v>
      </c>
      <c r="V35" s="25">
        <f t="shared" si="45"/>
        <v>0</v>
      </c>
      <c r="W35" s="18"/>
      <c r="X35" s="18"/>
      <c r="Y35" s="19"/>
      <c r="Z35" s="40">
        <f t="shared" si="46"/>
        <v>0</v>
      </c>
      <c r="AA35" s="18"/>
      <c r="AB35" s="18"/>
      <c r="AC35" s="40">
        <f t="shared" si="47"/>
        <v>0</v>
      </c>
      <c r="AD35" s="54"/>
      <c r="AE35" s="41">
        <f t="shared" si="48"/>
        <v>0</v>
      </c>
      <c r="AF35" s="25">
        <f t="shared" si="49"/>
        <v>0</v>
      </c>
      <c r="AG35" s="69"/>
      <c r="AH35" s="178">
        <v>0</v>
      </c>
      <c r="AI35" s="179">
        <f t="shared" si="50"/>
        <v>-8</v>
      </c>
      <c r="AJ35" s="179">
        <f t="shared" si="51"/>
        <v>-8</v>
      </c>
      <c r="AK35" s="179">
        <f>IF(ISBLANK($AE$5),-8,0)+AE13</f>
        <v>-8</v>
      </c>
      <c r="AL35" s="179">
        <f t="shared" si="52"/>
        <v>0</v>
      </c>
      <c r="AM35" s="179">
        <f t="shared" si="53"/>
        <v>-8</v>
      </c>
      <c r="AN35" s="179">
        <f t="shared" si="54"/>
        <v>-8</v>
      </c>
      <c r="AO35" s="179">
        <f t="shared" si="55"/>
        <v>-8</v>
      </c>
      <c r="AP35" s="180">
        <f t="shared" si="56"/>
        <v>-48</v>
      </c>
      <c r="AQ35" s="69"/>
      <c r="AR35" s="919">
        <f t="shared" si="57"/>
        <v>0</v>
      </c>
      <c r="AS35" s="920"/>
      <c r="AT35" s="187">
        <f t="shared" si="58"/>
        <v>0</v>
      </c>
      <c r="AU35" s="69"/>
      <c r="AV35" s="69"/>
      <c r="AW35" s="926"/>
      <c r="AX35" s="927"/>
      <c r="AY35" s="188"/>
      <c r="BD35" s="182"/>
    </row>
    <row r="36" spans="1:57" ht="14.1" customHeight="1">
      <c r="B36" s="58" t="str">
        <f t="shared" si="37"/>
        <v>Juan Manrique V.</v>
      </c>
      <c r="C36" s="17">
        <v>7</v>
      </c>
      <c r="D36" s="18">
        <v>17</v>
      </c>
      <c r="E36" s="19">
        <v>1</v>
      </c>
      <c r="F36" s="40">
        <f t="shared" si="38"/>
        <v>9</v>
      </c>
      <c r="G36" s="43"/>
      <c r="H36" s="43"/>
      <c r="I36" s="40">
        <f t="shared" si="39"/>
        <v>0</v>
      </c>
      <c r="J36" s="19"/>
      <c r="K36" s="41">
        <f t="shared" si="40"/>
        <v>8</v>
      </c>
      <c r="L36" s="25">
        <f t="shared" si="41"/>
        <v>1</v>
      </c>
      <c r="M36" s="43">
        <v>7</v>
      </c>
      <c r="N36" s="18">
        <v>17</v>
      </c>
      <c r="O36" s="19">
        <v>1</v>
      </c>
      <c r="P36" s="40">
        <f t="shared" si="42"/>
        <v>9</v>
      </c>
      <c r="Q36" s="117"/>
      <c r="R36" s="189"/>
      <c r="S36" s="40">
        <f t="shared" si="43"/>
        <v>0</v>
      </c>
      <c r="T36" s="19"/>
      <c r="U36" s="41">
        <f t="shared" si="44"/>
        <v>8</v>
      </c>
      <c r="V36" s="25">
        <f t="shared" si="45"/>
        <v>1</v>
      </c>
      <c r="W36" s="18">
        <v>8</v>
      </c>
      <c r="X36" s="18">
        <v>18</v>
      </c>
      <c r="Y36" s="19">
        <v>1</v>
      </c>
      <c r="Z36" s="40">
        <f t="shared" si="46"/>
        <v>9</v>
      </c>
      <c r="AA36" s="18"/>
      <c r="AB36" s="18"/>
      <c r="AC36" s="40">
        <f t="shared" si="47"/>
        <v>0</v>
      </c>
      <c r="AD36" s="19"/>
      <c r="AE36" s="41">
        <f t="shared" si="48"/>
        <v>8</v>
      </c>
      <c r="AF36" s="25">
        <f t="shared" si="49"/>
        <v>1</v>
      </c>
      <c r="AG36" s="69"/>
      <c r="AH36" s="178">
        <v>0</v>
      </c>
      <c r="AI36" s="179">
        <f t="shared" si="50"/>
        <v>0</v>
      </c>
      <c r="AJ36" s="179">
        <f t="shared" si="51"/>
        <v>0</v>
      </c>
      <c r="AK36" s="179">
        <f>IF(ISBLANK($AE$5),-8,0)+AE14</f>
        <v>0.5</v>
      </c>
      <c r="AL36" s="179">
        <f t="shared" si="52"/>
        <v>0</v>
      </c>
      <c r="AM36" s="179">
        <f t="shared" si="53"/>
        <v>0</v>
      </c>
      <c r="AN36" s="179">
        <f t="shared" si="54"/>
        <v>0</v>
      </c>
      <c r="AO36" s="179">
        <f t="shared" si="55"/>
        <v>0</v>
      </c>
      <c r="AP36" s="180">
        <f t="shared" si="56"/>
        <v>0.5</v>
      </c>
      <c r="AQ36" s="69"/>
      <c r="AR36" s="919">
        <f t="shared" si="57"/>
        <v>0</v>
      </c>
      <c r="AS36" s="920"/>
      <c r="AT36" s="187">
        <f t="shared" si="58"/>
        <v>6</v>
      </c>
      <c r="AU36" s="69"/>
      <c r="AV36" s="69"/>
      <c r="AW36" s="926"/>
      <c r="AX36" s="927"/>
      <c r="AZ36" s="182"/>
      <c r="BD36" s="182"/>
    </row>
    <row r="37" spans="1:57" ht="14.1" customHeight="1">
      <c r="B37" s="190" t="str">
        <f t="shared" si="37"/>
        <v xml:space="preserve"> Irving Huaringa B.</v>
      </c>
      <c r="C37" s="17">
        <v>8</v>
      </c>
      <c r="D37" s="18">
        <v>16</v>
      </c>
      <c r="E37" s="19">
        <v>1</v>
      </c>
      <c r="F37" s="40">
        <f>+D37-C37-E37</f>
        <v>7</v>
      </c>
      <c r="G37" s="43"/>
      <c r="H37" s="43"/>
      <c r="I37" s="40">
        <f>+H37-G37</f>
        <v>0</v>
      </c>
      <c r="J37" s="19"/>
      <c r="K37" s="41">
        <f>+I37+F37-L37</f>
        <v>8</v>
      </c>
      <c r="L37" s="25">
        <f t="shared" si="41"/>
        <v>-1</v>
      </c>
      <c r="M37" s="43">
        <v>7</v>
      </c>
      <c r="N37" s="18">
        <v>16</v>
      </c>
      <c r="O37" s="19">
        <v>1</v>
      </c>
      <c r="P37" s="40">
        <f>+N37-M37-O37</f>
        <v>8</v>
      </c>
      <c r="Q37" s="117"/>
      <c r="R37" s="189"/>
      <c r="S37" s="40">
        <f>+R37-Q37</f>
        <v>0</v>
      </c>
      <c r="T37" s="19"/>
      <c r="U37" s="41">
        <f>+S37+P37-V37</f>
        <v>8</v>
      </c>
      <c r="V37" s="25">
        <f t="shared" si="45"/>
        <v>0</v>
      </c>
      <c r="W37" s="18">
        <v>8</v>
      </c>
      <c r="X37" s="18">
        <v>16</v>
      </c>
      <c r="Y37" s="19">
        <v>1</v>
      </c>
      <c r="Z37" s="40">
        <f>+X37-W37-Y37</f>
        <v>7</v>
      </c>
      <c r="AA37" s="18"/>
      <c r="AB37" s="18"/>
      <c r="AC37" s="40">
        <f t="shared" si="47"/>
        <v>0</v>
      </c>
      <c r="AD37" s="19"/>
      <c r="AE37" s="41">
        <f>+AC37+Z37-AF37</f>
        <v>8</v>
      </c>
      <c r="AF37" s="25">
        <f t="shared" si="49"/>
        <v>-1</v>
      </c>
      <c r="AG37" s="69"/>
      <c r="AH37" s="178">
        <v>0</v>
      </c>
      <c r="AI37" s="179">
        <f t="shared" si="50"/>
        <v>0</v>
      </c>
      <c r="AJ37" s="179">
        <f t="shared" si="51"/>
        <v>0</v>
      </c>
      <c r="AK37" s="191">
        <f>IF(ISBLANK($AE$5),-5,0)+AE15</f>
        <v>0</v>
      </c>
      <c r="AL37" s="179">
        <f t="shared" si="52"/>
        <v>0</v>
      </c>
      <c r="AM37" s="192">
        <f t="shared" si="53"/>
        <v>0</v>
      </c>
      <c r="AN37" s="192">
        <f t="shared" si="54"/>
        <v>0</v>
      </c>
      <c r="AO37" s="192">
        <f t="shared" si="55"/>
        <v>0</v>
      </c>
      <c r="AP37" s="180">
        <f>SUM(AH37:AO37)</f>
        <v>0</v>
      </c>
      <c r="AQ37" s="69"/>
      <c r="AR37" s="919">
        <f t="shared" si="57"/>
        <v>0</v>
      </c>
      <c r="AS37" s="920"/>
      <c r="AT37" s="187">
        <f t="shared" si="58"/>
        <v>6</v>
      </c>
      <c r="AU37" s="69"/>
      <c r="AV37" s="69"/>
      <c r="AW37" s="921"/>
      <c r="AX37" s="922"/>
    </row>
    <row r="38" spans="1:57" s="84" customFormat="1" ht="9.9499999999999993" customHeight="1">
      <c r="A38" s="70"/>
      <c r="B38" s="71" t="str">
        <f t="shared" si="37"/>
        <v xml:space="preserve">  -  .  -  </v>
      </c>
      <c r="C38" s="72"/>
      <c r="D38" s="73"/>
      <c r="E38" s="74"/>
      <c r="F38" s="75">
        <f t="shared" si="38"/>
        <v>0</v>
      </c>
      <c r="G38" s="78"/>
      <c r="H38" s="43"/>
      <c r="I38" s="75">
        <f t="shared" si="39"/>
        <v>0</v>
      </c>
      <c r="J38" s="74"/>
      <c r="K38" s="76">
        <f t="shared" si="40"/>
        <v>0</v>
      </c>
      <c r="L38" s="77">
        <f t="shared" si="41"/>
        <v>0</v>
      </c>
      <c r="M38" s="78"/>
      <c r="N38" s="73"/>
      <c r="O38" s="74"/>
      <c r="P38" s="75">
        <f t="shared" si="42"/>
        <v>0</v>
      </c>
      <c r="Q38" s="193"/>
      <c r="R38" s="186"/>
      <c r="S38" s="75">
        <f t="shared" si="43"/>
        <v>0</v>
      </c>
      <c r="T38" s="74"/>
      <c r="U38" s="76">
        <f t="shared" si="44"/>
        <v>0</v>
      </c>
      <c r="V38" s="77">
        <f t="shared" si="45"/>
        <v>0</v>
      </c>
      <c r="W38" s="73"/>
      <c r="X38" s="73"/>
      <c r="Y38" s="74"/>
      <c r="Z38" s="75">
        <f t="shared" si="46"/>
        <v>0</v>
      </c>
      <c r="AA38" s="73"/>
      <c r="AB38" s="78"/>
      <c r="AC38" s="75">
        <f t="shared" si="47"/>
        <v>0</v>
      </c>
      <c r="AD38" s="74"/>
      <c r="AE38" s="76">
        <f t="shared" si="48"/>
        <v>0</v>
      </c>
      <c r="AF38" s="77">
        <f t="shared" si="49"/>
        <v>0</v>
      </c>
      <c r="AG38" s="194"/>
      <c r="AH38" s="195">
        <v>0</v>
      </c>
      <c r="AI38" s="196">
        <f t="shared" si="50"/>
        <v>-8</v>
      </c>
      <c r="AJ38" s="196">
        <f t="shared" si="51"/>
        <v>-8</v>
      </c>
      <c r="AK38" s="196">
        <f>IF(ISBLANK($AE$5),-8,0)+AE16</f>
        <v>-8</v>
      </c>
      <c r="AL38" s="196">
        <f t="shared" si="52"/>
        <v>0</v>
      </c>
      <c r="AM38" s="196">
        <f t="shared" si="53"/>
        <v>-8</v>
      </c>
      <c r="AN38" s="196">
        <f t="shared" si="54"/>
        <v>-8</v>
      </c>
      <c r="AO38" s="196">
        <f t="shared" si="55"/>
        <v>-8</v>
      </c>
      <c r="AP38" s="197">
        <f t="shared" si="56"/>
        <v>-48</v>
      </c>
      <c r="AQ38" s="194"/>
      <c r="AR38" s="1194">
        <f t="shared" si="57"/>
        <v>0</v>
      </c>
      <c r="AS38" s="1195"/>
      <c r="AT38" s="198">
        <f t="shared" si="58"/>
        <v>0</v>
      </c>
      <c r="AU38" s="194"/>
      <c r="AV38" s="194"/>
      <c r="AW38" s="1196"/>
      <c r="AX38" s="1197"/>
      <c r="AZ38" s="199"/>
    </row>
    <row r="39" spans="1:57" ht="14.1" customHeight="1">
      <c r="B39" s="91" t="str">
        <f t="shared" si="37"/>
        <v>Jose Cortez P.</v>
      </c>
      <c r="C39" s="92">
        <v>7</v>
      </c>
      <c r="D39" s="92">
        <v>16</v>
      </c>
      <c r="E39" s="92">
        <v>1</v>
      </c>
      <c r="F39" s="93">
        <f>+D39-C39-E39</f>
        <v>8</v>
      </c>
      <c r="G39" s="43"/>
      <c r="H39" s="43"/>
      <c r="I39" s="93">
        <f>+H39-G39</f>
        <v>0</v>
      </c>
      <c r="J39" s="92"/>
      <c r="K39" s="41">
        <f>+I39+F39-L39</f>
        <v>8</v>
      </c>
      <c r="L39" s="94">
        <f t="shared" si="41"/>
        <v>0</v>
      </c>
      <c r="M39" s="92">
        <v>7</v>
      </c>
      <c r="N39" s="92">
        <v>18</v>
      </c>
      <c r="O39" s="92">
        <v>1</v>
      </c>
      <c r="P39" s="93">
        <f>+N39-M39-O39</f>
        <v>10</v>
      </c>
      <c r="Q39" s="200"/>
      <c r="R39" s="189"/>
      <c r="S39" s="93">
        <f>+R39-Q39</f>
        <v>0</v>
      </c>
      <c r="T39" s="92"/>
      <c r="U39" s="41">
        <f>+S39+P39-V39</f>
        <v>8</v>
      </c>
      <c r="V39" s="94">
        <f t="shared" si="45"/>
        <v>2</v>
      </c>
      <c r="W39" s="92">
        <v>7</v>
      </c>
      <c r="X39" s="92">
        <v>17</v>
      </c>
      <c r="Y39" s="201">
        <v>1</v>
      </c>
      <c r="Z39" s="202">
        <f>+X39-W39-Y39</f>
        <v>9</v>
      </c>
      <c r="AA39" s="18"/>
      <c r="AB39" s="43"/>
      <c r="AC39" s="53">
        <f t="shared" si="47"/>
        <v>0</v>
      </c>
      <c r="AD39" s="19"/>
      <c r="AE39" s="41">
        <f>+AC39+Z39-AF39</f>
        <v>8</v>
      </c>
      <c r="AF39" s="25">
        <f t="shared" si="49"/>
        <v>1</v>
      </c>
      <c r="AG39" s="69"/>
      <c r="AH39" s="203">
        <v>0</v>
      </c>
      <c r="AI39" s="204">
        <f t="shared" si="50"/>
        <v>0</v>
      </c>
      <c r="AJ39" s="205">
        <f t="shared" si="51"/>
        <v>0</v>
      </c>
      <c r="AK39" s="205">
        <f>IF(ISBLANK($AE$5),-8,0)+AE17</f>
        <v>0</v>
      </c>
      <c r="AL39" s="179">
        <f t="shared" si="52"/>
        <v>0</v>
      </c>
      <c r="AM39" s="205">
        <f t="shared" si="53"/>
        <v>0</v>
      </c>
      <c r="AN39" s="205">
        <f t="shared" si="54"/>
        <v>0</v>
      </c>
      <c r="AO39" s="205">
        <f t="shared" si="55"/>
        <v>0</v>
      </c>
      <c r="AP39" s="206">
        <f>SUM(AH39:AO39)</f>
        <v>0</v>
      </c>
      <c r="AQ39" s="69"/>
      <c r="AR39" s="919">
        <f>+X80*Q80</f>
        <v>0</v>
      </c>
      <c r="AS39" s="920"/>
      <c r="AT39" s="207">
        <f t="shared" si="58"/>
        <v>6</v>
      </c>
      <c r="AU39" s="69"/>
      <c r="AV39" s="69"/>
      <c r="AW39" s="923"/>
      <c r="AX39" s="924"/>
    </row>
    <row r="40" spans="1:57" ht="14.1" customHeight="1">
      <c r="B40" s="91" t="str">
        <f t="shared" si="37"/>
        <v>Rafael Armas R.</v>
      </c>
      <c r="C40" s="102">
        <v>7</v>
      </c>
      <c r="D40" s="102">
        <v>23</v>
      </c>
      <c r="E40" s="102">
        <v>1</v>
      </c>
      <c r="F40" s="143">
        <f>+D40-C40-E40</f>
        <v>15</v>
      </c>
      <c r="G40" s="144"/>
      <c r="H40" s="43"/>
      <c r="I40" s="143">
        <f>+H40-G40</f>
        <v>0</v>
      </c>
      <c r="J40" s="102"/>
      <c r="K40" s="41">
        <f>+I40+F40-L40</f>
        <v>8</v>
      </c>
      <c r="L40" s="147">
        <f t="shared" si="41"/>
        <v>7</v>
      </c>
      <c r="M40" s="92">
        <v>7</v>
      </c>
      <c r="N40" s="92">
        <v>17</v>
      </c>
      <c r="O40" s="201">
        <v>1</v>
      </c>
      <c r="P40" s="202">
        <f>+N40-M40-O40</f>
        <v>9</v>
      </c>
      <c r="Q40" s="201"/>
      <c r="R40" s="174"/>
      <c r="S40" s="202">
        <f>+R40-Q40</f>
        <v>0</v>
      </c>
      <c r="T40" s="201"/>
      <c r="U40" s="41">
        <f>+S40+P40-V40</f>
        <v>8</v>
      </c>
      <c r="V40" s="209">
        <f t="shared" si="45"/>
        <v>1</v>
      </c>
      <c r="W40" s="201">
        <v>7</v>
      </c>
      <c r="X40" s="201">
        <v>16</v>
      </c>
      <c r="Y40" s="201">
        <v>1</v>
      </c>
      <c r="Z40" s="202">
        <f>+X40-W40-Y40</f>
        <v>8</v>
      </c>
      <c r="AA40" s="201"/>
      <c r="AB40" s="43"/>
      <c r="AC40" s="202">
        <f t="shared" si="47"/>
        <v>0</v>
      </c>
      <c r="AD40" s="201"/>
      <c r="AE40" s="41">
        <f>+AC40+Z40-AF40</f>
        <v>8</v>
      </c>
      <c r="AF40" s="209">
        <f t="shared" si="49"/>
        <v>0</v>
      </c>
      <c r="AG40" s="69"/>
      <c r="AH40" s="210">
        <v>0</v>
      </c>
      <c r="AI40" s="179">
        <f t="shared" si="50"/>
        <v>0</v>
      </c>
      <c r="AJ40" s="179">
        <f t="shared" si="51"/>
        <v>0</v>
      </c>
      <c r="AK40" s="211">
        <f>IF(ISBLANK($AE$5),-8,0)+AE18</f>
        <v>0</v>
      </c>
      <c r="AL40" s="179">
        <f t="shared" si="52"/>
        <v>0</v>
      </c>
      <c r="AM40" s="179">
        <f t="shared" si="53"/>
        <v>0</v>
      </c>
      <c r="AN40" s="179">
        <f t="shared" si="54"/>
        <v>0</v>
      </c>
      <c r="AO40" s="179">
        <f t="shared" si="55"/>
        <v>0</v>
      </c>
      <c r="AP40" s="180">
        <f>SUM(AH40:AO40)</f>
        <v>0</v>
      </c>
      <c r="AQ40" s="69"/>
      <c r="AR40" s="919">
        <f>+X81*Q81</f>
        <v>0</v>
      </c>
      <c r="AS40" s="920"/>
      <c r="AT40" s="207">
        <f t="shared" si="58"/>
        <v>7</v>
      </c>
      <c r="AU40" s="69"/>
      <c r="AV40" s="69"/>
      <c r="AW40" s="921">
        <v>-20</v>
      </c>
      <c r="AX40" s="922"/>
    </row>
    <row r="41" spans="1:57" s="116" customFormat="1" ht="14.1" customHeight="1">
      <c r="A41" s="212"/>
      <c r="B41" s="91" t="str">
        <f t="shared" si="37"/>
        <v>Jose Ochoa I.</v>
      </c>
      <c r="C41" s="102">
        <v>10</v>
      </c>
      <c r="D41" s="102">
        <v>16</v>
      </c>
      <c r="E41" s="102">
        <v>1</v>
      </c>
      <c r="F41" s="143">
        <f>+D41-C41-E41</f>
        <v>5</v>
      </c>
      <c r="G41" s="144"/>
      <c r="H41" s="43"/>
      <c r="I41" s="143">
        <f>+H41-G41</f>
        <v>0</v>
      </c>
      <c r="J41" s="102"/>
      <c r="K41" s="41">
        <f>+I41+F41-L41</f>
        <v>8</v>
      </c>
      <c r="L41" s="147">
        <f t="shared" si="41"/>
        <v>-3</v>
      </c>
      <c r="M41" s="213">
        <v>7</v>
      </c>
      <c r="N41" s="201">
        <v>17</v>
      </c>
      <c r="O41" s="201">
        <v>1</v>
      </c>
      <c r="P41" s="202">
        <f>+N41-M41-O41</f>
        <v>9</v>
      </c>
      <c r="Q41" s="214"/>
      <c r="R41" s="189"/>
      <c r="S41" s="202">
        <f>+R41-Q41</f>
        <v>0</v>
      </c>
      <c r="T41" s="201"/>
      <c r="U41" s="41">
        <f>+S41+P41-V41</f>
        <v>8</v>
      </c>
      <c r="V41" s="209">
        <f t="shared" si="45"/>
        <v>1</v>
      </c>
      <c r="W41" s="201">
        <v>7</v>
      </c>
      <c r="X41" s="201">
        <v>17</v>
      </c>
      <c r="Y41" s="201">
        <v>1</v>
      </c>
      <c r="Z41" s="202">
        <f>+X41-W41-Y41</f>
        <v>9</v>
      </c>
      <c r="AA41" s="201"/>
      <c r="AB41" s="215"/>
      <c r="AC41" s="202">
        <f t="shared" si="47"/>
        <v>0</v>
      </c>
      <c r="AD41" s="201"/>
      <c r="AE41" s="41">
        <f>+AC41+Z41-AF41</f>
        <v>8</v>
      </c>
      <c r="AF41" s="209">
        <f t="shared" si="49"/>
        <v>1</v>
      </c>
      <c r="AG41" s="69"/>
      <c r="AH41" s="216">
        <v>0</v>
      </c>
      <c r="AI41" s="217">
        <f>+K22+(IF(ISBLANK($K$5),-8,0))</f>
        <v>0</v>
      </c>
      <c r="AJ41" s="217">
        <f>IF(ISBLANK($U$5),-8,0)+U22</f>
        <v>0</v>
      </c>
      <c r="AK41" s="217">
        <f>IF(ISBLANK($AE$5),-8,0)+AE22</f>
        <v>0</v>
      </c>
      <c r="AL41" s="217">
        <f t="shared" si="52"/>
        <v>0</v>
      </c>
      <c r="AM41" s="217">
        <f t="shared" si="53"/>
        <v>0</v>
      </c>
      <c r="AN41" s="217">
        <f t="shared" si="54"/>
        <v>0</v>
      </c>
      <c r="AO41" s="217">
        <f t="shared" si="55"/>
        <v>0</v>
      </c>
      <c r="AP41" s="218">
        <f>SUM(AH41:AO41)</f>
        <v>0</v>
      </c>
      <c r="AQ41" s="69"/>
      <c r="AR41" s="919">
        <f>+X82*Q82</f>
        <v>0</v>
      </c>
      <c r="AS41" s="920"/>
      <c r="AT41" s="207">
        <f t="shared" si="58"/>
        <v>6</v>
      </c>
      <c r="AU41" s="69"/>
      <c r="AV41" s="69"/>
      <c r="AW41" s="930"/>
      <c r="AX41" s="931"/>
    </row>
    <row r="42" spans="1:57" s="116" customFormat="1" ht="14.1" customHeight="1">
      <c r="A42" s="212"/>
      <c r="B42" s="91" t="str">
        <f t="shared" si="37"/>
        <v>Jairo Mirabal</v>
      </c>
      <c r="C42" s="102">
        <v>7</v>
      </c>
      <c r="D42" s="102">
        <v>16</v>
      </c>
      <c r="E42" s="102">
        <v>1</v>
      </c>
      <c r="F42" s="143">
        <f>+D42-C42-E42</f>
        <v>8</v>
      </c>
      <c r="G42" s="144"/>
      <c r="H42" s="43"/>
      <c r="I42" s="143">
        <f>+H42-G42</f>
        <v>0</v>
      </c>
      <c r="J42" s="102"/>
      <c r="K42" s="41">
        <f>+I42+F42-L42</f>
        <v>8</v>
      </c>
      <c r="L42" s="147">
        <f>IF(C42&gt;0,(F42+I42)+IF(K$27&gt;0,F42,-8),0)+IF(U$27&gt;0,I42,0)</f>
        <v>0</v>
      </c>
      <c r="M42" s="213">
        <v>7</v>
      </c>
      <c r="N42" s="201">
        <v>16</v>
      </c>
      <c r="O42" s="201">
        <v>1</v>
      </c>
      <c r="P42" s="202">
        <f>+N42-M42-O42</f>
        <v>8</v>
      </c>
      <c r="Q42" s="214"/>
      <c r="R42" s="189"/>
      <c r="S42" s="202">
        <f>+R42-Q42</f>
        <v>0</v>
      </c>
      <c r="T42" s="201"/>
      <c r="U42" s="41">
        <f>+S42+P42-V42</f>
        <v>8</v>
      </c>
      <c r="V42" s="209">
        <f>IF(M42&gt;0,(P42+S42)+IF(U$27&gt;0,P42,-8),0)+IF(AE$27&gt;0,S42,0)</f>
        <v>0</v>
      </c>
      <c r="W42" s="201">
        <v>7</v>
      </c>
      <c r="X42" s="201">
        <v>16</v>
      </c>
      <c r="Y42" s="201">
        <v>1</v>
      </c>
      <c r="Z42" s="202">
        <f>+X42-W42-Y42</f>
        <v>8</v>
      </c>
      <c r="AA42" s="201"/>
      <c r="AB42" s="219"/>
      <c r="AC42" s="202">
        <f t="shared" si="47"/>
        <v>0</v>
      </c>
      <c r="AD42" s="201"/>
      <c r="AE42" s="41">
        <f>+AC42+Z42-AF42</f>
        <v>8</v>
      </c>
      <c r="AF42" s="209">
        <f>IF(W42&gt;0,(Z42+AC42)+IF(AE$27&gt;0,0+Z42,-8),0)</f>
        <v>0</v>
      </c>
      <c r="AG42" s="69"/>
      <c r="AH42" s="216">
        <v>0</v>
      </c>
      <c r="AI42" s="217">
        <f>+K19+(IF(ISBLANK($K$5),-8,0))</f>
        <v>0</v>
      </c>
      <c r="AJ42" s="217">
        <f>IF(ISBLANK($U$5),-8,0)+U19</f>
        <v>0</v>
      </c>
      <c r="AK42" s="217">
        <f>IF(ISBLANK($AE$5),-8,0)+AE19</f>
        <v>0</v>
      </c>
      <c r="AL42" s="217">
        <f t="shared" si="52"/>
        <v>0</v>
      </c>
      <c r="AM42" s="217">
        <f t="shared" si="53"/>
        <v>0</v>
      </c>
      <c r="AN42" s="217">
        <f t="shared" si="54"/>
        <v>0</v>
      </c>
      <c r="AO42" s="217">
        <f t="shared" si="55"/>
        <v>0</v>
      </c>
      <c r="AP42" s="218">
        <f>SUM(AH42:AO42)</f>
        <v>0</v>
      </c>
      <c r="AQ42" s="69"/>
      <c r="AR42" s="928">
        <f>+X83*Q83</f>
        <v>0</v>
      </c>
      <c r="AS42" s="929"/>
      <c r="AT42" s="207">
        <f t="shared" si="58"/>
        <v>6</v>
      </c>
      <c r="AU42" s="69"/>
      <c r="AV42" s="69"/>
      <c r="AW42" s="930"/>
      <c r="AX42" s="931"/>
    </row>
    <row r="43" spans="1:57" ht="14.1" customHeight="1" thickBot="1">
      <c r="B43" s="118" t="str">
        <f t="shared" si="37"/>
        <v>Pedro Hostos S.</v>
      </c>
      <c r="C43" s="119">
        <v>7</v>
      </c>
      <c r="D43" s="119">
        <v>16</v>
      </c>
      <c r="E43" s="119">
        <v>1</v>
      </c>
      <c r="F43" s="120">
        <f t="shared" si="38"/>
        <v>8</v>
      </c>
      <c r="G43" s="121"/>
      <c r="H43" s="121"/>
      <c r="I43" s="120">
        <f t="shared" si="39"/>
        <v>0</v>
      </c>
      <c r="J43" s="119"/>
      <c r="K43" s="120">
        <f t="shared" si="40"/>
        <v>8</v>
      </c>
      <c r="L43" s="122">
        <f t="shared" si="41"/>
        <v>0</v>
      </c>
      <c r="M43" s="119">
        <v>7</v>
      </c>
      <c r="N43" s="119">
        <v>16</v>
      </c>
      <c r="O43" s="119">
        <v>1</v>
      </c>
      <c r="P43" s="120">
        <f t="shared" si="42"/>
        <v>8</v>
      </c>
      <c r="Q43" s="121"/>
      <c r="R43" s="220"/>
      <c r="S43" s="120">
        <f t="shared" si="43"/>
        <v>0</v>
      </c>
      <c r="T43" s="119"/>
      <c r="U43" s="120">
        <f t="shared" si="44"/>
        <v>8</v>
      </c>
      <c r="V43" s="122">
        <f t="shared" si="45"/>
        <v>0</v>
      </c>
      <c r="W43" s="119">
        <v>7</v>
      </c>
      <c r="X43" s="119">
        <v>16</v>
      </c>
      <c r="Y43" s="119">
        <v>1</v>
      </c>
      <c r="Z43" s="120">
        <f t="shared" si="46"/>
        <v>8</v>
      </c>
      <c r="AA43" s="121"/>
      <c r="AB43" s="121"/>
      <c r="AC43" s="120">
        <f t="shared" si="47"/>
        <v>0</v>
      </c>
      <c r="AD43" s="119"/>
      <c r="AE43" s="120">
        <f t="shared" si="48"/>
        <v>8</v>
      </c>
      <c r="AF43" s="122">
        <f t="shared" si="49"/>
        <v>0</v>
      </c>
      <c r="AG43" s="221"/>
      <c r="AH43" s="222">
        <v>0</v>
      </c>
      <c r="AI43" s="223">
        <f>+K21+(IF(ISBLANK($K$5),-8,0))</f>
        <v>0</v>
      </c>
      <c r="AJ43" s="223">
        <f>IF(ISBLANK($U$5),-8,0)+U21</f>
        <v>0</v>
      </c>
      <c r="AK43" s="223">
        <f>IF(ISBLANK($AE$5),-8,0)+AE21</f>
        <v>0</v>
      </c>
      <c r="AL43" s="223">
        <f t="shared" si="52"/>
        <v>0</v>
      </c>
      <c r="AM43" s="223">
        <f t="shared" si="53"/>
        <v>0</v>
      </c>
      <c r="AN43" s="223">
        <f t="shared" si="54"/>
        <v>0</v>
      </c>
      <c r="AO43" s="223">
        <f t="shared" si="55"/>
        <v>0</v>
      </c>
      <c r="AP43" s="224">
        <f t="shared" si="56"/>
        <v>0</v>
      </c>
      <c r="AQ43" s="69"/>
      <c r="AR43" s="932">
        <f>+X85*Q85</f>
        <v>0</v>
      </c>
      <c r="AS43" s="933"/>
      <c r="AT43" s="225">
        <f t="shared" si="58"/>
        <v>6</v>
      </c>
      <c r="AU43" s="69"/>
      <c r="AV43" s="69"/>
      <c r="AW43" s="934"/>
      <c r="AX43" s="935"/>
    </row>
    <row r="44" spans="1:57" ht="14.1" customHeight="1" thickTop="1">
      <c r="B44" s="39" t="str">
        <f t="shared" si="37"/>
        <v>Miguel Tejada Ll.</v>
      </c>
      <c r="C44" s="56">
        <v>7</v>
      </c>
      <c r="D44" s="43">
        <v>17</v>
      </c>
      <c r="E44" s="54">
        <v>1</v>
      </c>
      <c r="F44" s="53">
        <f>+D44-C44-E44</f>
        <v>9</v>
      </c>
      <c r="G44" s="43"/>
      <c r="H44" s="22"/>
      <c r="I44" s="53">
        <f>+H44-G44</f>
        <v>0</v>
      </c>
      <c r="J44" s="54"/>
      <c r="K44" s="55">
        <f>+I44+F44-L44</f>
        <v>8</v>
      </c>
      <c r="L44" s="135">
        <f t="shared" si="41"/>
        <v>1</v>
      </c>
      <c r="M44" s="56">
        <v>7</v>
      </c>
      <c r="N44" s="43">
        <v>16</v>
      </c>
      <c r="O44" s="54">
        <v>1</v>
      </c>
      <c r="P44" s="53">
        <f>+N44-M44-O44</f>
        <v>8</v>
      </c>
      <c r="Q44" s="117"/>
      <c r="R44" s="226"/>
      <c r="S44" s="53">
        <f>+R44-Q44</f>
        <v>0</v>
      </c>
      <c r="T44" s="54"/>
      <c r="U44" s="55">
        <f>+S44+P44-V44</f>
        <v>8</v>
      </c>
      <c r="V44" s="135">
        <f t="shared" si="45"/>
        <v>0</v>
      </c>
      <c r="W44" s="56">
        <v>7</v>
      </c>
      <c r="X44" s="43">
        <v>16</v>
      </c>
      <c r="Y44" s="54">
        <v>1</v>
      </c>
      <c r="Z44" s="53">
        <f>+X44-W44-Y44</f>
        <v>8</v>
      </c>
      <c r="AA44" s="43"/>
      <c r="AB44" s="64"/>
      <c r="AC44" s="53">
        <f>+AB44-AA44</f>
        <v>0</v>
      </c>
      <c r="AD44" s="54"/>
      <c r="AE44" s="55">
        <f>+AC44+Z44-AF44</f>
        <v>8</v>
      </c>
      <c r="AF44" s="135">
        <f t="shared" si="49"/>
        <v>0</v>
      </c>
      <c r="AG44" s="69"/>
      <c r="AH44" s="178">
        <v>0</v>
      </c>
      <c r="AI44" s="179">
        <f t="shared" ref="AI44:AI47" si="59">+K22+(IF(ISBLANK($K$5),-8,0))</f>
        <v>0</v>
      </c>
      <c r="AJ44" s="179">
        <f t="shared" ref="AJ44:AJ47" si="60">IF(ISBLANK($U$5),-8,0)+U22</f>
        <v>0</v>
      </c>
      <c r="AK44" s="179">
        <f t="shared" ref="AK44:AK47" si="61">IF(ISBLANK($AE$5),-8,0)+AE22</f>
        <v>0</v>
      </c>
      <c r="AL44" s="179">
        <f t="shared" si="52"/>
        <v>0</v>
      </c>
      <c r="AM44" s="179">
        <f t="shared" si="53"/>
        <v>0</v>
      </c>
      <c r="AN44" s="179">
        <f t="shared" si="54"/>
        <v>0</v>
      </c>
      <c r="AO44" s="179">
        <f t="shared" si="55"/>
        <v>0</v>
      </c>
      <c r="AP44" s="180">
        <f t="shared" si="56"/>
        <v>0</v>
      </c>
      <c r="AQ44" s="69"/>
      <c r="AR44" s="919">
        <f>+X87*Q87</f>
        <v>0</v>
      </c>
      <c r="AS44" s="920"/>
      <c r="AT44" s="227">
        <f>IF(K22+L22&gt;0,1,0)+IF(U22+V22&gt;0,1,0)+IF(AE22+AF22&gt;0,1,0)+IF(AO22&gt;3,1,0)+IF(K44+L44&gt;0,1,0)+IF(U44+V44&gt;0,1,0)+IF(AE44+AF44&gt;0,1,0)</f>
        <v>7</v>
      </c>
      <c r="AU44" s="69"/>
      <c r="AV44" s="69"/>
      <c r="AW44" s="921">
        <v>-20</v>
      </c>
      <c r="AX44" s="922"/>
    </row>
    <row r="45" spans="1:57" ht="14.1" customHeight="1">
      <c r="B45" s="39" t="str">
        <f t="shared" si="37"/>
        <v>Pier Alejos A.</v>
      </c>
      <c r="C45" s="56">
        <v>7</v>
      </c>
      <c r="D45" s="43">
        <v>23</v>
      </c>
      <c r="E45" s="54">
        <v>1</v>
      </c>
      <c r="F45" s="53">
        <f>+D45-C45-E45</f>
        <v>15</v>
      </c>
      <c r="G45" s="43"/>
      <c r="H45" s="228"/>
      <c r="I45" s="53">
        <f>+H45-G45</f>
        <v>0</v>
      </c>
      <c r="J45" s="54"/>
      <c r="K45" s="55">
        <f>+I45+F45-L45</f>
        <v>8</v>
      </c>
      <c r="L45" s="135">
        <f t="shared" si="41"/>
        <v>7</v>
      </c>
      <c r="M45" s="56">
        <v>7</v>
      </c>
      <c r="N45" s="201">
        <v>17</v>
      </c>
      <c r="O45" s="54">
        <v>1</v>
      </c>
      <c r="P45" s="53">
        <f>+N45-M45-O45</f>
        <v>9</v>
      </c>
      <c r="Q45" s="117"/>
      <c r="R45" s="226"/>
      <c r="S45" s="53">
        <f>+R45-Q45</f>
        <v>0</v>
      </c>
      <c r="T45" s="54"/>
      <c r="U45" s="55">
        <f>+S45+P45-V45</f>
        <v>8</v>
      </c>
      <c r="V45" s="135">
        <f t="shared" si="45"/>
        <v>1</v>
      </c>
      <c r="W45" s="56">
        <v>8</v>
      </c>
      <c r="X45" s="43">
        <v>16</v>
      </c>
      <c r="Y45" s="54">
        <v>1</v>
      </c>
      <c r="Z45" s="53">
        <f>+X45-W45-Y45</f>
        <v>7</v>
      </c>
      <c r="AA45" s="43"/>
      <c r="AB45" s="64"/>
      <c r="AC45" s="53">
        <f>+AB45-AA45</f>
        <v>0</v>
      </c>
      <c r="AD45" s="54"/>
      <c r="AE45" s="55">
        <f>+AC45+Z45-AF45</f>
        <v>8</v>
      </c>
      <c r="AF45" s="135">
        <f t="shared" si="49"/>
        <v>-1</v>
      </c>
      <c r="AG45" s="69"/>
      <c r="AH45" s="178">
        <v>0</v>
      </c>
      <c r="AI45" s="179">
        <f t="shared" si="59"/>
        <v>-8</v>
      </c>
      <c r="AJ45" s="179">
        <f t="shared" si="60"/>
        <v>0</v>
      </c>
      <c r="AK45" s="179">
        <f t="shared" si="61"/>
        <v>0</v>
      </c>
      <c r="AL45" s="179">
        <f t="shared" si="52"/>
        <v>0</v>
      </c>
      <c r="AM45" s="179">
        <f t="shared" si="53"/>
        <v>0</v>
      </c>
      <c r="AN45" s="179">
        <f t="shared" si="54"/>
        <v>0</v>
      </c>
      <c r="AO45" s="179">
        <f t="shared" si="55"/>
        <v>0</v>
      </c>
      <c r="AP45" s="180">
        <f t="shared" si="56"/>
        <v>-8</v>
      </c>
      <c r="AQ45" s="69"/>
      <c r="AR45" s="919">
        <f>+X88*Q88</f>
        <v>0</v>
      </c>
      <c r="AS45" s="920"/>
      <c r="AT45" s="230">
        <f>IF(K23+L23&gt;0,1,0)+IF(U23+V23&gt;0,1,0)+IF(AE23+AF23&gt;0,1,0)+IF(AO23&gt;3,1,0)+IF(K45+L45&gt;0,1,0)+IF(U45+V45&gt;0,1,0)+IF(AE45+AF45&gt;0,1,0)</f>
        <v>5</v>
      </c>
      <c r="AU45" s="69"/>
      <c r="AV45" s="69"/>
      <c r="AW45" s="921"/>
      <c r="AX45" s="922"/>
    </row>
    <row r="46" spans="1:57" s="116" customFormat="1" ht="14.1" customHeight="1">
      <c r="A46" s="212"/>
      <c r="B46" s="142" t="str">
        <f t="shared" si="37"/>
        <v>Angel Colina N.</v>
      </c>
      <c r="C46" s="102">
        <v>7</v>
      </c>
      <c r="D46" s="102">
        <v>16</v>
      </c>
      <c r="E46" s="102">
        <v>1</v>
      </c>
      <c r="F46" s="143">
        <f>+D46-C46-E46</f>
        <v>8</v>
      </c>
      <c r="G46" s="144"/>
      <c r="H46" s="144"/>
      <c r="I46" s="143">
        <f>+H46-G46</f>
        <v>0</v>
      </c>
      <c r="J46" s="102"/>
      <c r="K46" s="41">
        <f>+I46+F46-L46</f>
        <v>8</v>
      </c>
      <c r="L46" s="147">
        <f t="shared" si="41"/>
        <v>0</v>
      </c>
      <c r="M46" s="201">
        <v>7</v>
      </c>
      <c r="N46" s="201">
        <v>16</v>
      </c>
      <c r="O46" s="201">
        <v>1</v>
      </c>
      <c r="P46" s="202">
        <f>+N46-M46-O46</f>
        <v>8</v>
      </c>
      <c r="Q46" s="214"/>
      <c r="R46" s="189"/>
      <c r="S46" s="202">
        <f>+R46-Q46</f>
        <v>0</v>
      </c>
      <c r="T46" s="201"/>
      <c r="U46" s="41">
        <f>+S46+P46-V46</f>
        <v>8</v>
      </c>
      <c r="V46" s="209">
        <f t="shared" si="45"/>
        <v>0</v>
      </c>
      <c r="W46" s="201">
        <v>7</v>
      </c>
      <c r="X46" s="201">
        <v>16</v>
      </c>
      <c r="Y46" s="201">
        <v>1</v>
      </c>
      <c r="Z46" s="202">
        <f>+X46-W46-Y46</f>
        <v>8</v>
      </c>
      <c r="AA46" s="201"/>
      <c r="AB46" s="219"/>
      <c r="AC46" s="202">
        <f>+AB46-AA46</f>
        <v>0</v>
      </c>
      <c r="AD46" s="201"/>
      <c r="AE46" s="41">
        <f>+AC46+Z46-AF46</f>
        <v>8</v>
      </c>
      <c r="AF46" s="209">
        <f t="shared" si="49"/>
        <v>0</v>
      </c>
      <c r="AG46" s="69"/>
      <c r="AH46" s="216">
        <v>0</v>
      </c>
      <c r="AI46" s="217">
        <f t="shared" si="59"/>
        <v>0</v>
      </c>
      <c r="AJ46" s="217">
        <f t="shared" si="60"/>
        <v>0</v>
      </c>
      <c r="AK46" s="217">
        <f t="shared" si="61"/>
        <v>0</v>
      </c>
      <c r="AL46" s="217">
        <f t="shared" si="52"/>
        <v>0</v>
      </c>
      <c r="AM46" s="217">
        <f t="shared" si="53"/>
        <v>0</v>
      </c>
      <c r="AN46" s="217">
        <f t="shared" si="54"/>
        <v>0</v>
      </c>
      <c r="AO46" s="217">
        <f t="shared" si="55"/>
        <v>0</v>
      </c>
      <c r="AP46" s="218">
        <f t="shared" si="56"/>
        <v>0</v>
      </c>
      <c r="AQ46" s="69"/>
      <c r="AR46" s="928">
        <f t="shared" ref="AR46:AR47" si="62">+X88*Q88</f>
        <v>0</v>
      </c>
      <c r="AS46" s="929"/>
      <c r="AT46" s="207">
        <f>IF(K24+L24&gt;0,1,0)+IF(U24+V24&gt;0,1,0)+IF(AE24+AF24&gt;0,1,0)+IF(AO24&gt;3,1,0)+IF(K46+L46&gt;0,1,0)+IF(U46+V46&gt;0,1,0)+IF(AE46+AF46&gt;0,1,0)</f>
        <v>7</v>
      </c>
      <c r="AU46" s="69"/>
      <c r="AV46" s="69"/>
      <c r="AW46" s="930">
        <v>-20</v>
      </c>
      <c r="AX46" s="931"/>
    </row>
    <row r="47" spans="1:57" ht="14.1" customHeight="1" thickBot="1">
      <c r="B47" s="152" t="str">
        <f t="shared" si="37"/>
        <v>Jose Lares P.</v>
      </c>
      <c r="C47" s="231">
        <v>7</v>
      </c>
      <c r="D47" s="232">
        <v>12</v>
      </c>
      <c r="E47" s="233">
        <v>0</v>
      </c>
      <c r="F47" s="234">
        <f t="shared" si="38"/>
        <v>5</v>
      </c>
      <c r="G47" s="232"/>
      <c r="H47" s="232"/>
      <c r="I47" s="234">
        <f t="shared" si="39"/>
        <v>0</v>
      </c>
      <c r="J47" s="233"/>
      <c r="K47" s="235">
        <f t="shared" si="40"/>
        <v>8</v>
      </c>
      <c r="L47" s="236">
        <f t="shared" si="41"/>
        <v>-3</v>
      </c>
      <c r="M47" s="232">
        <v>7</v>
      </c>
      <c r="N47" s="232">
        <v>17</v>
      </c>
      <c r="O47" s="233">
        <v>1</v>
      </c>
      <c r="P47" s="234">
        <f t="shared" si="42"/>
        <v>9</v>
      </c>
      <c r="Q47" s="237"/>
      <c r="R47" s="238"/>
      <c r="S47" s="234">
        <f t="shared" si="43"/>
        <v>0</v>
      </c>
      <c r="T47" s="233"/>
      <c r="U47" s="235">
        <f t="shared" si="44"/>
        <v>8</v>
      </c>
      <c r="V47" s="236">
        <f t="shared" si="45"/>
        <v>1</v>
      </c>
      <c r="W47" s="231">
        <v>7</v>
      </c>
      <c r="X47" s="232">
        <v>17</v>
      </c>
      <c r="Y47" s="233">
        <v>1</v>
      </c>
      <c r="Z47" s="234">
        <f t="shared" si="46"/>
        <v>9</v>
      </c>
      <c r="AA47" s="232"/>
      <c r="AB47" s="232"/>
      <c r="AC47" s="234">
        <f t="shared" si="47"/>
        <v>0</v>
      </c>
      <c r="AD47" s="233"/>
      <c r="AE47" s="235">
        <f t="shared" si="48"/>
        <v>8</v>
      </c>
      <c r="AF47" s="236">
        <f t="shared" si="49"/>
        <v>1</v>
      </c>
      <c r="AG47" s="69"/>
      <c r="AH47" s="178">
        <v>0</v>
      </c>
      <c r="AI47" s="179">
        <f t="shared" si="59"/>
        <v>0</v>
      </c>
      <c r="AJ47" s="179">
        <f t="shared" si="60"/>
        <v>0</v>
      </c>
      <c r="AK47" s="179">
        <f t="shared" si="61"/>
        <v>0</v>
      </c>
      <c r="AL47" s="179">
        <f t="shared" si="52"/>
        <v>0</v>
      </c>
      <c r="AM47" s="179">
        <f t="shared" si="53"/>
        <v>0</v>
      </c>
      <c r="AN47" s="179">
        <f t="shared" si="54"/>
        <v>0</v>
      </c>
      <c r="AO47" s="179">
        <f t="shared" si="55"/>
        <v>0</v>
      </c>
      <c r="AP47" s="180">
        <f t="shared" si="56"/>
        <v>0</v>
      </c>
      <c r="AQ47" s="69"/>
      <c r="AR47" s="919">
        <f t="shared" si="62"/>
        <v>0</v>
      </c>
      <c r="AS47" s="920"/>
      <c r="AT47" s="187">
        <f>IF(K25+L25&gt;0,1,0)+IF(U25+V25&gt;0,1,0)+IF(AE25+AF25&gt;0,1,0)+IF(AO25&gt;3,1,0)+IF(K47+L47&gt;0,1,0)+IF(U47+V47&gt;0,1,0)+IF(AE47+AF47&gt;0,1,0)</f>
        <v>6</v>
      </c>
      <c r="AU47" s="69"/>
      <c r="AV47" s="69"/>
      <c r="AW47" s="921"/>
      <c r="AX47" s="922"/>
    </row>
    <row r="48" spans="1:57" ht="14.1" customHeight="1">
      <c r="B48" s="239"/>
      <c r="C48" s="240"/>
      <c r="O48" s="241"/>
      <c r="P48" s="242"/>
      <c r="Q48" s="243"/>
      <c r="R48" s="243"/>
      <c r="S48" s="242"/>
      <c r="T48" s="241"/>
      <c r="U48" s="244"/>
      <c r="V48" s="245"/>
      <c r="W48" s="69"/>
      <c r="X48" s="246"/>
      <c r="Y48" s="247"/>
      <c r="Z48" s="248"/>
      <c r="AA48" s="249"/>
      <c r="AH48" s="250"/>
      <c r="AP48" s="250"/>
      <c r="AR48" s="936">
        <f>SUM(AP11:AQ25)</f>
        <v>127</v>
      </c>
      <c r="AS48" s="937"/>
      <c r="AT48" s="251">
        <f>SUM(AT33:AT47)</f>
        <v>74</v>
      </c>
    </row>
    <row r="49" spans="1:58" ht="10.15" customHeight="1">
      <c r="B49" s="239"/>
      <c r="O49" s="241"/>
      <c r="P49" s="242"/>
      <c r="Q49" s="243"/>
      <c r="R49" s="243"/>
      <c r="S49" s="242"/>
      <c r="T49" s="241"/>
      <c r="U49" s="244"/>
      <c r="V49" s="244"/>
      <c r="W49" s="69"/>
      <c r="X49" s="246"/>
      <c r="Y49" s="247"/>
      <c r="Z49" s="248"/>
      <c r="AA49" s="249"/>
      <c r="AW49" s="938">
        <f>SUM(AW33:AX47)*-1</f>
        <v>60</v>
      </c>
      <c r="AX49" s="939"/>
    </row>
    <row r="50" spans="1:58" ht="14.1" customHeight="1">
      <c r="C50" s="240" t="s">
        <v>25</v>
      </c>
      <c r="E50" s="252"/>
      <c r="O50" s="241"/>
      <c r="P50" s="242"/>
      <c r="Q50" s="243"/>
      <c r="R50" s="243"/>
      <c r="S50" s="242"/>
      <c r="T50" s="241"/>
      <c r="U50" s="244"/>
      <c r="V50" s="244"/>
      <c r="W50" s="69"/>
      <c r="X50" s="246"/>
      <c r="Y50" s="247"/>
      <c r="Z50" s="248"/>
      <c r="AA50" s="249"/>
      <c r="AC50" s="253" t="s">
        <v>26</v>
      </c>
      <c r="AD50" s="254"/>
      <c r="AE50" s="254"/>
      <c r="AF50" s="254"/>
      <c r="AG50" s="254"/>
      <c r="AH50" s="254"/>
      <c r="AI50" s="254"/>
      <c r="AJ50" s="254"/>
      <c r="AK50" s="254"/>
      <c r="AL50" s="254"/>
      <c r="AM50" s="253" t="s">
        <v>27</v>
      </c>
      <c r="AO50" s="255"/>
      <c r="AW50" s="940"/>
      <c r="AX50" s="941"/>
    </row>
    <row r="51" spans="1:58" ht="14.1" customHeight="1">
      <c r="C51" s="240"/>
      <c r="D51" s="256"/>
      <c r="E51" s="252"/>
      <c r="O51" s="241"/>
      <c r="P51" s="242"/>
      <c r="Q51" s="243"/>
      <c r="R51" s="243"/>
      <c r="S51" s="242"/>
      <c r="T51" s="241"/>
      <c r="U51" s="244"/>
      <c r="V51" s="244"/>
      <c r="W51" s="69"/>
      <c r="X51" s="246"/>
      <c r="Y51" s="247"/>
      <c r="Z51" s="248"/>
      <c r="AA51" s="249"/>
      <c r="AC51" s="253"/>
      <c r="AD51" s="254"/>
      <c r="AE51" s="254"/>
      <c r="AF51" s="254"/>
      <c r="AG51" s="254"/>
      <c r="AH51" s="254"/>
      <c r="AI51" s="254"/>
      <c r="AJ51" s="254"/>
      <c r="AK51" s="254"/>
      <c r="AL51" s="254"/>
      <c r="AM51" s="253"/>
      <c r="AO51" s="255"/>
      <c r="AW51" s="257"/>
      <c r="AX51" s="257"/>
    </row>
    <row r="52" spans="1:58" ht="14.1" customHeight="1">
      <c r="D52" s="258">
        <v>915</v>
      </c>
      <c r="E52" s="259">
        <v>1545</v>
      </c>
      <c r="F52" s="260"/>
      <c r="G52" s="258"/>
      <c r="H52" s="258"/>
      <c r="I52" s="260"/>
      <c r="J52" s="258"/>
      <c r="K52" s="261"/>
      <c r="L52" s="261"/>
      <c r="M52" s="258">
        <v>847</v>
      </c>
      <c r="N52" s="258">
        <v>1520</v>
      </c>
      <c r="O52" s="262"/>
      <c r="P52" s="263"/>
      <c r="Q52" s="264"/>
      <c r="R52" s="264"/>
      <c r="S52" s="263"/>
      <c r="T52" s="262"/>
      <c r="U52" s="265"/>
      <c r="V52" s="265"/>
      <c r="W52" s="266">
        <v>720</v>
      </c>
      <c r="X52" s="266">
        <v>1615</v>
      </c>
      <c r="Y52" s="247"/>
      <c r="Z52" s="248"/>
      <c r="AA52" s="249"/>
      <c r="AC52" s="253"/>
      <c r="AD52" s="254"/>
      <c r="AE52" s="254"/>
      <c r="AF52" s="254"/>
      <c r="AG52" s="254"/>
      <c r="AH52" s="254"/>
      <c r="AI52" s="254"/>
      <c r="AJ52" s="254"/>
      <c r="AK52" s="254"/>
      <c r="AL52" s="254"/>
      <c r="AM52" s="253"/>
      <c r="AO52" s="255"/>
      <c r="AW52" s="257"/>
      <c r="AX52" s="257"/>
    </row>
    <row r="53" spans="1:58" ht="14.1" customHeight="1">
      <c r="O53" s="241"/>
      <c r="P53" s="242"/>
      <c r="Q53" s="243"/>
      <c r="R53" s="243"/>
      <c r="S53" s="242"/>
      <c r="T53" s="241"/>
      <c r="U53" s="244"/>
      <c r="V53" s="244"/>
      <c r="W53" s="69"/>
      <c r="X53" s="246"/>
      <c r="Y53" s="247"/>
      <c r="Z53" s="248"/>
      <c r="AA53" s="249"/>
      <c r="AC53" s="253"/>
      <c r="AD53" s="254"/>
      <c r="AE53" s="254"/>
      <c r="AF53" s="254"/>
      <c r="AG53" s="254"/>
      <c r="AH53" s="254"/>
      <c r="AI53" s="254"/>
      <c r="AJ53" s="254"/>
      <c r="AK53" s="254"/>
      <c r="AL53" s="254"/>
      <c r="AM53" s="253"/>
      <c r="AO53" s="255"/>
      <c r="AW53" s="257"/>
      <c r="AX53" s="257"/>
    </row>
    <row r="54" spans="1:58" ht="14.1" customHeight="1">
      <c r="O54" s="241"/>
      <c r="P54" s="242"/>
      <c r="Q54" s="243"/>
      <c r="R54" s="243"/>
      <c r="S54" s="242"/>
      <c r="T54" s="241"/>
      <c r="U54" s="244"/>
      <c r="V54" s="244"/>
      <c r="W54" s="69"/>
      <c r="X54" s="246"/>
      <c r="Y54" s="247"/>
      <c r="Z54" s="248"/>
      <c r="AA54" s="249"/>
      <c r="AC54" s="253"/>
      <c r="AD54" s="254"/>
      <c r="AE54" s="254"/>
      <c r="AF54" s="254"/>
      <c r="AG54" s="254"/>
      <c r="AH54" s="254"/>
      <c r="AI54" s="254"/>
      <c r="AJ54" s="254"/>
      <c r="AK54" s="254"/>
      <c r="AL54" s="254"/>
      <c r="AM54" s="253"/>
      <c r="AO54" s="255"/>
      <c r="AW54" s="257"/>
      <c r="AX54" s="257"/>
    </row>
    <row r="55" spans="1:58" ht="14.1" customHeight="1" thickBot="1">
      <c r="O55" s="241"/>
      <c r="P55" s="242"/>
      <c r="Q55" s="243"/>
      <c r="R55" s="243"/>
      <c r="S55" s="242"/>
      <c r="T55" s="241"/>
      <c r="U55" s="244"/>
      <c r="V55" s="244"/>
      <c r="W55" s="69"/>
      <c r="X55" s="246"/>
      <c r="Y55" s="247"/>
      <c r="Z55" s="248"/>
      <c r="AA55" s="249"/>
      <c r="AC55" s="253"/>
      <c r="AD55" s="254"/>
      <c r="AE55" s="254"/>
      <c r="AF55" s="254"/>
      <c r="AG55" s="254"/>
      <c r="AH55" s="254"/>
      <c r="AI55" s="254"/>
      <c r="AJ55" s="254"/>
      <c r="AK55" s="254"/>
      <c r="AL55" s="254"/>
      <c r="AM55" s="253"/>
      <c r="AO55" s="255"/>
      <c r="AW55" s="257"/>
      <c r="AX55" s="257"/>
    </row>
    <row r="56" spans="1:58" ht="6.95" customHeight="1">
      <c r="C56" s="955">
        <f>+C5</f>
        <v>43832</v>
      </c>
      <c r="D56" s="744"/>
      <c r="E56" s="744"/>
      <c r="F56" s="744"/>
      <c r="G56" s="744"/>
      <c r="H56" s="744"/>
      <c r="I56" s="744"/>
      <c r="J56" s="744"/>
      <c r="K56" s="971"/>
      <c r="L56" s="972"/>
      <c r="M56" s="744">
        <f>1+C56</f>
        <v>43833</v>
      </c>
      <c r="N56" s="744"/>
      <c r="O56" s="744"/>
      <c r="P56" s="744"/>
      <c r="Q56" s="744"/>
      <c r="R56" s="744"/>
      <c r="S56" s="744"/>
      <c r="T56" s="744"/>
      <c r="U56" s="967"/>
      <c r="V56" s="968"/>
      <c r="W56" s="975">
        <f>1+M56</f>
        <v>43834</v>
      </c>
      <c r="X56" s="976"/>
      <c r="Y56" s="976"/>
      <c r="Z56" s="976"/>
      <c r="AA56" s="976"/>
      <c r="AB56" s="976"/>
      <c r="AC56" s="976"/>
      <c r="AD56" s="976"/>
      <c r="AE56" s="979"/>
      <c r="AF56" s="980"/>
      <c r="AG56" s="948">
        <f>1+W56</f>
        <v>43835</v>
      </c>
      <c r="AH56" s="949"/>
      <c r="AI56" s="949"/>
      <c r="AJ56" s="949"/>
      <c r="AK56" s="949"/>
      <c r="AL56" s="949"/>
      <c r="AM56" s="949"/>
      <c r="AN56" s="949"/>
      <c r="AO56" s="791" t="s">
        <v>2</v>
      </c>
      <c r="AW56" s="257"/>
      <c r="AX56" s="257"/>
    </row>
    <row r="57" spans="1:58" s="267" customFormat="1" ht="6.95" customHeight="1" thickBot="1">
      <c r="A57" s="1"/>
      <c r="C57" s="956"/>
      <c r="D57" s="745"/>
      <c r="E57" s="745"/>
      <c r="F57" s="745"/>
      <c r="G57" s="745"/>
      <c r="H57" s="745"/>
      <c r="I57" s="745"/>
      <c r="J57" s="745"/>
      <c r="K57" s="973"/>
      <c r="L57" s="974"/>
      <c r="M57" s="745"/>
      <c r="N57" s="745"/>
      <c r="O57" s="745"/>
      <c r="P57" s="745"/>
      <c r="Q57" s="745"/>
      <c r="R57" s="745"/>
      <c r="S57" s="745"/>
      <c r="T57" s="745"/>
      <c r="U57" s="969"/>
      <c r="V57" s="970"/>
      <c r="W57" s="977"/>
      <c r="X57" s="978"/>
      <c r="Y57" s="978"/>
      <c r="Z57" s="978"/>
      <c r="AA57" s="978"/>
      <c r="AB57" s="978"/>
      <c r="AC57" s="978"/>
      <c r="AD57" s="978"/>
      <c r="AE57" s="981"/>
      <c r="AF57" s="982"/>
      <c r="AG57" s="950"/>
      <c r="AH57" s="951"/>
      <c r="AI57" s="951"/>
      <c r="AJ57" s="951"/>
      <c r="AK57" s="951"/>
      <c r="AL57" s="951"/>
      <c r="AM57" s="951"/>
      <c r="AN57" s="951"/>
      <c r="AO57" s="792"/>
      <c r="AW57" s="257"/>
      <c r="AX57" s="257"/>
    </row>
    <row r="58" spans="1:58" ht="14.1" customHeight="1" thickBot="1">
      <c r="B58" s="268" t="str">
        <f>+B90</f>
        <v>CEQR</v>
      </c>
      <c r="C58" s="231"/>
      <c r="D58" s="232"/>
      <c r="E58" s="233"/>
      <c r="F58" s="234">
        <f>+D58-C58-E58</f>
        <v>0</v>
      </c>
      <c r="G58" s="232"/>
      <c r="H58" s="232"/>
      <c r="I58" s="234">
        <f>+H58-G58</f>
        <v>0</v>
      </c>
      <c r="J58" s="233"/>
      <c r="K58" s="235">
        <f>+I58+F58-L58</f>
        <v>0</v>
      </c>
      <c r="L58" s="269">
        <f>IF(C58&gt;0,(F58+I58)+IF(K$5&gt;0,0+F58,-8),0)</f>
        <v>0</v>
      </c>
      <c r="M58" s="270"/>
      <c r="N58" s="232"/>
      <c r="O58" s="233"/>
      <c r="P58" s="234">
        <f>+N58-M58-O58</f>
        <v>0</v>
      </c>
      <c r="Q58" s="271"/>
      <c r="R58" s="160"/>
      <c r="S58" s="234">
        <f>+R58-Q58</f>
        <v>0</v>
      </c>
      <c r="T58" s="233"/>
      <c r="U58" s="235">
        <f>+S58+P58-V58</f>
        <v>0</v>
      </c>
      <c r="V58" s="269">
        <f>IF(M58&gt;0,(P58+S58)+IF(U$5&gt;0,0+P58,-8),0)</f>
        <v>0</v>
      </c>
      <c r="W58" s="232"/>
      <c r="X58" s="232"/>
      <c r="Y58" s="233"/>
      <c r="Z58" s="234">
        <f>+X58-W58-Y58</f>
        <v>0</v>
      </c>
      <c r="AA58" s="232"/>
      <c r="AB58" s="272"/>
      <c r="AC58" s="234">
        <f>+AB58-AA58</f>
        <v>0</v>
      </c>
      <c r="AD58" s="233"/>
      <c r="AE58" s="235">
        <f>+AC58+Z58-IF(AE$5&gt;0,AF58/2,AF58)</f>
        <v>0</v>
      </c>
      <c r="AF58" s="269">
        <f>IF(W58&gt;0,IF(AE$5&gt;0,(Z58+AC58)*2,(Z58+AC58-8)),0)*IF(Z58&lt;9,IF(AE$5&gt;0,1,2),1)+IF(Z58&gt;8,AC58,0)</f>
        <v>0</v>
      </c>
      <c r="AG58" s="273"/>
      <c r="AH58" s="273"/>
      <c r="AI58" s="274"/>
      <c r="AJ58" s="275">
        <f>+AH58-AG58-AI58</f>
        <v>0</v>
      </c>
      <c r="AK58" s="276"/>
      <c r="AL58" s="276"/>
      <c r="AM58" s="277">
        <f>+AL58-AK58</f>
        <v>0</v>
      </c>
      <c r="AN58" s="274">
        <v>-3</v>
      </c>
      <c r="AO58" s="278">
        <f>(AJ58*2+AM58)</f>
        <v>0</v>
      </c>
      <c r="AP58" s="952">
        <f>+L58+V58+AF58+AO58+L62+V62+AF62-AN58</f>
        <v>3</v>
      </c>
      <c r="AQ58" s="953"/>
      <c r="AR58" s="954">
        <f>ROUND(BD58*AP58,1)</f>
        <v>29.4</v>
      </c>
      <c r="AS58" s="954"/>
      <c r="AT58" s="279">
        <f>IF(AT62&gt;0,AT62*$AT$10,0)</f>
        <v>0</v>
      </c>
      <c r="AU58" s="69"/>
      <c r="AV58" s="100">
        <f>+L58</f>
        <v>0</v>
      </c>
      <c r="AW58" s="100">
        <f>+V58</f>
        <v>0</v>
      </c>
      <c r="AX58" s="100">
        <f>+AF58</f>
        <v>0</v>
      </c>
      <c r="AY58" s="101">
        <f>+AO58</f>
        <v>0</v>
      </c>
      <c r="AZ58" s="100">
        <f>+L62</f>
        <v>0</v>
      </c>
      <c r="BA58" s="100">
        <f>+V62</f>
        <v>0</v>
      </c>
      <c r="BB58" s="100">
        <f>+AF62</f>
        <v>0</v>
      </c>
      <c r="BC58" s="66"/>
      <c r="BD58" s="36">
        <f>+I90</f>
        <v>9.7916660714285708</v>
      </c>
      <c r="BE58" s="67">
        <f>+BD58*AP58</f>
        <v>29.374998214285711</v>
      </c>
      <c r="BF58" s="68">
        <f>+BD58*AY58</f>
        <v>0</v>
      </c>
    </row>
    <row r="59" spans="1:58" ht="14.1" customHeight="1" thickBot="1">
      <c r="C59" s="280"/>
      <c r="D59" s="280"/>
      <c r="E59" s="281"/>
      <c r="F59" s="282"/>
      <c r="G59" s="280"/>
      <c r="H59" s="280"/>
      <c r="I59" s="282"/>
      <c r="J59" s="281"/>
      <c r="K59" s="283"/>
      <c r="L59" s="284"/>
      <c r="M59" s="280"/>
      <c r="N59" s="280"/>
      <c r="O59" s="281"/>
      <c r="P59" s="282"/>
      <c r="Q59" s="285"/>
      <c r="R59" s="286"/>
      <c r="S59" s="282"/>
      <c r="T59" s="281"/>
      <c r="U59" s="283"/>
      <c r="V59" s="284"/>
      <c r="W59" s="280"/>
      <c r="X59" s="280"/>
      <c r="Y59" s="281"/>
      <c r="Z59" s="282"/>
      <c r="AA59" s="280"/>
      <c r="AB59" s="287"/>
      <c r="AC59" s="282"/>
      <c r="AD59" s="281"/>
      <c r="AE59" s="283"/>
      <c r="AF59" s="284"/>
      <c r="AG59" s="243"/>
      <c r="AH59" s="243"/>
      <c r="AI59" s="241"/>
      <c r="AJ59" s="288"/>
      <c r="AK59" s="289"/>
      <c r="AL59" s="289"/>
      <c r="AM59" s="242"/>
      <c r="AN59" s="241"/>
      <c r="AO59" s="244"/>
      <c r="AP59" s="243"/>
      <c r="AQ59" s="243"/>
      <c r="AR59" s="290"/>
      <c r="AS59" s="290"/>
      <c r="AT59" s="291"/>
      <c r="AU59" s="69"/>
      <c r="AV59" s="66"/>
      <c r="AW59" s="66"/>
      <c r="AX59" s="66"/>
      <c r="AY59" s="292"/>
      <c r="AZ59" s="66"/>
      <c r="BA59" s="66"/>
      <c r="BB59" s="66"/>
      <c r="BC59" s="66"/>
      <c r="BD59" s="293"/>
      <c r="BE59" s="294"/>
      <c r="BF59" s="295"/>
    </row>
    <row r="60" spans="1:58" ht="6.95" customHeight="1">
      <c r="C60" s="955">
        <f>+C27</f>
        <v>43836</v>
      </c>
      <c r="D60" s="744"/>
      <c r="E60" s="744"/>
      <c r="F60" s="744"/>
      <c r="G60" s="744"/>
      <c r="H60" s="744"/>
      <c r="I60" s="744"/>
      <c r="J60" s="744"/>
      <c r="K60" s="957"/>
      <c r="L60" s="958"/>
      <c r="M60" s="961">
        <f>1+C60</f>
        <v>43837</v>
      </c>
      <c r="N60" s="962"/>
      <c r="O60" s="962"/>
      <c r="P60" s="962"/>
      <c r="Q60" s="962"/>
      <c r="R60" s="962"/>
      <c r="S60" s="962"/>
      <c r="T60" s="963"/>
      <c r="U60" s="967"/>
      <c r="V60" s="968"/>
      <c r="W60" s="744">
        <f>1+M60</f>
        <v>43838</v>
      </c>
      <c r="X60" s="744"/>
      <c r="Y60" s="744"/>
      <c r="Z60" s="744"/>
      <c r="AA60" s="744"/>
      <c r="AB60" s="744"/>
      <c r="AC60" s="744"/>
      <c r="AD60" s="744"/>
      <c r="AE60" s="967"/>
      <c r="AF60" s="968"/>
      <c r="AG60" s="254"/>
      <c r="AH60" s="254"/>
      <c r="AI60" s="254"/>
      <c r="AJ60" s="254"/>
      <c r="AK60" s="254"/>
      <c r="AL60" s="254"/>
      <c r="AM60" s="253"/>
      <c r="AO60" s="255"/>
      <c r="AW60" s="257"/>
      <c r="AX60" s="257"/>
    </row>
    <row r="61" spans="1:58" s="267" customFormat="1" ht="6.95" customHeight="1" thickBot="1">
      <c r="A61" s="1"/>
      <c r="C61" s="956"/>
      <c r="D61" s="745"/>
      <c r="E61" s="745"/>
      <c r="F61" s="745"/>
      <c r="G61" s="745"/>
      <c r="H61" s="745"/>
      <c r="I61" s="745"/>
      <c r="J61" s="745"/>
      <c r="K61" s="959"/>
      <c r="L61" s="960"/>
      <c r="M61" s="964"/>
      <c r="N61" s="965"/>
      <c r="O61" s="965"/>
      <c r="P61" s="965"/>
      <c r="Q61" s="965"/>
      <c r="R61" s="965"/>
      <c r="S61" s="965"/>
      <c r="T61" s="966"/>
      <c r="U61" s="969"/>
      <c r="V61" s="970"/>
      <c r="W61" s="745"/>
      <c r="X61" s="745"/>
      <c r="Y61" s="745"/>
      <c r="Z61" s="745"/>
      <c r="AA61" s="745"/>
      <c r="AB61" s="745"/>
      <c r="AC61" s="745"/>
      <c r="AD61" s="745"/>
      <c r="AE61" s="969"/>
      <c r="AF61" s="970"/>
      <c r="AG61" s="296"/>
      <c r="AH61" s="296"/>
      <c r="AI61" s="296"/>
      <c r="AJ61" s="296"/>
      <c r="AK61" s="296"/>
      <c r="AL61" s="296"/>
      <c r="AM61" s="297"/>
      <c r="AO61" s="298"/>
      <c r="AW61" s="257"/>
      <c r="AX61" s="257"/>
    </row>
    <row r="62" spans="1:58" ht="14.1" customHeight="1" thickBot="1">
      <c r="B62" s="268" t="str">
        <f>+B58</f>
        <v>CEQR</v>
      </c>
      <c r="C62" s="231"/>
      <c r="D62" s="232"/>
      <c r="E62" s="233"/>
      <c r="F62" s="234">
        <f>+D62-C62-E62</f>
        <v>0</v>
      </c>
      <c r="G62" s="271"/>
      <c r="H62" s="160"/>
      <c r="I62" s="234">
        <f>+H62-G62</f>
        <v>0</v>
      </c>
      <c r="J62" s="233"/>
      <c r="K62" s="235">
        <f>+I62+F62-L62</f>
        <v>0</v>
      </c>
      <c r="L62" s="269">
        <f>IF(C62&gt;0,(F62+I62)+IF(K$27&gt;0,0+F62,-8),0)</f>
        <v>0</v>
      </c>
      <c r="M62" s="276"/>
      <c r="N62" s="276"/>
      <c r="O62" s="274"/>
      <c r="P62" s="277">
        <f>+N62-M62-O62</f>
        <v>0</v>
      </c>
      <c r="Q62" s="273"/>
      <c r="R62" s="276"/>
      <c r="S62" s="234">
        <f>+R62-Q62</f>
        <v>0</v>
      </c>
      <c r="T62" s="274"/>
      <c r="U62" s="299">
        <f>+S62+P62-V62</f>
        <v>0</v>
      </c>
      <c r="V62" s="300">
        <f>IF(M62&gt;0,(P62+S62)+IF(U$27&gt;0,0+P62,-8),0)</f>
        <v>0</v>
      </c>
      <c r="W62" s="301"/>
      <c r="X62" s="276"/>
      <c r="Y62" s="274"/>
      <c r="Z62" s="277">
        <f>+X62-W62-Y62</f>
        <v>0</v>
      </c>
      <c r="AA62" s="276"/>
      <c r="AB62" s="276"/>
      <c r="AC62" s="234">
        <f>+AB62-AA62</f>
        <v>0</v>
      </c>
      <c r="AD62" s="274"/>
      <c r="AE62" s="299">
        <f>+AC62+Z62-AF62</f>
        <v>0</v>
      </c>
      <c r="AF62" s="236">
        <f>IF(W62&gt;0,(Z62+AC62)+IF(AE$27&gt;0,0+Z62,-8),0)</f>
        <v>0</v>
      </c>
      <c r="AG62" s="69"/>
      <c r="AH62" s="302">
        <v>0</v>
      </c>
      <c r="AI62" s="303">
        <f>+K58+(IF(ISBLANK($K$56),-8,0))</f>
        <v>-8</v>
      </c>
      <c r="AJ62" s="303">
        <f>IF(ISBLANK($U$56),-8,0)+U58</f>
        <v>-8</v>
      </c>
      <c r="AK62" s="304">
        <f>IF(ISBLANK($AE$56),-8,0)+AE58</f>
        <v>-8</v>
      </c>
      <c r="AL62" s="303">
        <f>IF(ISBLANK($AO$56),-8,0)+AM58+AW62</f>
        <v>0</v>
      </c>
      <c r="AM62" s="303">
        <f>IF(ISBLANK($K$60),-8,0)+K62</f>
        <v>-8</v>
      </c>
      <c r="AN62" s="303">
        <f>IF(ISBLANK($U$60),-8,0)+U62</f>
        <v>-8</v>
      </c>
      <c r="AO62" s="303">
        <f>IF(ISBLANK($AE$60),-8,0)+AE62</f>
        <v>-8</v>
      </c>
      <c r="AP62" s="305">
        <f>SUM(AH62:AO62)</f>
        <v>-48</v>
      </c>
      <c r="AQ62" s="306"/>
      <c r="AR62" s="994">
        <f>+X90*Q90</f>
        <v>0</v>
      </c>
      <c r="AS62" s="995"/>
      <c r="AT62" s="307">
        <f>IF(K35+L35&gt;0,1,0)+IF(U35+V35&gt;0,1,0)+IF(AE35+AF35&gt;0,1,0)+IF(AO35&gt;3,1,0)+IF(K62+L62&gt;0,1,0)+IF(U62+V62&gt;0,1,0)+IF(AE62+AF62&gt;0,1,0)</f>
        <v>0</v>
      </c>
      <c r="AU62" s="69"/>
      <c r="AV62" s="69"/>
      <c r="AW62" s="921"/>
      <c r="AX62" s="922"/>
    </row>
    <row r="63" spans="1:58" ht="14.1" customHeight="1">
      <c r="O63" s="241"/>
      <c r="P63" s="242"/>
      <c r="Q63" s="243"/>
      <c r="R63" s="243"/>
      <c r="S63" s="242"/>
      <c r="T63" s="241"/>
      <c r="U63" s="244"/>
      <c r="V63" s="244"/>
      <c r="W63" s="69"/>
      <c r="X63" s="246"/>
      <c r="Y63" s="247"/>
      <c r="Z63" s="248"/>
      <c r="AA63" s="249"/>
      <c r="AC63" s="253"/>
      <c r="AD63" s="254"/>
      <c r="AE63" s="254"/>
      <c r="AF63" s="254"/>
      <c r="AG63" s="254"/>
      <c r="AH63" s="254"/>
      <c r="AI63" s="254"/>
      <c r="AJ63" s="254"/>
      <c r="AK63" s="996"/>
      <c r="AL63" s="996"/>
      <c r="AM63" s="253"/>
      <c r="AO63" s="255"/>
      <c r="AW63" s="257"/>
      <c r="AX63" s="257"/>
    </row>
    <row r="64" spans="1:58" ht="14.1" customHeight="1">
      <c r="O64" s="241"/>
      <c r="P64" s="242"/>
      <c r="Q64" s="243"/>
      <c r="R64" s="243"/>
      <c r="S64" s="242"/>
      <c r="T64" s="241"/>
      <c r="U64" s="244"/>
      <c r="V64" s="244"/>
      <c r="W64" s="69"/>
      <c r="X64" s="246"/>
      <c r="Y64" s="247"/>
      <c r="AW64" s="257"/>
      <c r="AX64" s="257"/>
    </row>
    <row r="65" spans="1:50" ht="18" customHeight="1">
      <c r="C65" s="240" t="s">
        <v>28</v>
      </c>
      <c r="O65" s="241"/>
      <c r="P65" s="242"/>
      <c r="Q65" s="243"/>
      <c r="R65" s="243"/>
      <c r="S65" s="242"/>
      <c r="T65" s="241"/>
      <c r="U65" s="244"/>
      <c r="V65" s="244"/>
      <c r="W65" s="69"/>
      <c r="X65" s="246"/>
      <c r="Y65" s="247"/>
      <c r="AW65" s="257"/>
      <c r="AX65" s="257"/>
    </row>
    <row r="66" spans="1:50" ht="3" customHeight="1">
      <c r="Q66" s="308"/>
      <c r="R66" s="309"/>
      <c r="S66" s="310"/>
      <c r="T66" s="311"/>
      <c r="AX66" s="257"/>
    </row>
    <row r="67" spans="1:50" ht="14.1" customHeight="1" thickBot="1">
      <c r="B67" s="7" t="s">
        <v>29</v>
      </c>
      <c r="C67" s="997" t="s">
        <v>30</v>
      </c>
      <c r="D67" s="997"/>
      <c r="E67" s="997" t="s">
        <v>31</v>
      </c>
      <c r="F67" s="997"/>
      <c r="G67" s="998" t="s">
        <v>32</v>
      </c>
      <c r="H67" s="999"/>
      <c r="I67" s="1004" t="s">
        <v>33</v>
      </c>
      <c r="J67" s="1005"/>
      <c r="K67" s="1006" t="s">
        <v>34</v>
      </c>
      <c r="L67" s="1006"/>
      <c r="M67" s="6"/>
      <c r="N67" s="1007" t="s">
        <v>35</v>
      </c>
      <c r="O67" s="1007"/>
      <c r="P67" s="6"/>
      <c r="Q67" s="1008" t="s">
        <v>36</v>
      </c>
      <c r="R67" s="1009"/>
      <c r="U67" s="1019" t="s">
        <v>37</v>
      </c>
      <c r="V67" s="1022" t="s">
        <v>38</v>
      </c>
      <c r="W67" s="1025" t="s">
        <v>39</v>
      </c>
      <c r="X67" s="983" t="s">
        <v>40</v>
      </c>
      <c r="AX67" s="257"/>
    </row>
    <row r="68" spans="1:50" ht="14.1" customHeight="1">
      <c r="B68" s="7" t="s">
        <v>41</v>
      </c>
      <c r="C68" s="997"/>
      <c r="D68" s="997"/>
      <c r="E68" s="997"/>
      <c r="F68" s="997"/>
      <c r="G68" s="1000"/>
      <c r="H68" s="1001"/>
      <c r="I68" s="1004"/>
      <c r="J68" s="1005"/>
      <c r="K68" s="1006"/>
      <c r="L68" s="1006"/>
      <c r="M68" s="6"/>
      <c r="N68" s="1007"/>
      <c r="O68" s="1007"/>
      <c r="P68" s="6"/>
      <c r="Q68" s="1010"/>
      <c r="R68" s="1011"/>
      <c r="U68" s="1020"/>
      <c r="V68" s="1023"/>
      <c r="W68" s="1026"/>
      <c r="X68" s="984"/>
      <c r="AA68" s="312"/>
      <c r="AB68" s="313"/>
      <c r="AC68" s="314"/>
      <c r="AD68" s="315"/>
      <c r="AE68" s="316"/>
      <c r="AF68" s="316"/>
      <c r="AG68" s="316"/>
      <c r="AH68" s="316"/>
      <c r="AI68" s="316"/>
      <c r="AJ68" s="316"/>
      <c r="AK68" s="316"/>
      <c r="AL68" s="316"/>
      <c r="AM68" s="316"/>
      <c r="AN68" s="314"/>
      <c r="AO68" s="314"/>
      <c r="AP68" s="314"/>
      <c r="AQ68" s="314"/>
      <c r="AR68" s="317"/>
      <c r="AX68" s="257"/>
    </row>
    <row r="69" spans="1:50" ht="14.1" customHeight="1">
      <c r="B69" s="7" t="s">
        <v>42</v>
      </c>
      <c r="C69" s="997"/>
      <c r="D69" s="997"/>
      <c r="E69" s="997"/>
      <c r="F69" s="997"/>
      <c r="G69" s="1000"/>
      <c r="H69" s="1001"/>
      <c r="I69" s="1004"/>
      <c r="J69" s="1005"/>
      <c r="K69" s="1006"/>
      <c r="L69" s="1006"/>
      <c r="M69" s="6"/>
      <c r="N69" s="1007"/>
      <c r="O69" s="1007"/>
      <c r="P69" s="6"/>
      <c r="Q69" s="1012"/>
      <c r="R69" s="1013"/>
      <c r="U69" s="1020"/>
      <c r="V69" s="1023"/>
      <c r="W69" s="1026"/>
      <c r="X69" s="984"/>
      <c r="AA69" s="318"/>
      <c r="AB69" s="319" t="s">
        <v>43</v>
      </c>
      <c r="AC69" s="320"/>
      <c r="AD69" s="320"/>
      <c r="AE69" s="320"/>
      <c r="AF69" s="321"/>
      <c r="AG69" s="321"/>
      <c r="AH69" s="320"/>
      <c r="AI69" s="320"/>
      <c r="AJ69" s="320"/>
      <c r="AK69" s="320"/>
      <c r="AL69" s="320"/>
      <c r="AM69" s="320"/>
      <c r="AN69" s="320"/>
      <c r="AO69" s="322"/>
      <c r="AP69" s="322"/>
      <c r="AQ69" s="323"/>
      <c r="AR69" s="324"/>
      <c r="AT69" s="254"/>
      <c r="AX69" s="257"/>
    </row>
    <row r="70" spans="1:50" ht="27" thickBot="1">
      <c r="B70" s="325" t="s">
        <v>44</v>
      </c>
      <c r="C70" s="986">
        <f>+E70*7</f>
        <v>217</v>
      </c>
      <c r="D70" s="986"/>
      <c r="E70" s="987">
        <f>+K70/30</f>
        <v>31</v>
      </c>
      <c r="F70" s="987"/>
      <c r="G70" s="1000"/>
      <c r="H70" s="1001"/>
      <c r="I70" s="988">
        <f>+E70/8</f>
        <v>3.875</v>
      </c>
      <c r="J70" s="989"/>
      <c r="K70" s="990">
        <f>850+80</f>
        <v>930</v>
      </c>
      <c r="L70" s="990"/>
      <c r="M70" s="326"/>
      <c r="N70" s="991">
        <f>+I70/6*7</f>
        <v>4.5208333333333339</v>
      </c>
      <c r="O70" s="992"/>
      <c r="P70" s="326"/>
      <c r="Q70" s="993">
        <f>+$I$71-I70</f>
        <v>1.3562500000000002</v>
      </c>
      <c r="R70" s="993"/>
      <c r="U70" s="1020"/>
      <c r="V70" s="1023"/>
      <c r="W70" s="1026"/>
      <c r="X70" s="984"/>
      <c r="AA70" s="327"/>
      <c r="AB70" s="328"/>
      <c r="AC70" s="328"/>
      <c r="AD70" s="328"/>
      <c r="AE70" s="328"/>
      <c r="AF70" s="328"/>
      <c r="AG70" s="328"/>
      <c r="AH70" s="328"/>
      <c r="AI70" s="328"/>
      <c r="AJ70" s="328"/>
      <c r="AK70" s="328"/>
      <c r="AL70" s="328"/>
      <c r="AM70" s="328"/>
      <c r="AN70" s="328"/>
      <c r="AO70" s="329" t="s">
        <v>45</v>
      </c>
      <c r="AP70" s="330"/>
      <c r="AQ70" s="328"/>
      <c r="AR70" s="331"/>
    </row>
    <row r="71" spans="1:50" ht="24.75">
      <c r="B71" s="332" t="s">
        <v>46</v>
      </c>
      <c r="C71" s="1014">
        <f>+E71*7</f>
        <v>292.95</v>
      </c>
      <c r="D71" s="1014"/>
      <c r="E71" s="1015">
        <f>+K71/30</f>
        <v>41.85</v>
      </c>
      <c r="F71" s="1015"/>
      <c r="G71" s="1002"/>
      <c r="H71" s="1003"/>
      <c r="I71" s="1016">
        <f>+E71/8</f>
        <v>5.2312500000000002</v>
      </c>
      <c r="J71" s="1017"/>
      <c r="K71" s="1018">
        <f>+K70*1.35</f>
        <v>1255.5</v>
      </c>
      <c r="L71" s="1018"/>
      <c r="M71" s="326"/>
      <c r="N71" s="991">
        <f>+I71/6*7</f>
        <v>6.1031250000000004</v>
      </c>
      <c r="O71" s="992"/>
      <c r="P71" s="326"/>
      <c r="Q71" s="993">
        <f>+$I$71-I71</f>
        <v>0</v>
      </c>
      <c r="R71" s="993"/>
      <c r="U71" s="1020"/>
      <c r="V71" s="1023"/>
      <c r="W71" s="1026"/>
      <c r="X71" s="984"/>
      <c r="AA71" s="333"/>
      <c r="AB71" s="333"/>
      <c r="AC71" s="333"/>
      <c r="AD71" s="333"/>
      <c r="AE71" s="333"/>
      <c r="AF71" s="167"/>
      <c r="AG71" s="167"/>
      <c r="AH71" s="167"/>
      <c r="AJ71" s="296"/>
      <c r="AK71" s="296"/>
      <c r="AL71" s="296"/>
      <c r="AM71" s="296"/>
      <c r="AN71" s="296"/>
      <c r="AO71" s="296"/>
      <c r="AP71" s="296"/>
      <c r="AQ71" s="296"/>
      <c r="AR71" s="296"/>
    </row>
    <row r="72" spans="1:50" ht="2.1" customHeight="1" thickBot="1">
      <c r="B72" s="334"/>
      <c r="C72" s="258"/>
      <c r="D72" s="258"/>
      <c r="G72" s="335"/>
      <c r="H72" s="335"/>
      <c r="I72" s="336"/>
      <c r="J72" s="336"/>
      <c r="K72" s="337"/>
      <c r="L72" s="337"/>
      <c r="M72" s="6"/>
      <c r="N72" s="338"/>
      <c r="O72" s="338"/>
      <c r="P72" s="6"/>
      <c r="Q72" s="339"/>
      <c r="R72" s="339"/>
      <c r="U72" s="1021"/>
      <c r="V72" s="1024"/>
      <c r="W72" s="1027"/>
      <c r="X72" s="985"/>
      <c r="AA72" s="3"/>
    </row>
    <row r="73" spans="1:50" ht="16.5">
      <c r="A73" s="1">
        <v>1</v>
      </c>
      <c r="B73" s="340" t="s">
        <v>47</v>
      </c>
      <c r="C73" s="1040">
        <f>6*3+7*33.8</f>
        <v>254.59999999999997</v>
      </c>
      <c r="D73" s="1041"/>
      <c r="E73" s="1030">
        <f t="shared" ref="E73:E81" si="63">+C73/7</f>
        <v>36.371428571428567</v>
      </c>
      <c r="F73" s="1031"/>
      <c r="G73" s="341"/>
      <c r="H73" s="341"/>
      <c r="I73" s="1032">
        <f t="shared" ref="I73:I81" si="64">+E73/8</f>
        <v>4.5464285714285708</v>
      </c>
      <c r="J73" s="1033"/>
      <c r="K73" s="1034">
        <f t="shared" ref="K73:K81" si="65">+E73*30</f>
        <v>1091.1428571428569</v>
      </c>
      <c r="L73" s="1034"/>
      <c r="M73" s="6"/>
      <c r="N73" s="1035">
        <f t="shared" ref="N73:N90" si="66">+I73/6*7</f>
        <v>5.3041666666666654</v>
      </c>
      <c r="O73" s="1035"/>
      <c r="P73" s="6"/>
      <c r="Q73" s="1036">
        <f t="shared" ref="Q73:Q90" si="67">+$I$71-I73</f>
        <v>0.68482142857142936</v>
      </c>
      <c r="R73" s="1037"/>
      <c r="U73" s="342">
        <f t="shared" ref="U73:U78" si="68">+AE33+U33+K33+AO11+AE11+U11+K11</f>
        <v>48</v>
      </c>
      <c r="V73" s="343">
        <v>48</v>
      </c>
      <c r="W73" s="344">
        <f t="shared" ref="W73:W90" si="69">+V73-U73</f>
        <v>0</v>
      </c>
      <c r="X73" s="345">
        <f t="shared" ref="X73:X78" si="70">+J11+T11+AD11+J33+T33+AD33</f>
        <v>0</v>
      </c>
      <c r="Y73" s="1038">
        <f>+X73*Q73</f>
        <v>0</v>
      </c>
      <c r="Z73" s="1039"/>
      <c r="AA73" s="346"/>
      <c r="AB73" s="347"/>
      <c r="AC73" s="348"/>
      <c r="AD73" s="349"/>
      <c r="AE73" s="350"/>
      <c r="AF73" s="350"/>
      <c r="AG73" s="350"/>
      <c r="AH73" s="350"/>
      <c r="AI73" s="350"/>
      <c r="AJ73" s="350"/>
      <c r="AK73" s="350"/>
      <c r="AL73" s="350"/>
      <c r="AM73" s="350"/>
      <c r="AN73" s="348"/>
      <c r="AO73" s="348"/>
      <c r="AP73" s="348"/>
      <c r="AQ73" s="348"/>
      <c r="AR73" s="351"/>
    </row>
    <row r="74" spans="1:50" ht="16.5">
      <c r="A74" s="1">
        <v>2</v>
      </c>
      <c r="B74" s="340" t="s">
        <v>48</v>
      </c>
      <c r="C74" s="1040">
        <f>6*3+7*38.5</f>
        <v>287.5</v>
      </c>
      <c r="D74" s="1041"/>
      <c r="E74" s="1030">
        <f t="shared" si="63"/>
        <v>41.071428571428569</v>
      </c>
      <c r="F74" s="1031"/>
      <c r="G74" s="341"/>
      <c r="H74" s="341"/>
      <c r="I74" s="1032">
        <f t="shared" si="64"/>
        <v>5.1339285714285712</v>
      </c>
      <c r="J74" s="1033"/>
      <c r="K74" s="1034">
        <f t="shared" si="65"/>
        <v>1232.1428571428571</v>
      </c>
      <c r="L74" s="1034"/>
      <c r="M74" s="6"/>
      <c r="N74" s="1035">
        <f t="shared" si="66"/>
        <v>5.989583333333333</v>
      </c>
      <c r="O74" s="1035"/>
      <c r="P74" s="6"/>
      <c r="Q74" s="1036">
        <f t="shared" si="67"/>
        <v>9.7321428571429003E-2</v>
      </c>
      <c r="R74" s="1037"/>
      <c r="U74" s="342">
        <f t="shared" si="68"/>
        <v>0</v>
      </c>
      <c r="V74" s="343">
        <v>48</v>
      </c>
      <c r="W74" s="344">
        <f t="shared" si="69"/>
        <v>48</v>
      </c>
      <c r="X74" s="345">
        <f t="shared" si="70"/>
        <v>0</v>
      </c>
      <c r="Y74" s="1038">
        <f>+X74*Q74</f>
        <v>0</v>
      </c>
      <c r="Z74" s="1039"/>
      <c r="AA74" s="352"/>
      <c r="AB74" s="353" t="s">
        <v>49</v>
      </c>
      <c r="AC74" s="354"/>
      <c r="AD74" s="354"/>
      <c r="AE74" s="354"/>
      <c r="AF74" s="355"/>
      <c r="AG74" s="355"/>
      <c r="AH74" s="354"/>
      <c r="AI74" s="354"/>
      <c r="AJ74" s="354"/>
      <c r="AK74" s="354"/>
      <c r="AL74" s="354"/>
      <c r="AM74" s="354"/>
      <c r="AN74" s="354"/>
      <c r="AO74" s="356"/>
      <c r="AP74" s="356"/>
      <c r="AQ74" s="357"/>
      <c r="AR74" s="358"/>
    </row>
    <row r="75" spans="1:50" ht="17.25" thickBot="1">
      <c r="A75" s="1">
        <v>4</v>
      </c>
      <c r="B75" s="365" t="s">
        <v>54</v>
      </c>
      <c r="C75" s="1028">
        <f>6*3+7*30.762</f>
        <v>233.334</v>
      </c>
      <c r="D75" s="1029"/>
      <c r="E75" s="1030">
        <f t="shared" si="63"/>
        <v>33.33342857142857</v>
      </c>
      <c r="F75" s="1031"/>
      <c r="G75" s="341"/>
      <c r="H75" s="341"/>
      <c r="I75" s="1032">
        <f t="shared" si="64"/>
        <v>4.1666785714285712</v>
      </c>
      <c r="J75" s="1033"/>
      <c r="K75" s="1034">
        <f t="shared" si="65"/>
        <v>1000.0028571428571</v>
      </c>
      <c r="L75" s="1034"/>
      <c r="M75" s="6"/>
      <c r="N75" s="1035">
        <f t="shared" si="66"/>
        <v>4.8611250000000004</v>
      </c>
      <c r="O75" s="1035"/>
      <c r="P75" s="6"/>
      <c r="Q75" s="1036">
        <f t="shared" si="67"/>
        <v>1.0645714285714289</v>
      </c>
      <c r="R75" s="1037"/>
      <c r="S75" s="1082">
        <f>20*30/180*117</f>
        <v>390</v>
      </c>
      <c r="T75" s="1083"/>
      <c r="U75" s="342">
        <f t="shared" si="68"/>
        <v>0</v>
      </c>
      <c r="V75" s="343">
        <v>48</v>
      </c>
      <c r="W75" s="344">
        <f t="shared" si="69"/>
        <v>48</v>
      </c>
      <c r="X75" s="345">
        <f t="shared" si="70"/>
        <v>0</v>
      </c>
      <c r="Y75" s="1038">
        <f>+X75*Q75</f>
        <v>0</v>
      </c>
      <c r="Z75" s="1039"/>
      <c r="AA75" s="360"/>
      <c r="AB75" s="361"/>
      <c r="AC75" s="361"/>
      <c r="AD75" s="361"/>
      <c r="AE75" s="361"/>
      <c r="AF75" s="361"/>
      <c r="AG75" s="361"/>
      <c r="AH75" s="361"/>
      <c r="AI75" s="361"/>
      <c r="AJ75" s="361"/>
      <c r="AK75" s="361"/>
      <c r="AL75" s="361"/>
      <c r="AM75" s="361"/>
      <c r="AN75" s="361"/>
      <c r="AO75" s="362" t="s">
        <v>51</v>
      </c>
      <c r="AP75" s="363"/>
      <c r="AQ75" s="361"/>
      <c r="AR75" s="364"/>
    </row>
    <row r="76" spans="1:50" ht="16.5">
      <c r="A76" s="1">
        <v>5</v>
      </c>
      <c r="B76" s="340" t="s">
        <v>52</v>
      </c>
      <c r="C76" s="1028">
        <f>6*3+7*38.5</f>
        <v>287.5</v>
      </c>
      <c r="D76" s="1029"/>
      <c r="E76" s="1030">
        <f t="shared" si="63"/>
        <v>41.071428571428569</v>
      </c>
      <c r="F76" s="1031"/>
      <c r="G76" s="341"/>
      <c r="H76" s="341"/>
      <c r="I76" s="1032">
        <f t="shared" si="64"/>
        <v>5.1339285714285712</v>
      </c>
      <c r="J76" s="1033"/>
      <c r="K76" s="1034">
        <f t="shared" si="65"/>
        <v>1232.1428571428571</v>
      </c>
      <c r="L76" s="1034"/>
      <c r="M76" s="6"/>
      <c r="N76" s="1035">
        <f t="shared" si="66"/>
        <v>5.989583333333333</v>
      </c>
      <c r="O76" s="1035"/>
      <c r="P76" s="6"/>
      <c r="Q76" s="1036">
        <f t="shared" si="67"/>
        <v>9.7321428571429003E-2</v>
      </c>
      <c r="R76" s="1037"/>
      <c r="U76" s="342">
        <f t="shared" si="68"/>
        <v>48.5</v>
      </c>
      <c r="V76" s="343">
        <v>48</v>
      </c>
      <c r="W76" s="344">
        <f t="shared" si="69"/>
        <v>-0.5</v>
      </c>
      <c r="X76" s="345">
        <f t="shared" si="70"/>
        <v>0</v>
      </c>
    </row>
    <row r="77" spans="1:50" ht="16.5">
      <c r="A77" s="1">
        <v>7</v>
      </c>
      <c r="B77" s="365" t="s">
        <v>53</v>
      </c>
      <c r="C77" s="1042">
        <f>6*3+7*(38.5)</f>
        <v>287.5</v>
      </c>
      <c r="D77" s="1043"/>
      <c r="E77" s="1030">
        <f t="shared" si="63"/>
        <v>41.071428571428569</v>
      </c>
      <c r="F77" s="1031"/>
      <c r="G77" s="1046"/>
      <c r="H77" s="1047"/>
      <c r="I77" s="1032">
        <f t="shared" si="64"/>
        <v>5.1339285714285712</v>
      </c>
      <c r="J77" s="1033"/>
      <c r="K77" s="1034">
        <f t="shared" si="65"/>
        <v>1232.1428571428571</v>
      </c>
      <c r="L77" s="1034"/>
      <c r="M77" s="6"/>
      <c r="N77" s="1035">
        <f>+I77/6*7</f>
        <v>5.989583333333333</v>
      </c>
      <c r="O77" s="1035"/>
      <c r="P77" s="6"/>
      <c r="Q77" s="1036">
        <f>+$I$71-I77</f>
        <v>9.7321428571429003E-2</v>
      </c>
      <c r="R77" s="1037"/>
      <c r="U77" s="342">
        <f t="shared" si="68"/>
        <v>45</v>
      </c>
      <c r="V77" s="343">
        <v>48</v>
      </c>
      <c r="W77" s="344">
        <f>+V77-U77</f>
        <v>3</v>
      </c>
      <c r="X77" s="345">
        <f t="shared" si="70"/>
        <v>0</v>
      </c>
      <c r="AD77"/>
    </row>
    <row r="78" spans="1:50" s="371" customFormat="1" ht="16.5">
      <c r="A78" s="366">
        <v>6</v>
      </c>
      <c r="B78" s="365" t="s">
        <v>54</v>
      </c>
      <c r="C78" s="1042">
        <f>6*3+7*(27)</f>
        <v>207</v>
      </c>
      <c r="D78" s="1043"/>
      <c r="E78" s="1030">
        <f t="shared" si="63"/>
        <v>29.571428571428573</v>
      </c>
      <c r="F78" s="1031"/>
      <c r="G78" s="1087"/>
      <c r="H78" s="1088"/>
      <c r="I78" s="1032">
        <f t="shared" si="64"/>
        <v>3.6964285714285716</v>
      </c>
      <c r="J78" s="1033"/>
      <c r="K78" s="1034">
        <f t="shared" si="65"/>
        <v>887.14285714285722</v>
      </c>
      <c r="L78" s="1034"/>
      <c r="M78" s="6"/>
      <c r="N78" s="1035">
        <f t="shared" si="66"/>
        <v>4.3125</v>
      </c>
      <c r="O78" s="1035"/>
      <c r="P78" s="6"/>
      <c r="Q78" s="1036">
        <f t="shared" si="67"/>
        <v>1.5348214285714286</v>
      </c>
      <c r="R78" s="1037"/>
      <c r="S78" s="1082">
        <f>20*30/180*117</f>
        <v>390</v>
      </c>
      <c r="T78" s="1083"/>
      <c r="U78" s="342">
        <f t="shared" si="68"/>
        <v>0</v>
      </c>
      <c r="V78" s="343">
        <v>48</v>
      </c>
      <c r="W78" s="344">
        <f t="shared" si="69"/>
        <v>48</v>
      </c>
      <c r="X78" s="345">
        <f t="shared" si="70"/>
        <v>0</v>
      </c>
      <c r="Y78" s="367"/>
      <c r="Z78" s="480"/>
      <c r="AA78" s="480"/>
      <c r="AB78" s="480"/>
      <c r="AC78" s="480"/>
      <c r="AD78" s="480"/>
      <c r="AE78" s="296"/>
      <c r="AF78" s="296"/>
      <c r="AG78" s="425"/>
      <c r="AH78" s="425"/>
      <c r="AI78" s="370"/>
      <c r="AJ78" s="370"/>
      <c r="AK78" s="370"/>
      <c r="AL78" s="370"/>
      <c r="AM78" s="425"/>
      <c r="AN78" s="425"/>
      <c r="AO78" s="425"/>
      <c r="AP78" s="425"/>
      <c r="AQ78" s="425"/>
      <c r="AR78" s="425"/>
      <c r="AS78" s="296"/>
      <c r="AT78" s="296"/>
    </row>
    <row r="79" spans="1:50" s="371" customFormat="1" ht="16.5">
      <c r="A79" s="1">
        <v>8</v>
      </c>
      <c r="B79" s="365" t="s">
        <v>54</v>
      </c>
      <c r="C79" s="1042">
        <f t="shared" ref="C79:C84" si="71">6*3+7*(28.4286)</f>
        <v>217.00020000000001</v>
      </c>
      <c r="D79" s="1043"/>
      <c r="E79" s="1030">
        <f t="shared" si="63"/>
        <v>31.000028571428572</v>
      </c>
      <c r="F79" s="1031"/>
      <c r="G79" s="1044"/>
      <c r="H79" s="1045"/>
      <c r="I79" s="1032">
        <f t="shared" si="64"/>
        <v>3.8750035714285715</v>
      </c>
      <c r="J79" s="1033"/>
      <c r="K79" s="1034">
        <f t="shared" si="65"/>
        <v>930.00085714285717</v>
      </c>
      <c r="L79" s="1034"/>
      <c r="M79" s="6"/>
      <c r="N79" s="1035">
        <f t="shared" si="66"/>
        <v>4.5208375000000007</v>
      </c>
      <c r="O79" s="1035"/>
      <c r="P79" s="6"/>
      <c r="Q79" s="1036">
        <f t="shared" si="67"/>
        <v>1.3562464285714286</v>
      </c>
      <c r="R79" s="1037"/>
      <c r="S79" s="3"/>
      <c r="T79" s="3"/>
      <c r="U79" s="342" t="e">
        <f>+#REF!+#REF!+#REF!+#REF!+#REF!+#REF!+#REF!</f>
        <v>#REF!</v>
      </c>
      <c r="V79" s="343">
        <v>48</v>
      </c>
      <c r="W79" s="344" t="e">
        <f t="shared" si="69"/>
        <v>#REF!</v>
      </c>
      <c r="X79" s="345" t="e">
        <f>+#REF!+#REF!+#REF!+#REF!+#REF!+#REF!</f>
        <v>#REF!</v>
      </c>
      <c r="Y79" s="3"/>
      <c r="Z79" s="480"/>
      <c r="AA79" s="480"/>
      <c r="AB79" s="480"/>
      <c r="AC79" s="480"/>
      <c r="AD79" s="480"/>
      <c r="AE79" s="296"/>
      <c r="AF79" s="296"/>
      <c r="AG79" s="425"/>
      <c r="AH79" s="425"/>
      <c r="AI79" s="370"/>
      <c r="AJ79" s="370"/>
      <c r="AK79" s="370"/>
      <c r="AL79" s="370"/>
      <c r="AM79" s="425"/>
      <c r="AN79" s="425"/>
      <c r="AO79" s="425"/>
      <c r="AP79" s="425"/>
      <c r="AQ79" s="425"/>
      <c r="AR79" s="425"/>
      <c r="AS79" s="296"/>
      <c r="AT79" s="296"/>
    </row>
    <row r="80" spans="1:50" ht="16.5">
      <c r="B80" s="359" t="s">
        <v>55</v>
      </c>
      <c r="C80" s="1042">
        <f t="shared" si="71"/>
        <v>217.00020000000001</v>
      </c>
      <c r="D80" s="1043"/>
      <c r="E80" s="1030">
        <f t="shared" si="63"/>
        <v>31.000028571428572</v>
      </c>
      <c r="F80" s="1031"/>
      <c r="G80" s="1044"/>
      <c r="H80" s="1045"/>
      <c r="I80" s="1032">
        <f t="shared" si="64"/>
        <v>3.8750035714285715</v>
      </c>
      <c r="J80" s="1033"/>
      <c r="K80" s="1034">
        <f t="shared" si="65"/>
        <v>930.00085714285717</v>
      </c>
      <c r="L80" s="1034"/>
      <c r="M80" s="6"/>
      <c r="N80" s="1050">
        <f t="shared" si="66"/>
        <v>4.5208375000000007</v>
      </c>
      <c r="O80" s="1051"/>
      <c r="P80" s="6"/>
      <c r="Q80" s="1048">
        <f t="shared" si="67"/>
        <v>1.3562464285714286</v>
      </c>
      <c r="R80" s="1049"/>
      <c r="U80" s="342">
        <f>+AE40+U40+K40+AO18+AE18+U18+K18</f>
        <v>68</v>
      </c>
      <c r="V80" s="343">
        <v>48</v>
      </c>
      <c r="W80" s="344">
        <f t="shared" si="69"/>
        <v>-20</v>
      </c>
      <c r="X80" s="345">
        <f>+J17+T17+AD17+J39+T39+AD39</f>
        <v>0</v>
      </c>
      <c r="Y80" s="1038">
        <f>+X80*Q80</f>
        <v>0</v>
      </c>
      <c r="Z80" s="1039"/>
      <c r="AA80" s="372"/>
      <c r="AB80" s="480"/>
      <c r="AC80" s="480"/>
      <c r="AD80" s="480"/>
      <c r="AE80" s="296"/>
      <c r="AF80" s="296"/>
      <c r="AG80" s="425"/>
      <c r="AH80" s="425"/>
      <c r="AI80" s="425"/>
      <c r="AJ80" s="425"/>
      <c r="AK80" s="425"/>
      <c r="AL80" s="425"/>
      <c r="AM80" s="425"/>
      <c r="AN80" s="425"/>
      <c r="AO80" s="425"/>
      <c r="AP80" s="425"/>
      <c r="AQ80" s="425"/>
      <c r="AR80" s="425"/>
      <c r="AS80" s="296"/>
      <c r="AT80" s="296"/>
    </row>
    <row r="81" spans="1:46" ht="16.5">
      <c r="B81" s="359" t="s">
        <v>56</v>
      </c>
      <c r="C81" s="1042">
        <f t="shared" si="71"/>
        <v>217.00020000000001</v>
      </c>
      <c r="D81" s="1043"/>
      <c r="E81" s="1030">
        <f t="shared" si="63"/>
        <v>31.000028571428572</v>
      </c>
      <c r="F81" s="1031"/>
      <c r="G81" s="1044"/>
      <c r="H81" s="1045"/>
      <c r="I81" s="1032">
        <f t="shared" si="64"/>
        <v>3.8750035714285715</v>
      </c>
      <c r="J81" s="1033"/>
      <c r="K81" s="1034">
        <f t="shared" si="65"/>
        <v>930.00085714285717</v>
      </c>
      <c r="L81" s="1034"/>
      <c r="M81" s="6"/>
      <c r="N81" s="1050">
        <f t="shared" si="66"/>
        <v>4.5208375000000007</v>
      </c>
      <c r="O81" s="1051"/>
      <c r="P81" s="6"/>
      <c r="Q81" s="1048">
        <f t="shared" si="67"/>
        <v>1.3562464285714286</v>
      </c>
      <c r="R81" s="1049"/>
      <c r="U81" s="342">
        <f>+AE47+U47+K47+AO25+AE25+U25+K25</f>
        <v>48</v>
      </c>
      <c r="V81" s="343">
        <v>48</v>
      </c>
      <c r="W81" s="344">
        <f t="shared" si="69"/>
        <v>0</v>
      </c>
      <c r="X81" s="345">
        <f>+J18+T18+AD18+J40+T40+AD40</f>
        <v>0</v>
      </c>
      <c r="Y81" s="1038">
        <f>+X81*Q81</f>
        <v>0</v>
      </c>
      <c r="Z81" s="1039"/>
      <c r="AA81" s="372"/>
      <c r="AB81" s="480"/>
      <c r="AC81" s="480"/>
      <c r="AD81" s="480"/>
      <c r="AE81" s="296"/>
      <c r="AF81" s="296"/>
      <c r="AG81" s="425"/>
      <c r="AH81" s="425"/>
      <c r="AI81" s="425"/>
      <c r="AJ81" s="425"/>
      <c r="AK81" s="425"/>
      <c r="AL81" s="425"/>
      <c r="AM81" s="425"/>
      <c r="AN81" s="425"/>
      <c r="AO81" s="425"/>
      <c r="AP81" s="425"/>
      <c r="AQ81" s="425"/>
      <c r="AR81" s="425"/>
      <c r="AS81" s="296"/>
      <c r="AT81" s="296"/>
    </row>
    <row r="82" spans="1:46" ht="16.5">
      <c r="A82" s="366"/>
      <c r="B82" s="359" t="s">
        <v>57</v>
      </c>
      <c r="C82" s="1042">
        <f t="shared" si="71"/>
        <v>217.00020000000001</v>
      </c>
      <c r="D82" s="1043"/>
      <c r="E82" s="1030">
        <f>+C82/7</f>
        <v>31.000028571428572</v>
      </c>
      <c r="F82" s="1031"/>
      <c r="G82" s="1044"/>
      <c r="H82" s="1045"/>
      <c r="I82" s="1032">
        <f>+E82/8</f>
        <v>3.8750035714285715</v>
      </c>
      <c r="J82" s="1033"/>
      <c r="K82" s="1034">
        <f>+E82*30</f>
        <v>930.00085714285717</v>
      </c>
      <c r="L82" s="1034"/>
      <c r="M82" s="6"/>
      <c r="N82" s="1050">
        <f>+I82/6*7</f>
        <v>4.5208375000000007</v>
      </c>
      <c r="O82" s="1051"/>
      <c r="P82" s="6"/>
      <c r="Q82" s="1048">
        <f>+$I$71-I82</f>
        <v>1.3562464285714286</v>
      </c>
      <c r="R82" s="1049"/>
      <c r="U82" s="342">
        <f>+AD42+T42+J42+AN19+AD19+T19+J19</f>
        <v>0</v>
      </c>
      <c r="V82" s="343">
        <v>48</v>
      </c>
      <c r="W82" s="344">
        <f>+V82-U82</f>
        <v>48</v>
      </c>
      <c r="X82" s="345">
        <f>+J19+T19+AD19+J41+T41+AD41</f>
        <v>0</v>
      </c>
      <c r="Y82" s="1038">
        <f>+X82*Q82</f>
        <v>0</v>
      </c>
      <c r="Z82" s="1039"/>
      <c r="AA82" s="372"/>
      <c r="AB82" s="480"/>
      <c r="AC82" s="480"/>
      <c r="AD82" s="480"/>
      <c r="AE82" s="296"/>
      <c r="AF82" s="296"/>
      <c r="AG82" s="425"/>
      <c r="AH82" s="425"/>
      <c r="AI82" s="425"/>
      <c r="AJ82" s="425"/>
      <c r="AK82" s="373"/>
      <c r="AL82" s="373"/>
      <c r="AM82" s="373"/>
      <c r="AN82" s="373"/>
      <c r="AO82" s="373"/>
      <c r="AP82" s="373"/>
      <c r="AQ82" s="373"/>
      <c r="AR82" s="373"/>
      <c r="AS82" s="296"/>
      <c r="AT82" s="296"/>
    </row>
    <row r="83" spans="1:46" ht="16.5">
      <c r="A83" s="366"/>
      <c r="B83" s="359" t="s">
        <v>58</v>
      </c>
      <c r="C83" s="1042">
        <f t="shared" si="71"/>
        <v>217.00020000000001</v>
      </c>
      <c r="D83" s="1043"/>
      <c r="E83" s="1030">
        <f>+C83/7</f>
        <v>31.000028571428572</v>
      </c>
      <c r="F83" s="1031"/>
      <c r="G83" s="1044"/>
      <c r="H83" s="1045"/>
      <c r="I83" s="1032">
        <f>+E83/8</f>
        <v>3.8750035714285715</v>
      </c>
      <c r="J83" s="1033"/>
      <c r="K83" s="1034">
        <f>+E83*30</f>
        <v>930.00085714285717</v>
      </c>
      <c r="L83" s="1034"/>
      <c r="M83" s="6"/>
      <c r="N83" s="1050">
        <f>+I83/6*7</f>
        <v>4.5208375000000007</v>
      </c>
      <c r="O83" s="1051"/>
      <c r="P83" s="6"/>
      <c r="Q83" s="1048">
        <f>+$I$71-I83</f>
        <v>1.3562464285714286</v>
      </c>
      <c r="R83" s="1049"/>
      <c r="U83" s="342">
        <f>+AD47+T47+J47+AN25+AD25+T25+K25</f>
        <v>8</v>
      </c>
      <c r="V83" s="343">
        <v>48</v>
      </c>
      <c r="W83" s="344">
        <f>+V83-U83</f>
        <v>40</v>
      </c>
      <c r="X83" s="345">
        <f>+J25+T25+AD25+J47+T47+AD47</f>
        <v>0</v>
      </c>
      <c r="Z83" s="372"/>
      <c r="AA83" s="372"/>
      <c r="AB83" s="480"/>
      <c r="AC83" s="480"/>
      <c r="AD83" s="480"/>
      <c r="AE83" s="296"/>
      <c r="AF83" s="296"/>
      <c r="AG83" s="425"/>
      <c r="AH83" s="425"/>
      <c r="AI83" s="425"/>
      <c r="AJ83" s="425"/>
      <c r="AK83" s="373"/>
      <c r="AL83" s="373"/>
      <c r="AM83" s="373"/>
      <c r="AN83" s="373"/>
      <c r="AO83" s="373"/>
      <c r="AP83" s="373"/>
      <c r="AQ83" s="373"/>
      <c r="AR83" s="373"/>
      <c r="AS83" s="296"/>
      <c r="AT83" s="296"/>
    </row>
    <row r="84" spans="1:46" ht="16.5">
      <c r="A84" s="366"/>
      <c r="B84" s="359" t="s">
        <v>59</v>
      </c>
      <c r="C84" s="1042">
        <f t="shared" si="71"/>
        <v>217.00020000000001</v>
      </c>
      <c r="D84" s="1043"/>
      <c r="E84" s="1030">
        <f>+C84/7</f>
        <v>31.000028571428572</v>
      </c>
      <c r="F84" s="1031"/>
      <c r="G84" s="1044"/>
      <c r="H84" s="1045"/>
      <c r="I84" s="1032">
        <f>+E84/8</f>
        <v>3.8750035714285715</v>
      </c>
      <c r="J84" s="1033"/>
      <c r="K84" s="1034">
        <f>+E84*30</f>
        <v>930.00085714285717</v>
      </c>
      <c r="L84" s="1034"/>
      <c r="M84" s="6"/>
      <c r="N84" s="1050">
        <f>+I84/6*7</f>
        <v>4.5208375000000007</v>
      </c>
      <c r="O84" s="1051"/>
      <c r="P84" s="6"/>
      <c r="Q84" s="1048">
        <f>+$I$71-I84</f>
        <v>1.3562464285714286</v>
      </c>
      <c r="R84" s="1049"/>
      <c r="U84" s="342">
        <f>+AD48+T48+J48+AN26+AD26+T26+K26</f>
        <v>0</v>
      </c>
      <c r="V84" s="343">
        <v>48</v>
      </c>
      <c r="W84" s="344">
        <f>+V84-U84</f>
        <v>48</v>
      </c>
      <c r="X84" s="345">
        <f>+J26+T26+AD26+J48+T48+AD48</f>
        <v>0</v>
      </c>
      <c r="Z84" s="372"/>
      <c r="AA84" s="372"/>
      <c r="AB84" s="480"/>
      <c r="AC84" s="480"/>
      <c r="AD84" s="480"/>
      <c r="AE84" s="296"/>
      <c r="AF84" s="296"/>
      <c r="AG84" s="425"/>
      <c r="AH84" s="425"/>
      <c r="AI84" s="425"/>
      <c r="AJ84" s="425"/>
      <c r="AK84" s="425"/>
      <c r="AL84" s="425"/>
      <c r="AM84" s="425"/>
      <c r="AN84" s="425"/>
      <c r="AO84" s="425"/>
      <c r="AP84" s="425"/>
      <c r="AQ84" s="425"/>
      <c r="AR84" s="425"/>
      <c r="AS84" s="296"/>
      <c r="AT84" s="296"/>
    </row>
    <row r="85" spans="1:46" ht="16.5">
      <c r="B85" s="365" t="s">
        <v>60</v>
      </c>
      <c r="C85" s="1028">
        <f>+G85*6</f>
        <v>186</v>
      </c>
      <c r="D85" s="1029"/>
      <c r="E85" s="1030">
        <f t="shared" ref="E85:E90" si="72">+C85/7</f>
        <v>26.571428571428573</v>
      </c>
      <c r="F85" s="1031"/>
      <c r="G85" s="1044">
        <v>31</v>
      </c>
      <c r="H85" s="1045"/>
      <c r="I85" s="1032">
        <f>+G85/8</f>
        <v>3.875</v>
      </c>
      <c r="J85" s="1033"/>
      <c r="K85" s="1034">
        <f>+G85*30</f>
        <v>930</v>
      </c>
      <c r="L85" s="1034"/>
      <c r="M85" s="374"/>
      <c r="N85" s="1035">
        <f t="shared" si="66"/>
        <v>4.5208333333333339</v>
      </c>
      <c r="O85" s="1035"/>
      <c r="P85" s="6"/>
      <c r="Q85" s="1036">
        <f t="shared" si="67"/>
        <v>1.3562500000000002</v>
      </c>
      <c r="R85" s="1037"/>
      <c r="U85" s="342">
        <f>+AE43+U43+K43+AO21+AE21+U21+K21</f>
        <v>48</v>
      </c>
      <c r="V85" s="343">
        <v>48</v>
      </c>
      <c r="W85" s="344">
        <f t="shared" si="69"/>
        <v>0</v>
      </c>
      <c r="X85" s="345">
        <f>+J21+T21+AD21+J43+T43+AD43</f>
        <v>0</v>
      </c>
      <c r="Z85" s="372"/>
      <c r="AA85" s="372"/>
      <c r="AB85" s="480"/>
      <c r="AC85" s="480"/>
      <c r="AD85" s="480"/>
      <c r="AE85" s="296"/>
      <c r="AF85" s="296"/>
      <c r="AG85" s="425"/>
      <c r="AH85" s="425"/>
      <c r="AI85" s="425"/>
      <c r="AJ85" s="425"/>
      <c r="AK85" s="425"/>
      <c r="AL85" s="425"/>
      <c r="AM85" s="425"/>
      <c r="AN85" s="425"/>
      <c r="AO85" s="425"/>
      <c r="AP85" s="425"/>
      <c r="AQ85" s="425"/>
      <c r="AR85" s="425"/>
      <c r="AS85" s="296"/>
      <c r="AT85" s="296"/>
    </row>
    <row r="86" spans="1:46" ht="16.5">
      <c r="A86" s="1">
        <v>2</v>
      </c>
      <c r="B86" s="340" t="s">
        <v>61</v>
      </c>
      <c r="C86" s="1040">
        <v>304.26666666666665</v>
      </c>
      <c r="D86" s="1041"/>
      <c r="E86" s="1030">
        <f>+C86/7</f>
        <v>43.466666666666661</v>
      </c>
      <c r="F86" s="1031"/>
      <c r="G86" s="341"/>
      <c r="H86" s="341"/>
      <c r="I86" s="1032">
        <f>+E86/8</f>
        <v>5.4333333333333327</v>
      </c>
      <c r="J86" s="1033"/>
      <c r="K86" s="1034">
        <f>+E86*30</f>
        <v>1303.9999999999998</v>
      </c>
      <c r="L86" s="1034"/>
      <c r="M86" s="6"/>
      <c r="N86" s="1035">
        <f t="shared" si="66"/>
        <v>6.3388888888888886</v>
      </c>
      <c r="O86" s="1035"/>
      <c r="P86" s="6"/>
      <c r="Q86" s="1036">
        <f t="shared" si="67"/>
        <v>-0.2020833333333325</v>
      </c>
      <c r="R86" s="1037"/>
      <c r="U86" s="342">
        <f>+AE48+U48+K48+AO26+AE26+U26+K26</f>
        <v>0</v>
      </c>
      <c r="V86" s="343">
        <v>48</v>
      </c>
      <c r="W86" s="344">
        <f t="shared" si="69"/>
        <v>48</v>
      </c>
      <c r="X86" s="345">
        <f>+J26+T26+AD26+J48+T48+AD48</f>
        <v>0</v>
      </c>
    </row>
    <row r="87" spans="1:46" ht="16.5">
      <c r="A87" s="1">
        <v>2</v>
      </c>
      <c r="B87" s="359" t="s">
        <v>62</v>
      </c>
      <c r="C87" s="1042">
        <f>6*3+7*(28.4286)</f>
        <v>217.00020000000001</v>
      </c>
      <c r="D87" s="1043"/>
      <c r="E87" s="1030">
        <f t="shared" si="72"/>
        <v>31.000028571428572</v>
      </c>
      <c r="F87" s="1031"/>
      <c r="G87" s="1044"/>
      <c r="H87" s="1045"/>
      <c r="I87" s="1032">
        <f>+E87/8</f>
        <v>3.8750035714285715</v>
      </c>
      <c r="J87" s="1033"/>
      <c r="K87" s="1034">
        <f>+E87*30</f>
        <v>930.00085714285717</v>
      </c>
      <c r="L87" s="1034"/>
      <c r="M87" s="6"/>
      <c r="N87" s="1035">
        <f t="shared" si="66"/>
        <v>4.5208375000000007</v>
      </c>
      <c r="O87" s="1035"/>
      <c r="P87" s="6"/>
      <c r="Q87" s="1036">
        <f t="shared" si="67"/>
        <v>1.3562464285714286</v>
      </c>
      <c r="R87" s="1037"/>
      <c r="U87" s="342">
        <f>+AE44+U44+K44+AO22+AE22+U22+K22</f>
        <v>68</v>
      </c>
      <c r="V87" s="343">
        <v>48</v>
      </c>
      <c r="W87" s="344">
        <f t="shared" si="69"/>
        <v>-20</v>
      </c>
      <c r="X87" s="345">
        <f>+J22+T22+AD22+J44+T44+AD44</f>
        <v>0</v>
      </c>
    </row>
    <row r="88" spans="1:46" ht="16.5">
      <c r="A88" s="366"/>
      <c r="B88" s="359" t="s">
        <v>63</v>
      </c>
      <c r="C88" s="1042">
        <f>6*3+7*(28.4286)</f>
        <v>217.00020000000001</v>
      </c>
      <c r="D88" s="1043"/>
      <c r="E88" s="1030">
        <f t="shared" si="72"/>
        <v>31.000028571428572</v>
      </c>
      <c r="F88" s="1031"/>
      <c r="G88" s="1044"/>
      <c r="H88" s="1045"/>
      <c r="I88" s="1032">
        <f>+E88/8</f>
        <v>3.8750035714285715</v>
      </c>
      <c r="J88" s="1033"/>
      <c r="K88" s="1034">
        <f>+E88*30</f>
        <v>930.00085714285717</v>
      </c>
      <c r="L88" s="1034"/>
      <c r="M88" s="6"/>
      <c r="N88" s="1050">
        <f t="shared" si="66"/>
        <v>4.5208375000000007</v>
      </c>
      <c r="O88" s="1051"/>
      <c r="P88" s="6"/>
      <c r="Q88" s="1048">
        <f t="shared" si="67"/>
        <v>1.3562464285714286</v>
      </c>
      <c r="R88" s="1049"/>
      <c r="U88" s="342">
        <f>+AD48+T48+J48+AN26+AD26+T26+K26</f>
        <v>0</v>
      </c>
      <c r="V88" s="343">
        <v>48</v>
      </c>
      <c r="W88" s="344">
        <f t="shared" si="69"/>
        <v>48</v>
      </c>
      <c r="X88" s="345">
        <f>+J26+T26+AD26+J48+T48+AD48</f>
        <v>0</v>
      </c>
      <c r="Z88" s="372"/>
      <c r="AA88" s="372"/>
      <c r="AB88" s="480"/>
      <c r="AC88" s="480"/>
      <c r="AD88" s="480"/>
      <c r="AE88" s="296"/>
      <c r="AF88" s="296"/>
      <c r="AG88" s="425"/>
      <c r="AH88" s="425"/>
      <c r="AI88" s="425"/>
      <c r="AJ88" s="425"/>
      <c r="AK88" s="373"/>
      <c r="AL88" s="373"/>
      <c r="AM88" s="373"/>
      <c r="AN88" s="373"/>
      <c r="AO88" s="373"/>
      <c r="AP88" s="373"/>
      <c r="AQ88" s="373"/>
      <c r="AR88" s="373"/>
      <c r="AS88" s="296"/>
      <c r="AT88" s="296"/>
    </row>
    <row r="89" spans="1:46" ht="16.5">
      <c r="A89" s="366"/>
      <c r="B89" s="359" t="s">
        <v>64</v>
      </c>
      <c r="C89" s="1042">
        <f>6*3+7*(28.4286)</f>
        <v>217.00020000000001</v>
      </c>
      <c r="D89" s="1043"/>
      <c r="E89" s="1030">
        <f t="shared" si="72"/>
        <v>31.000028571428572</v>
      </c>
      <c r="F89" s="1031"/>
      <c r="G89" s="1044"/>
      <c r="H89" s="1045"/>
      <c r="I89" s="1032">
        <f>+E89/8</f>
        <v>3.8750035714285715</v>
      </c>
      <c r="J89" s="1033"/>
      <c r="K89" s="1034">
        <f>+E89*30</f>
        <v>930.00085714285717</v>
      </c>
      <c r="L89" s="1034"/>
      <c r="M89" s="6"/>
      <c r="N89" s="1050">
        <f t="shared" si="66"/>
        <v>4.5208375000000007</v>
      </c>
      <c r="O89" s="1051"/>
      <c r="P89" s="6"/>
      <c r="Q89" s="1048">
        <f t="shared" si="67"/>
        <v>1.3562464285714286</v>
      </c>
      <c r="R89" s="1049"/>
      <c r="U89" s="342">
        <f>+AD49+T49+J49+AN27+AD27+T27+K27</f>
        <v>43837</v>
      </c>
      <c r="V89" s="343">
        <v>48</v>
      </c>
      <c r="W89" s="344">
        <f t="shared" si="69"/>
        <v>-43789</v>
      </c>
      <c r="X89" s="345">
        <f>+J27+T27+AD27+J49+T49+AD49</f>
        <v>0</v>
      </c>
      <c r="Z89" s="372"/>
      <c r="AA89" s="372"/>
      <c r="AB89" s="480"/>
      <c r="AC89" s="480"/>
      <c r="AD89" s="480"/>
      <c r="AE89" s="296"/>
      <c r="AF89" s="296"/>
      <c r="AG89" s="425"/>
      <c r="AH89" s="425"/>
      <c r="AI89" s="425"/>
      <c r="AJ89" s="425"/>
      <c r="AK89" s="373"/>
      <c r="AL89" s="373"/>
      <c r="AM89" s="373"/>
      <c r="AN89" s="373"/>
      <c r="AO89" s="373"/>
      <c r="AP89" s="373"/>
      <c r="AQ89" s="373"/>
      <c r="AR89" s="373"/>
      <c r="AS89" s="296"/>
      <c r="AT89" s="296"/>
    </row>
    <row r="90" spans="1:46" ht="16.5">
      <c r="B90" s="375" t="s">
        <v>65</v>
      </c>
      <c r="C90" s="1054">
        <f>6*3+7*(G90)</f>
        <v>548.33330000000001</v>
      </c>
      <c r="D90" s="1055"/>
      <c r="E90" s="1056">
        <f t="shared" si="72"/>
        <v>78.333328571428567</v>
      </c>
      <c r="F90" s="1057"/>
      <c r="G90" s="1058">
        <v>75.761899999999997</v>
      </c>
      <c r="H90" s="1059"/>
      <c r="I90" s="1060">
        <f>+E90/8</f>
        <v>9.7916660714285708</v>
      </c>
      <c r="J90" s="1061"/>
      <c r="K90" s="1062">
        <f>+E90*30</f>
        <v>2349.9998571428569</v>
      </c>
      <c r="L90" s="1063"/>
      <c r="M90" s="6"/>
      <c r="N90" s="1035">
        <f t="shared" si="66"/>
        <v>11.423610416666666</v>
      </c>
      <c r="O90" s="1035"/>
      <c r="P90" s="6"/>
      <c r="Q90" s="1048">
        <f t="shared" si="67"/>
        <v>-4.5604160714285706</v>
      </c>
      <c r="R90" s="1049"/>
      <c r="U90" s="342">
        <f>+AE50+U50+K50+AO28+AE28+U28+K28</f>
        <v>0</v>
      </c>
      <c r="V90" s="343">
        <v>48</v>
      </c>
      <c r="W90" s="344">
        <f t="shared" si="69"/>
        <v>48</v>
      </c>
      <c r="X90" s="345">
        <f>+J28+T28+AD28+J50+T50+AD50</f>
        <v>0</v>
      </c>
      <c r="Z90" s="372"/>
      <c r="AA90" s="372"/>
      <c r="AB90" s="480"/>
      <c r="AC90" s="480"/>
      <c r="AD90" s="480"/>
      <c r="AE90" s="296"/>
      <c r="AF90" s="296"/>
      <c r="AG90" s="425"/>
      <c r="AH90" s="425"/>
      <c r="AI90" s="425"/>
      <c r="AJ90" s="425"/>
      <c r="AK90" s="425"/>
      <c r="AL90" s="425"/>
      <c r="AM90" s="425"/>
      <c r="AN90" s="425"/>
      <c r="AO90" s="425"/>
      <c r="AP90" s="425"/>
      <c r="AQ90" s="296"/>
      <c r="AR90" s="296"/>
      <c r="AS90" s="296"/>
      <c r="AT90" s="296"/>
    </row>
    <row r="91" spans="1:46">
      <c r="AE91" s="376"/>
      <c r="AF91" s="376"/>
      <c r="AJ91" s="376"/>
      <c r="AK91" s="376"/>
    </row>
    <row r="92" spans="1:46" ht="26.25" thickBot="1">
      <c r="B92" s="377" t="s">
        <v>66</v>
      </c>
      <c r="H92" s="1052">
        <v>43191</v>
      </c>
      <c r="I92" s="1052"/>
      <c r="J92" s="1052"/>
      <c r="K92" s="1052"/>
      <c r="L92" s="1052"/>
      <c r="M92" s="1052"/>
      <c r="N92" s="1052"/>
      <c r="AD92" s="378"/>
      <c r="AE92" s="378"/>
      <c r="AF92" s="378"/>
      <c r="AG92" s="167"/>
      <c r="AH92" s="167"/>
      <c r="AI92" s="167"/>
      <c r="AJ92" s="376"/>
      <c r="AK92" s="376"/>
    </row>
    <row r="93" spans="1:46" ht="16.5" thickBot="1">
      <c r="B93" s="379">
        <v>1100</v>
      </c>
      <c r="C93" s="240" t="s">
        <v>67</v>
      </c>
      <c r="AD93" s="296"/>
      <c r="AE93" s="296"/>
      <c r="AF93" s="296"/>
      <c r="AG93" s="296"/>
      <c r="AH93" s="296"/>
      <c r="AI93" s="296"/>
      <c r="AJ93" s="296"/>
      <c r="AK93" s="296"/>
      <c r="AL93" s="296"/>
      <c r="AM93" s="296"/>
      <c r="AN93" s="296"/>
      <c r="AO93" s="296"/>
      <c r="AP93" s="267"/>
      <c r="AQ93" s="267"/>
      <c r="AR93" s="267"/>
      <c r="AS93" s="267"/>
      <c r="AT93" s="267"/>
    </row>
    <row r="94" spans="1:46" ht="15.75">
      <c r="B94" s="168">
        <f>+B93/30*7</f>
        <v>256.66666666666663</v>
      </c>
      <c r="C94" s="240" t="s">
        <v>68</v>
      </c>
      <c r="D94" s="380"/>
      <c r="O94" s="1053" t="s">
        <v>69</v>
      </c>
      <c r="P94" s="1053"/>
      <c r="Q94" s="1053"/>
      <c r="R94" s="1053"/>
      <c r="S94" s="1053"/>
      <c r="T94" s="1053"/>
      <c r="U94" s="1053"/>
      <c r="V94" s="1053"/>
      <c r="W94" s="1053"/>
      <c r="X94" s="1053"/>
      <c r="Y94" s="1053"/>
      <c r="Z94" s="1053"/>
      <c r="AD94" s="296"/>
      <c r="AE94" s="425"/>
      <c r="AF94" s="425"/>
      <c r="AG94" s="296"/>
      <c r="AH94" s="296"/>
      <c r="AI94" s="296"/>
      <c r="AJ94" s="425"/>
      <c r="AK94" s="425"/>
      <c r="AL94" s="296"/>
      <c r="AM94" s="296"/>
      <c r="AN94" s="296"/>
      <c r="AO94" s="296"/>
      <c r="AP94" s="267"/>
      <c r="AQ94" s="267"/>
      <c r="AR94" s="267"/>
      <c r="AS94" s="267"/>
      <c r="AT94" s="267"/>
    </row>
    <row r="95" spans="1:46">
      <c r="B95" s="168">
        <f>+B94-18</f>
        <v>238.66666666666663</v>
      </c>
      <c r="C95" s="240" t="s">
        <v>70</v>
      </c>
      <c r="O95" s="1053">
        <f>+B93</f>
        <v>1100</v>
      </c>
      <c r="P95" s="1053"/>
      <c r="Q95" s="1053" t="s">
        <v>71</v>
      </c>
      <c r="R95" s="1053"/>
      <c r="S95" s="1053"/>
      <c r="T95" s="1053"/>
      <c r="U95" s="1053"/>
      <c r="V95" s="1053"/>
      <c r="W95" s="1053"/>
      <c r="X95" s="1053"/>
      <c r="Y95" s="1053"/>
      <c r="Z95" s="1053"/>
      <c r="AA95" s="7" t="s">
        <v>72</v>
      </c>
      <c r="AD95" s="296"/>
      <c r="AE95" s="425"/>
      <c r="AF95" s="425"/>
      <c r="AG95" s="296"/>
      <c r="AH95" s="296"/>
      <c r="AI95" s="296"/>
      <c r="AJ95" s="425"/>
      <c r="AK95" s="425"/>
      <c r="AL95" s="296"/>
      <c r="AM95" s="296"/>
      <c r="AN95" s="296"/>
      <c r="AO95" s="296"/>
      <c r="AP95" s="267"/>
      <c r="AQ95" s="267"/>
      <c r="AR95" s="267"/>
      <c r="AS95" s="267"/>
      <c r="AT95" s="267"/>
    </row>
    <row r="96" spans="1:46">
      <c r="B96" s="381">
        <f>+B95/7+0</f>
        <v>34.095238095238088</v>
      </c>
      <c r="C96" s="382" t="s">
        <v>73</v>
      </c>
      <c r="D96" s="383"/>
      <c r="O96" s="1053">
        <f>+O95/30*7</f>
        <v>256.66666666666663</v>
      </c>
      <c r="P96" s="1053"/>
      <c r="Q96" s="1053" t="s">
        <v>74</v>
      </c>
      <c r="R96" s="1053"/>
      <c r="S96" s="1053"/>
      <c r="T96" s="1053"/>
      <c r="U96" s="1053"/>
      <c r="V96" s="1053"/>
      <c r="W96" s="1053"/>
      <c r="X96" s="1053"/>
      <c r="Y96" s="1053"/>
      <c r="Z96" s="1053"/>
      <c r="AA96" s="1064">
        <f>+O96*0.87</f>
        <v>223.29999999999995</v>
      </c>
      <c r="AB96" s="1064"/>
      <c r="AD96" s="296"/>
      <c r="AE96" s="384"/>
      <c r="AF96" s="384"/>
      <c r="AG96" s="296"/>
      <c r="AH96" s="296"/>
      <c r="AI96" s="296"/>
      <c r="AJ96" s="384"/>
      <c r="AK96" s="384"/>
      <c r="AL96" s="385"/>
      <c r="AM96" s="385"/>
      <c r="AN96" s="385"/>
      <c r="AO96" s="385"/>
      <c r="AP96" s="386"/>
      <c r="AQ96" s="386"/>
      <c r="AR96" s="267"/>
      <c r="AS96" s="267"/>
      <c r="AT96" s="267"/>
    </row>
    <row r="97" spans="2:46">
      <c r="O97" s="1053">
        <f>+O96/7</f>
        <v>36.666666666666664</v>
      </c>
      <c r="P97" s="1053"/>
      <c r="Q97" s="1053" t="s">
        <v>75</v>
      </c>
      <c r="R97" s="1053"/>
      <c r="S97" s="1053"/>
      <c r="T97" s="1053"/>
      <c r="U97" s="1053"/>
      <c r="V97" s="1053"/>
      <c r="W97" s="1053"/>
      <c r="X97" s="1053"/>
      <c r="Y97" s="1053"/>
      <c r="Z97" s="1053"/>
      <c r="AD97" s="296"/>
      <c r="AE97" s="425"/>
      <c r="AF97" s="425"/>
      <c r="AG97" s="296"/>
      <c r="AH97" s="296"/>
      <c r="AI97" s="296"/>
      <c r="AJ97" s="425"/>
      <c r="AK97" s="425"/>
      <c r="AL97" s="387"/>
      <c r="AM97" s="387"/>
      <c r="AN97" s="385"/>
      <c r="AO97" s="385"/>
      <c r="AP97" s="386"/>
      <c r="AQ97" s="386"/>
      <c r="AR97" s="267"/>
      <c r="AS97" s="267"/>
      <c r="AT97" s="267"/>
    </row>
    <row r="98" spans="2:46" ht="15.75">
      <c r="B98" s="388">
        <f>+B96</f>
        <v>34.095238095238088</v>
      </c>
      <c r="C98" s="389" t="s">
        <v>76</v>
      </c>
      <c r="D98" s="390"/>
      <c r="E98" s="390"/>
      <c r="F98" s="390"/>
      <c r="O98" s="1065">
        <f>(O96-18)/7</f>
        <v>34.095238095238088</v>
      </c>
      <c r="P98" s="1065"/>
      <c r="Q98" s="1065" t="s">
        <v>77</v>
      </c>
      <c r="R98" s="1065"/>
      <c r="S98" s="1065"/>
      <c r="T98" s="1065"/>
      <c r="U98" s="1065"/>
      <c r="V98" s="1065"/>
      <c r="W98" s="1065"/>
      <c r="X98" s="1065"/>
      <c r="Y98" s="1065"/>
      <c r="Z98" s="1065"/>
      <c r="AD98" s="296"/>
      <c r="AE98" s="391"/>
      <c r="AF98" s="391"/>
      <c r="AG98" s="392"/>
      <c r="AH98" s="392"/>
      <c r="AI98" s="392"/>
      <c r="AJ98" s="391"/>
      <c r="AK98" s="391"/>
      <c r="AL98" s="385"/>
      <c r="AM98" s="385"/>
      <c r="AN98" s="385"/>
      <c r="AO98" s="385"/>
      <c r="AP98" s="386"/>
      <c r="AQ98" s="386"/>
      <c r="AR98" s="267"/>
      <c r="AS98" s="267"/>
      <c r="AT98" s="267"/>
    </row>
    <row r="99" spans="2:46">
      <c r="B99" s="168">
        <v>3</v>
      </c>
      <c r="C99" s="240" t="s">
        <v>78</v>
      </c>
      <c r="O99" s="1053">
        <v>3</v>
      </c>
      <c r="P99" s="1053"/>
      <c r="Q99" s="1053" t="s">
        <v>79</v>
      </c>
      <c r="R99" s="1053"/>
      <c r="S99" s="1053"/>
      <c r="T99" s="1053"/>
      <c r="U99" s="1053"/>
      <c r="V99" s="1053"/>
      <c r="W99" s="1053"/>
      <c r="X99" s="1053"/>
      <c r="Y99" s="1053"/>
      <c r="Z99" s="1053"/>
      <c r="AD99" s="296"/>
      <c r="AE99" s="296"/>
      <c r="AF99" s="391"/>
      <c r="AG99" s="392"/>
      <c r="AH99" s="392"/>
      <c r="AI99" s="392"/>
      <c r="AJ99" s="391"/>
      <c r="AK99" s="296"/>
      <c r="AL99" s="385"/>
      <c r="AM99" s="385"/>
      <c r="AN99" s="385"/>
      <c r="AO99" s="385"/>
      <c r="AP99" s="386"/>
      <c r="AQ99" s="386"/>
      <c r="AR99" s="267"/>
      <c r="AS99" s="267"/>
      <c r="AT99" s="267"/>
    </row>
    <row r="100" spans="2:46">
      <c r="B100" s="381">
        <f>+B99+B98</f>
        <v>37.095238095238088</v>
      </c>
      <c r="C100" s="382" t="s">
        <v>80</v>
      </c>
      <c r="D100" s="393"/>
      <c r="E100" s="394"/>
      <c r="F100" s="395"/>
      <c r="G100" s="393"/>
      <c r="H100" s="393"/>
      <c r="I100" s="395"/>
      <c r="J100" s="393"/>
      <c r="K100" s="396"/>
      <c r="L100" s="396"/>
      <c r="M100" s="383"/>
      <c r="O100" s="1053">
        <f>+O99+O98</f>
        <v>37.095238095238088</v>
      </c>
      <c r="P100" s="1053"/>
      <c r="AD100" s="296"/>
      <c r="AE100" s="425"/>
      <c r="AF100" s="425"/>
      <c r="AG100" s="296"/>
      <c r="AH100" s="296"/>
      <c r="AI100" s="296"/>
      <c r="AJ100" s="425"/>
      <c r="AK100" s="425"/>
      <c r="AL100" s="387"/>
      <c r="AM100" s="387"/>
      <c r="AN100" s="387"/>
      <c r="AO100" s="387"/>
      <c r="AP100" s="397"/>
      <c r="AQ100" s="267"/>
      <c r="AR100" s="267"/>
      <c r="AS100" s="267"/>
      <c r="AT100" s="267"/>
    </row>
    <row r="101" spans="2:46">
      <c r="B101" s="168"/>
      <c r="AD101" s="296"/>
      <c r="AE101" s="398"/>
      <c r="AF101" s="398"/>
      <c r="AG101" s="398"/>
      <c r="AH101" s="296"/>
      <c r="AI101" s="296"/>
      <c r="AJ101" s="398"/>
      <c r="AK101" s="398"/>
      <c r="AL101" s="385"/>
      <c r="AM101" s="296"/>
      <c r="AN101" s="296"/>
      <c r="AO101" s="296"/>
      <c r="AP101" s="267"/>
      <c r="AQ101" s="267"/>
      <c r="AR101" s="267"/>
      <c r="AS101" s="267"/>
      <c r="AT101" s="267"/>
    </row>
    <row r="102" spans="2:46">
      <c r="B102" s="168">
        <f>+B100*6</f>
        <v>222.57142857142853</v>
      </c>
      <c r="C102" s="240" t="s">
        <v>81</v>
      </c>
      <c r="O102" s="1053" t="s">
        <v>82</v>
      </c>
      <c r="P102" s="1053"/>
      <c r="Q102" s="1053"/>
      <c r="R102" s="1053"/>
      <c r="S102" s="1053"/>
      <c r="T102" s="1053"/>
      <c r="U102" s="1053"/>
      <c r="V102" s="1053"/>
      <c r="W102" s="1053"/>
      <c r="X102" s="1053"/>
      <c r="Y102" s="1053"/>
      <c r="Z102" s="1053"/>
      <c r="AD102" s="296"/>
      <c r="AE102" s="296"/>
      <c r="AF102" s="296"/>
      <c r="AG102" s="296"/>
      <c r="AH102" s="296"/>
      <c r="AI102" s="385"/>
      <c r="AJ102" s="385"/>
      <c r="AK102" s="387"/>
      <c r="AL102" s="373"/>
      <c r="AM102" s="425"/>
      <c r="AN102" s="373"/>
      <c r="AO102" s="296"/>
      <c r="AP102" s="267"/>
      <c r="AQ102" s="267"/>
      <c r="AR102" s="267"/>
      <c r="AS102" s="267"/>
      <c r="AT102" s="267"/>
    </row>
    <row r="103" spans="2:46">
      <c r="B103" s="399">
        <f>+B98</f>
        <v>34.095238095238088</v>
      </c>
      <c r="C103" s="400" t="s">
        <v>83</v>
      </c>
      <c r="D103" s="401"/>
      <c r="E103" s="402"/>
      <c r="F103" s="403"/>
      <c r="G103" s="401"/>
      <c r="H103" s="401"/>
      <c r="I103" s="403"/>
      <c r="J103" s="401"/>
      <c r="K103" s="404"/>
      <c r="L103" s="405"/>
      <c r="O103" s="1053">
        <f>+O95*1.1</f>
        <v>1210</v>
      </c>
      <c r="P103" s="1053"/>
      <c r="Q103" s="1053" t="s">
        <v>71</v>
      </c>
      <c r="R103" s="1053"/>
      <c r="S103" s="1053"/>
      <c r="T103" s="1053"/>
      <c r="U103" s="1053"/>
      <c r="V103" s="1053"/>
      <c r="W103" s="1053"/>
      <c r="X103" s="1053"/>
      <c r="Y103" s="1053"/>
      <c r="Z103" s="1053"/>
      <c r="AA103" s="7" t="s">
        <v>84</v>
      </c>
      <c r="AG103" s="267"/>
      <c r="AH103" s="267"/>
      <c r="AI103" s="386"/>
      <c r="AJ103" s="386"/>
      <c r="AK103" s="386"/>
      <c r="AL103" s="267"/>
      <c r="AM103" s="267"/>
      <c r="AN103" s="267"/>
      <c r="AO103" s="267"/>
    </row>
    <row r="104" spans="2:46">
      <c r="B104" s="381">
        <f>+B103+B102</f>
        <v>256.66666666666663</v>
      </c>
      <c r="C104" s="382" t="s">
        <v>85</v>
      </c>
      <c r="D104" s="393"/>
      <c r="E104" s="394"/>
      <c r="F104" s="395"/>
      <c r="G104" s="393"/>
      <c r="H104" s="393"/>
      <c r="I104" s="395"/>
      <c r="J104" s="393"/>
      <c r="K104" s="406"/>
      <c r="L104" s="405"/>
      <c r="O104" s="1053">
        <f>+O103/30*7</f>
        <v>282.33333333333337</v>
      </c>
      <c r="P104" s="1053"/>
      <c r="Q104" s="1053" t="s">
        <v>74</v>
      </c>
      <c r="R104" s="1053"/>
      <c r="S104" s="1053"/>
      <c r="T104" s="1053"/>
      <c r="U104" s="1053"/>
      <c r="V104" s="1053"/>
      <c r="W104" s="1053"/>
      <c r="X104" s="1053"/>
      <c r="Y104" s="1053"/>
      <c r="Z104" s="1053"/>
      <c r="AA104" s="1064">
        <f>+O104*0.87</f>
        <v>245.63000000000002</v>
      </c>
      <c r="AB104" s="1064"/>
      <c r="AG104" s="267"/>
      <c r="AH104" s="267"/>
      <c r="AI104" s="386"/>
      <c r="AJ104" s="386"/>
      <c r="AK104" s="407"/>
      <c r="AL104" s="267"/>
      <c r="AM104" s="267"/>
      <c r="AN104" s="267"/>
      <c r="AO104" s="267"/>
    </row>
    <row r="105" spans="2:46">
      <c r="B105" s="408"/>
      <c r="C105" s="409"/>
      <c r="D105" s="333"/>
      <c r="E105" s="410"/>
      <c r="F105" s="411"/>
      <c r="G105" s="333"/>
      <c r="H105" s="333"/>
      <c r="I105" s="411"/>
      <c r="J105" s="333"/>
      <c r="K105" s="405"/>
      <c r="L105" s="405"/>
      <c r="O105" s="1053">
        <f>+O104/7</f>
        <v>40.333333333333336</v>
      </c>
      <c r="P105" s="1053"/>
      <c r="Q105" s="1053" t="s">
        <v>75</v>
      </c>
      <c r="R105" s="1053"/>
      <c r="S105" s="1053"/>
      <c r="T105" s="1053"/>
      <c r="U105" s="1053"/>
      <c r="V105" s="1053"/>
      <c r="W105" s="1053"/>
      <c r="X105" s="1053"/>
      <c r="Y105" s="1053"/>
      <c r="Z105" s="1053"/>
      <c r="AG105" s="267"/>
      <c r="AH105" s="267"/>
      <c r="AI105" s="412"/>
      <c r="AJ105" s="413"/>
      <c r="AK105" s="407"/>
      <c r="AL105" s="267"/>
      <c r="AM105" s="267"/>
      <c r="AN105" s="267"/>
      <c r="AO105" s="267"/>
    </row>
    <row r="106" spans="2:46" ht="15.75">
      <c r="B106" s="414">
        <f>+B104/7</f>
        <v>36.666666666666664</v>
      </c>
      <c r="C106" s="415" t="s">
        <v>86</v>
      </c>
      <c r="D106" s="416"/>
      <c r="E106" s="417"/>
      <c r="F106" s="418"/>
      <c r="G106" s="419"/>
      <c r="H106" s="419"/>
      <c r="I106" s="411"/>
      <c r="J106" s="333"/>
      <c r="K106" s="405"/>
      <c r="L106" s="405"/>
      <c r="O106" s="1065">
        <f>(O104-18)/7</f>
        <v>37.761904761904766</v>
      </c>
      <c r="P106" s="1065"/>
      <c r="Q106" s="1065" t="s">
        <v>77</v>
      </c>
      <c r="R106" s="1065"/>
      <c r="S106" s="1065"/>
      <c r="T106" s="1065"/>
      <c r="U106" s="1065"/>
      <c r="V106" s="1065"/>
      <c r="W106" s="1065"/>
      <c r="X106" s="1065"/>
      <c r="Y106" s="1065"/>
      <c r="Z106" s="1065"/>
      <c r="AG106" s="267"/>
      <c r="AH106" s="267"/>
      <c r="AI106" s="267"/>
      <c r="AJ106" s="267"/>
      <c r="AK106" s="407"/>
      <c r="AL106" s="267"/>
      <c r="AM106" s="267"/>
      <c r="AN106" s="267"/>
      <c r="AO106" s="267"/>
    </row>
    <row r="107" spans="2:46">
      <c r="B107" s="408"/>
      <c r="C107" s="409"/>
      <c r="D107" s="333"/>
      <c r="E107" s="410"/>
      <c r="F107" s="411"/>
      <c r="G107" s="333"/>
      <c r="H107" s="333"/>
      <c r="I107" s="411"/>
      <c r="J107" s="333"/>
      <c r="K107" s="405"/>
      <c r="L107" s="405"/>
      <c r="O107" s="1053">
        <v>3</v>
      </c>
      <c r="P107" s="1053"/>
      <c r="Q107" s="1053" t="s">
        <v>79</v>
      </c>
      <c r="R107" s="1053"/>
      <c r="S107" s="1053"/>
      <c r="T107" s="1053"/>
      <c r="U107" s="1053"/>
      <c r="V107" s="1053"/>
      <c r="W107" s="1053"/>
      <c r="X107" s="1053"/>
      <c r="Y107" s="1053"/>
      <c r="Z107" s="1053"/>
      <c r="AG107" s="267"/>
      <c r="AH107" s="267"/>
      <c r="AI107" s="267"/>
      <c r="AJ107" s="267"/>
      <c r="AK107" s="267"/>
      <c r="AL107" s="267"/>
      <c r="AM107" s="267"/>
      <c r="AN107" s="267"/>
      <c r="AO107" s="267"/>
    </row>
    <row r="108" spans="2:46">
      <c r="B108" s="408"/>
      <c r="C108" s="409"/>
      <c r="D108" s="333"/>
      <c r="E108" s="410"/>
      <c r="F108" s="411"/>
      <c r="G108" s="333"/>
      <c r="H108" s="333"/>
      <c r="I108" s="411"/>
      <c r="J108" s="333"/>
      <c r="K108" s="405"/>
      <c r="L108" s="405"/>
      <c r="O108" s="1053">
        <f>+O107+O106</f>
        <v>40.761904761904766</v>
      </c>
      <c r="P108" s="1053"/>
      <c r="AG108" s="267"/>
      <c r="AH108" s="267"/>
      <c r="AI108" s="267"/>
      <c r="AJ108" s="267"/>
      <c r="AK108" s="267"/>
      <c r="AL108" s="267"/>
      <c r="AM108" s="267"/>
      <c r="AN108" s="267"/>
      <c r="AO108" s="267"/>
    </row>
    <row r="109" spans="2:46">
      <c r="AG109" s="267"/>
      <c r="AH109" s="267"/>
      <c r="AI109" s="267"/>
      <c r="AJ109" s="267"/>
      <c r="AK109" s="267"/>
      <c r="AL109" s="267"/>
      <c r="AM109" s="267"/>
      <c r="AN109" s="267"/>
      <c r="AO109" s="267"/>
    </row>
    <row r="110" spans="2:46" ht="26.25" thickBot="1">
      <c r="B110" s="377" t="s">
        <v>87</v>
      </c>
      <c r="H110" s="1052">
        <v>43167</v>
      </c>
      <c r="I110" s="1052"/>
      <c r="J110" s="1052"/>
      <c r="K110" s="1052"/>
      <c r="L110" s="1052"/>
      <c r="M110" s="1052"/>
      <c r="N110" s="1052"/>
      <c r="O110" s="420" t="s">
        <v>88</v>
      </c>
      <c r="P110" s="421"/>
      <c r="Q110" s="422"/>
      <c r="AG110" s="267"/>
      <c r="AH110" s="267"/>
      <c r="AI110" s="267"/>
      <c r="AJ110" s="267"/>
      <c r="AK110" s="267"/>
      <c r="AL110" s="267"/>
      <c r="AM110" s="267"/>
      <c r="AN110" s="267"/>
      <c r="AO110" s="267"/>
    </row>
    <row r="111" spans="2:46" ht="16.5" thickBot="1">
      <c r="B111" s="379">
        <v>850</v>
      </c>
      <c r="C111" s="240" t="s">
        <v>67</v>
      </c>
      <c r="AD111" s="296"/>
      <c r="AE111" s="296"/>
      <c r="AF111" s="296"/>
      <c r="AG111" s="296"/>
      <c r="AH111" s="296"/>
      <c r="AI111" s="296"/>
      <c r="AJ111" s="296"/>
      <c r="AK111" s="296"/>
      <c r="AL111" s="296"/>
      <c r="AM111" s="296"/>
      <c r="AN111" s="296"/>
      <c r="AO111" s="296"/>
      <c r="AP111" s="267"/>
      <c r="AQ111" s="267"/>
      <c r="AR111" s="267"/>
      <c r="AS111" s="267"/>
      <c r="AT111" s="267"/>
    </row>
    <row r="112" spans="2:46" ht="15.75">
      <c r="B112" s="423">
        <f>+B111/30*7</f>
        <v>198.33333333333331</v>
      </c>
      <c r="C112" s="240" t="s">
        <v>68</v>
      </c>
      <c r="D112" s="380"/>
      <c r="O112" s="1053" t="s">
        <v>69</v>
      </c>
      <c r="P112" s="1053"/>
      <c r="Q112" s="1053"/>
      <c r="R112" s="1053"/>
      <c r="S112" s="1053"/>
      <c r="T112" s="1053"/>
      <c r="U112" s="1053"/>
      <c r="V112" s="1053"/>
      <c r="W112" s="1053"/>
      <c r="X112" s="1053"/>
      <c r="Y112" s="1053"/>
      <c r="Z112" s="1053"/>
      <c r="AD112" s="296"/>
      <c r="AE112" s="425"/>
      <c r="AF112" s="425"/>
      <c r="AG112" s="296"/>
      <c r="AH112" s="296"/>
      <c r="AI112" s="296"/>
      <c r="AJ112" s="425"/>
      <c r="AK112" s="425"/>
      <c r="AL112" s="296"/>
      <c r="AM112" s="296"/>
      <c r="AN112" s="296"/>
      <c r="AO112" s="296"/>
      <c r="AP112" s="267"/>
      <c r="AQ112" s="267"/>
      <c r="AR112" s="267"/>
      <c r="AS112" s="267"/>
      <c r="AT112" s="267"/>
    </row>
    <row r="113" spans="2:46">
      <c r="B113" s="423">
        <f>+B112-18</f>
        <v>180.33333333333331</v>
      </c>
      <c r="C113" s="240" t="s">
        <v>70</v>
      </c>
      <c r="O113" s="1053">
        <f>+B111</f>
        <v>850</v>
      </c>
      <c r="P113" s="1053"/>
      <c r="Q113" s="1053" t="s">
        <v>71</v>
      </c>
      <c r="R113" s="1053"/>
      <c r="S113" s="1053"/>
      <c r="T113" s="1053"/>
      <c r="U113" s="1053"/>
      <c r="V113" s="1053"/>
      <c r="W113" s="1053"/>
      <c r="X113" s="1053"/>
      <c r="Y113" s="1053"/>
      <c r="Z113" s="1053"/>
      <c r="AA113" s="7" t="s">
        <v>72</v>
      </c>
      <c r="AD113" s="296"/>
      <c r="AE113" s="996">
        <v>198.32</v>
      </c>
      <c r="AF113" s="996"/>
      <c r="AG113" s="996"/>
      <c r="AH113" s="296"/>
      <c r="AI113" s="996"/>
      <c r="AJ113" s="996"/>
      <c r="AK113" s="996"/>
      <c r="AL113" s="1068">
        <f>+AL114+AL115</f>
        <v>192.18149689334777</v>
      </c>
      <c r="AM113" s="1068"/>
      <c r="AN113" s="1068"/>
      <c r="AO113" s="1068">
        <f>+AL113-18</f>
        <v>174.18149689334777</v>
      </c>
      <c r="AP113" s="1068"/>
      <c r="AQ113" s="1068"/>
      <c r="AR113" s="267"/>
      <c r="AS113" s="267"/>
      <c r="AT113" s="267"/>
    </row>
    <row r="114" spans="2:46">
      <c r="B114" s="424">
        <f>+B113/7</f>
        <v>25.761904761904759</v>
      </c>
      <c r="C114" s="382" t="s">
        <v>73</v>
      </c>
      <c r="D114" s="383"/>
      <c r="O114" s="1053">
        <f>+O113/30*7</f>
        <v>198.33333333333331</v>
      </c>
      <c r="P114" s="1053"/>
      <c r="Q114" s="1053" t="s">
        <v>74</v>
      </c>
      <c r="R114" s="1053"/>
      <c r="S114" s="1053"/>
      <c r="T114" s="1053"/>
      <c r="U114" s="1053"/>
      <c r="V114" s="1053"/>
      <c r="W114" s="1053"/>
      <c r="X114" s="1053"/>
      <c r="Y114" s="1053"/>
      <c r="Z114" s="1053"/>
      <c r="AA114" s="1064">
        <f>+O114*0.87</f>
        <v>172.54999999999998</v>
      </c>
      <c r="AB114" s="1064"/>
      <c r="AD114" s="296"/>
      <c r="AE114" s="996">
        <v>22.89</v>
      </c>
      <c r="AF114" s="996"/>
      <c r="AG114" s="996"/>
      <c r="AH114" s="296"/>
      <c r="AI114" s="1069">
        <f>+AE114/AE113</f>
        <v>0.11541952400161357</v>
      </c>
      <c r="AJ114" s="1069"/>
      <c r="AK114" s="1069"/>
      <c r="AL114" s="1068">
        <f>+AI114*AL115/AI115</f>
        <v>22.181496893347781</v>
      </c>
      <c r="AM114" s="1068"/>
      <c r="AN114" s="1068"/>
      <c r="AO114" s="1070">
        <f>+AO113/7</f>
        <v>24.883070984763968</v>
      </c>
      <c r="AP114" s="1071"/>
      <c r="AQ114" s="1072"/>
      <c r="AR114" s="267"/>
      <c r="AS114" s="267"/>
      <c r="AT114" s="267"/>
    </row>
    <row r="115" spans="2:46">
      <c r="O115" s="1053">
        <f>+O114/7</f>
        <v>28.333333333333332</v>
      </c>
      <c r="P115" s="1053"/>
      <c r="Q115" s="1053" t="s">
        <v>75</v>
      </c>
      <c r="R115" s="1053"/>
      <c r="S115" s="1053"/>
      <c r="T115" s="1053"/>
      <c r="U115" s="1053"/>
      <c r="V115" s="1053"/>
      <c r="W115" s="1053"/>
      <c r="X115" s="1053"/>
      <c r="Y115" s="1053"/>
      <c r="Z115" s="1053"/>
      <c r="AD115" s="296"/>
      <c r="AE115" s="996">
        <v>175.43</v>
      </c>
      <c r="AF115" s="996"/>
      <c r="AG115" s="996"/>
      <c r="AH115" s="296"/>
      <c r="AI115" s="1066">
        <f>1-AI114</f>
        <v>0.88458047599838641</v>
      </c>
      <c r="AJ115" s="1067"/>
      <c r="AK115" s="1067"/>
      <c r="AL115" s="1068">
        <v>170</v>
      </c>
      <c r="AM115" s="1068"/>
      <c r="AN115" s="1068"/>
      <c r="AO115" s="996"/>
      <c r="AP115" s="996"/>
      <c r="AQ115" s="996"/>
      <c r="AR115" s="267"/>
      <c r="AS115" s="267"/>
      <c r="AT115" s="267"/>
    </row>
    <row r="116" spans="2:46" ht="15.75">
      <c r="B116" s="388">
        <f>+B114</f>
        <v>25.761904761904759</v>
      </c>
      <c r="C116" s="389" t="s">
        <v>76</v>
      </c>
      <c r="D116" s="390"/>
      <c r="E116" s="390"/>
      <c r="F116" s="390"/>
      <c r="O116" s="1065">
        <f>(O114-18)/7</f>
        <v>25.761904761904759</v>
      </c>
      <c r="P116" s="1065"/>
      <c r="Q116" s="1065" t="s">
        <v>77</v>
      </c>
      <c r="R116" s="1065"/>
      <c r="S116" s="1065"/>
      <c r="T116" s="1065"/>
      <c r="U116" s="1065"/>
      <c r="V116" s="1065"/>
      <c r="W116" s="1065"/>
      <c r="X116" s="1065"/>
      <c r="Y116" s="1065"/>
      <c r="Z116" s="1065"/>
      <c r="AD116" s="296"/>
      <c r="AE116" s="996"/>
      <c r="AF116" s="996"/>
      <c r="AG116" s="996"/>
      <c r="AH116" s="296"/>
      <c r="AI116" s="1067"/>
      <c r="AJ116" s="1067"/>
      <c r="AK116" s="1067"/>
      <c r="AL116" s="296"/>
      <c r="AM116" s="385"/>
      <c r="AN116" s="385"/>
      <c r="AO116" s="385"/>
      <c r="AP116" s="386"/>
      <c r="AQ116" s="386"/>
      <c r="AR116" s="267"/>
      <c r="AS116" s="267"/>
      <c r="AT116" s="267"/>
    </row>
    <row r="117" spans="2:46">
      <c r="B117" s="168">
        <v>3</v>
      </c>
      <c r="C117" s="240" t="s">
        <v>78</v>
      </c>
      <c r="O117" s="1053">
        <v>3</v>
      </c>
      <c r="P117" s="1053"/>
      <c r="Q117" s="1053" t="s">
        <v>79</v>
      </c>
      <c r="R117" s="1053"/>
      <c r="S117" s="1053"/>
      <c r="T117" s="1053"/>
      <c r="U117" s="1053"/>
      <c r="V117" s="1053"/>
      <c r="W117" s="1053"/>
      <c r="X117" s="1053"/>
      <c r="Y117" s="1053"/>
      <c r="Z117" s="1053"/>
      <c r="AD117" s="296"/>
      <c r="AE117" s="996">
        <v>198.39</v>
      </c>
      <c r="AF117" s="996"/>
      <c r="AG117" s="996"/>
      <c r="AH117" s="296"/>
      <c r="AI117" s="1067">
        <v>198.32</v>
      </c>
      <c r="AJ117" s="1067"/>
      <c r="AK117" s="1067"/>
      <c r="AL117" s="296"/>
      <c r="AM117" s="385"/>
      <c r="AN117" s="385"/>
      <c r="AO117" s="385"/>
      <c r="AP117" s="386"/>
      <c r="AQ117" s="386"/>
      <c r="AR117" s="267"/>
      <c r="AS117" s="267"/>
      <c r="AT117" s="267"/>
    </row>
    <row r="118" spans="2:46">
      <c r="B118" s="381">
        <f>+B117+B116</f>
        <v>28.761904761904759</v>
      </c>
      <c r="C118" s="382" t="s">
        <v>80</v>
      </c>
      <c r="D118" s="393"/>
      <c r="E118" s="394"/>
      <c r="F118" s="395"/>
      <c r="G118" s="393"/>
      <c r="H118" s="393"/>
      <c r="I118" s="395"/>
      <c r="J118" s="393"/>
      <c r="K118" s="396"/>
      <c r="L118" s="396"/>
      <c r="M118" s="383"/>
      <c r="O118" s="1053">
        <f>+O117+O116</f>
        <v>28.761904761904759</v>
      </c>
      <c r="P118" s="1053"/>
      <c r="AD118" s="296"/>
      <c r="AE118" s="1073">
        <f>+AE117/7*30</f>
        <v>850.24285714285702</v>
      </c>
      <c r="AF118" s="1073"/>
      <c r="AG118" s="1073"/>
      <c r="AH118" s="296"/>
      <c r="AI118" s="1074">
        <f>+AI117/7*30</f>
        <v>849.94285714285718</v>
      </c>
      <c r="AJ118" s="1074"/>
      <c r="AK118" s="1074"/>
      <c r="AL118" s="296"/>
      <c r="AM118" s="387"/>
      <c r="AN118" s="387"/>
      <c r="AO118" s="387"/>
      <c r="AP118" s="397"/>
      <c r="AQ118" s="267"/>
      <c r="AR118" s="267"/>
      <c r="AS118" s="267"/>
      <c r="AT118" s="267"/>
    </row>
    <row r="119" spans="2:46">
      <c r="B119" s="168"/>
      <c r="AD119" s="296"/>
      <c r="AE119" s="296"/>
      <c r="AF119" s="296"/>
      <c r="AG119" s="296"/>
      <c r="AH119" s="296"/>
      <c r="AI119" s="296"/>
      <c r="AJ119" s="296"/>
      <c r="AK119" s="296"/>
      <c r="AL119" s="296"/>
      <c r="AM119" s="296"/>
      <c r="AN119" s="296"/>
      <c r="AO119" s="296"/>
      <c r="AP119" s="267"/>
      <c r="AQ119" s="267"/>
      <c r="AR119" s="267"/>
      <c r="AS119" s="267"/>
      <c r="AT119" s="267"/>
    </row>
    <row r="120" spans="2:46">
      <c r="B120" s="168">
        <f>+B118*6</f>
        <v>172.57142857142856</v>
      </c>
      <c r="C120" s="240" t="s">
        <v>81</v>
      </c>
      <c r="O120" s="1053" t="s">
        <v>82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D120" s="296"/>
      <c r="AE120" s="296"/>
      <c r="AF120" s="296"/>
      <c r="AG120" s="296"/>
      <c r="AH120" s="296"/>
      <c r="AI120" s="385"/>
      <c r="AJ120" s="385"/>
      <c r="AK120" s="387"/>
      <c r="AL120" s="373"/>
      <c r="AM120" s="425"/>
      <c r="AN120" s="373"/>
      <c r="AO120" s="296"/>
      <c r="AP120" s="267"/>
      <c r="AQ120" s="267"/>
      <c r="AR120" s="267"/>
      <c r="AS120" s="267"/>
      <c r="AT120" s="267"/>
    </row>
    <row r="121" spans="2:46">
      <c r="B121" s="399">
        <f>+B116</f>
        <v>25.761904761904759</v>
      </c>
      <c r="C121" s="400" t="s">
        <v>83</v>
      </c>
      <c r="D121" s="401"/>
      <c r="E121" s="402"/>
      <c r="F121" s="403"/>
      <c r="G121" s="401"/>
      <c r="H121" s="401"/>
      <c r="I121" s="403"/>
      <c r="J121" s="401"/>
      <c r="K121" s="404"/>
      <c r="L121" s="405"/>
      <c r="O121" s="1053">
        <f>+O113*1.1</f>
        <v>935.00000000000011</v>
      </c>
      <c r="P121" s="1053"/>
      <c r="Q121" s="1053" t="s">
        <v>71</v>
      </c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7" t="s">
        <v>84</v>
      </c>
      <c r="AG121" s="267"/>
      <c r="AH121" s="267"/>
      <c r="AI121" s="386"/>
      <c r="AJ121" s="386"/>
      <c r="AK121" s="386"/>
      <c r="AL121" s="267"/>
      <c r="AM121" s="267"/>
      <c r="AN121" s="267"/>
      <c r="AO121" s="267"/>
    </row>
    <row r="122" spans="2:46">
      <c r="B122" s="381">
        <f>+B121+B120</f>
        <v>198.33333333333331</v>
      </c>
      <c r="C122" s="382" t="s">
        <v>85</v>
      </c>
      <c r="D122" s="393"/>
      <c r="E122" s="394"/>
      <c r="F122" s="395"/>
      <c r="G122" s="393"/>
      <c r="H122" s="393"/>
      <c r="I122" s="395"/>
      <c r="J122" s="393"/>
      <c r="K122" s="406"/>
      <c r="L122" s="405"/>
      <c r="O122" s="1053">
        <f>+O121/30*7</f>
        <v>218.16666666666669</v>
      </c>
      <c r="P122" s="1053"/>
      <c r="Q122" s="1053" t="s">
        <v>74</v>
      </c>
      <c r="R122" s="1053"/>
      <c r="S122" s="1053"/>
      <c r="T122" s="1053"/>
      <c r="U122" s="1053"/>
      <c r="V122" s="1053"/>
      <c r="W122" s="1053"/>
      <c r="X122" s="1053"/>
      <c r="Y122" s="1053"/>
      <c r="Z122" s="1053"/>
      <c r="AA122" s="1064">
        <f>+O122*0.87</f>
        <v>189.80500000000001</v>
      </c>
      <c r="AB122" s="1064"/>
      <c r="AG122" s="267"/>
      <c r="AH122" s="267"/>
      <c r="AI122" s="386"/>
      <c r="AJ122" s="386"/>
      <c r="AK122" s="407"/>
      <c r="AL122" s="267"/>
      <c r="AM122" s="267"/>
      <c r="AN122" s="267"/>
      <c r="AO122" s="267"/>
    </row>
    <row r="123" spans="2:46">
      <c r="B123" s="408"/>
      <c r="C123" s="409"/>
      <c r="D123" s="333"/>
      <c r="E123" s="410"/>
      <c r="F123" s="411"/>
      <c r="G123" s="333"/>
      <c r="H123" s="333"/>
      <c r="I123" s="411"/>
      <c r="J123" s="333"/>
      <c r="K123" s="405"/>
      <c r="L123" s="405"/>
      <c r="O123" s="1053">
        <f>+O122/7</f>
        <v>31.166666666666668</v>
      </c>
      <c r="P123" s="1053"/>
      <c r="Q123" s="1053" t="s">
        <v>75</v>
      </c>
      <c r="R123" s="1053"/>
      <c r="S123" s="1053"/>
      <c r="T123" s="1053"/>
      <c r="U123" s="1053"/>
      <c r="V123" s="1053"/>
      <c r="W123" s="1053"/>
      <c r="X123" s="1053"/>
      <c r="Y123" s="1053"/>
      <c r="Z123" s="1053"/>
      <c r="AG123" s="267"/>
      <c r="AH123" s="267"/>
      <c r="AI123" s="412"/>
      <c r="AJ123" s="413"/>
      <c r="AK123" s="407"/>
      <c r="AL123" s="267"/>
      <c r="AM123" s="267"/>
      <c r="AN123" s="267"/>
      <c r="AO123" s="267"/>
    </row>
    <row r="124" spans="2:46" ht="15.75">
      <c r="B124" s="426">
        <f>+B122/7</f>
        <v>28.333333333333332</v>
      </c>
      <c r="C124" s="415" t="s">
        <v>86</v>
      </c>
      <c r="D124" s="416"/>
      <c r="E124" s="417"/>
      <c r="F124" s="411"/>
      <c r="G124" s="333"/>
      <c r="H124" s="333"/>
      <c r="I124" s="411"/>
      <c r="J124" s="333"/>
      <c r="K124" s="405"/>
      <c r="L124" s="405"/>
      <c r="O124" s="1065">
        <f>(O122-18)/7</f>
        <v>28.595238095238098</v>
      </c>
      <c r="P124" s="1065"/>
      <c r="Q124" s="1065" t="s">
        <v>77</v>
      </c>
      <c r="R124" s="1065"/>
      <c r="S124" s="1065"/>
      <c r="T124" s="1065"/>
      <c r="U124" s="1065"/>
      <c r="V124" s="1065"/>
      <c r="W124" s="1065"/>
      <c r="X124" s="1065"/>
      <c r="Y124" s="1065"/>
      <c r="Z124" s="1065"/>
      <c r="AG124" s="267"/>
      <c r="AH124" s="267"/>
      <c r="AI124" s="267"/>
      <c r="AJ124" s="267"/>
      <c r="AK124" s="407"/>
      <c r="AL124" s="267"/>
      <c r="AM124" s="267"/>
      <c r="AN124" s="267"/>
      <c r="AO124" s="267"/>
    </row>
    <row r="125" spans="2:46">
      <c r="B125" s="408"/>
      <c r="C125" s="409"/>
      <c r="D125" s="333"/>
      <c r="E125" s="410"/>
      <c r="F125" s="411"/>
      <c r="G125" s="333"/>
      <c r="H125" s="333"/>
      <c r="I125" s="411"/>
      <c r="J125" s="333"/>
      <c r="K125" s="405"/>
      <c r="L125" s="405"/>
      <c r="O125" s="1053">
        <v>3</v>
      </c>
      <c r="P125" s="1053"/>
      <c r="Q125" s="1053" t="s">
        <v>79</v>
      </c>
      <c r="R125" s="1053"/>
      <c r="S125" s="1053"/>
      <c r="T125" s="1053"/>
      <c r="U125" s="1053"/>
      <c r="V125" s="1053"/>
      <c r="W125" s="1053"/>
      <c r="X125" s="1053"/>
      <c r="Y125" s="1053"/>
      <c r="Z125" s="1053"/>
      <c r="AG125" s="267"/>
      <c r="AH125" s="267"/>
      <c r="AI125" s="267"/>
      <c r="AJ125" s="267"/>
      <c r="AK125" s="267"/>
      <c r="AL125" s="267"/>
      <c r="AM125" s="267"/>
      <c r="AN125" s="267"/>
      <c r="AO125" s="267"/>
    </row>
    <row r="126" spans="2:46">
      <c r="B126" s="408">
        <v>28.333333333333332</v>
      </c>
      <c r="C126" s="409"/>
      <c r="D126" s="333"/>
      <c r="E126" s="410"/>
      <c r="F126" s="411"/>
      <c r="G126" s="333"/>
      <c r="H126" s="333"/>
      <c r="I126" s="411"/>
      <c r="J126" s="333"/>
      <c r="K126" s="405"/>
      <c r="L126" s="405"/>
      <c r="O126" s="1053">
        <f>+O125+O124</f>
        <v>31.595238095238098</v>
      </c>
      <c r="P126" s="1053"/>
      <c r="AG126" s="267"/>
      <c r="AH126" s="267"/>
      <c r="AI126" s="267"/>
      <c r="AJ126" s="267"/>
      <c r="AK126" s="267"/>
      <c r="AL126" s="267"/>
      <c r="AM126" s="267"/>
      <c r="AN126" s="267"/>
      <c r="AO126" s="267"/>
    </row>
    <row r="127" spans="2:46">
      <c r="B127" s="168"/>
      <c r="AG127" s="267"/>
      <c r="AH127" s="267"/>
      <c r="AI127" s="267"/>
      <c r="AJ127" s="267"/>
      <c r="AK127" s="267"/>
      <c r="AL127" s="267"/>
      <c r="AM127" s="267"/>
      <c r="AN127" s="267"/>
      <c r="AO127" s="267"/>
    </row>
    <row r="128" spans="2:46">
      <c r="B128" s="168"/>
      <c r="AG128" s="267"/>
      <c r="AH128" s="267"/>
      <c r="AI128" s="267"/>
      <c r="AJ128" s="267"/>
      <c r="AK128" s="267"/>
      <c r="AL128" s="267"/>
      <c r="AM128" s="267"/>
      <c r="AN128" s="267"/>
      <c r="AO128" s="267"/>
    </row>
    <row r="129" spans="2:46" ht="26.25" thickBot="1">
      <c r="B129" s="377" t="s">
        <v>89</v>
      </c>
      <c r="H129" s="1052">
        <v>42922</v>
      </c>
      <c r="I129" s="1052"/>
      <c r="J129" s="1052"/>
      <c r="K129" s="1052"/>
      <c r="L129" s="1052"/>
      <c r="M129" s="1052"/>
      <c r="N129" s="1052"/>
      <c r="AD129" s="378"/>
      <c r="AE129" s="378"/>
      <c r="AF129" s="378"/>
      <c r="AG129" s="167"/>
      <c r="AH129" s="167"/>
      <c r="AI129" s="167"/>
      <c r="AJ129" s="376"/>
      <c r="AK129" s="376"/>
    </row>
    <row r="130" spans="2:46" ht="16.5" thickBot="1">
      <c r="B130" s="379">
        <v>1231.53</v>
      </c>
      <c r="C130" s="240" t="s">
        <v>67</v>
      </c>
      <c r="AD130" s="296"/>
      <c r="AE130" s="296"/>
      <c r="AF130" s="296"/>
      <c r="AG130" s="296"/>
      <c r="AH130" s="296"/>
      <c r="AI130" s="296"/>
      <c r="AJ130" s="296"/>
      <c r="AK130" s="296"/>
      <c r="AL130" s="296"/>
      <c r="AM130" s="296"/>
      <c r="AN130" s="296"/>
      <c r="AO130" s="296"/>
      <c r="AP130" s="267"/>
      <c r="AQ130" s="267"/>
      <c r="AR130" s="267"/>
      <c r="AS130" s="267"/>
      <c r="AT130" s="267"/>
    </row>
    <row r="131" spans="2:46" ht="15.75">
      <c r="B131" s="168">
        <f>+B130/30*7</f>
        <v>287.35700000000003</v>
      </c>
      <c r="C131" s="240" t="s">
        <v>68</v>
      </c>
      <c r="D131" s="380"/>
      <c r="O131" s="1053" t="s">
        <v>69</v>
      </c>
      <c r="P131" s="1053"/>
      <c r="Q131" s="1053"/>
      <c r="R131" s="1053"/>
      <c r="S131" s="1053"/>
      <c r="T131" s="1053"/>
      <c r="U131" s="1053"/>
      <c r="V131" s="1053"/>
      <c r="W131" s="1053"/>
      <c r="X131" s="1053"/>
      <c r="Y131" s="1053"/>
      <c r="Z131" s="1053"/>
      <c r="AD131" s="296"/>
      <c r="AE131" s="425"/>
      <c r="AF131" s="425"/>
      <c r="AG131" s="296"/>
      <c r="AH131" s="296"/>
      <c r="AI131" s="296"/>
      <c r="AJ131" s="425"/>
      <c r="AK131" s="425"/>
      <c r="AL131" s="296"/>
      <c r="AM131" s="296"/>
      <c r="AN131" s="296"/>
      <c r="AO131" s="296"/>
      <c r="AP131" s="267"/>
      <c r="AQ131" s="267"/>
      <c r="AR131" s="267"/>
      <c r="AS131" s="267"/>
      <c r="AT131" s="267"/>
    </row>
    <row r="132" spans="2:46">
      <c r="B132" s="168">
        <f>+B131-18</f>
        <v>269.35700000000003</v>
      </c>
      <c r="C132" s="240" t="s">
        <v>70</v>
      </c>
      <c r="O132" s="1053">
        <f>+B130</f>
        <v>1231.53</v>
      </c>
      <c r="P132" s="1053"/>
      <c r="Q132" s="1053" t="s">
        <v>71</v>
      </c>
      <c r="R132" s="1053"/>
      <c r="S132" s="1053"/>
      <c r="T132" s="1053"/>
      <c r="U132" s="1053"/>
      <c r="V132" s="1053"/>
      <c r="W132" s="1053"/>
      <c r="X132" s="1053"/>
      <c r="Y132" s="1053"/>
      <c r="Z132" s="1053"/>
      <c r="AA132" s="7" t="s">
        <v>72</v>
      </c>
      <c r="AD132" s="296"/>
      <c r="AE132" s="425"/>
      <c r="AF132" s="425"/>
      <c r="AG132" s="296"/>
      <c r="AH132" s="296"/>
      <c r="AI132" s="296"/>
      <c r="AJ132" s="425"/>
      <c r="AK132" s="425"/>
      <c r="AL132" s="296"/>
      <c r="AM132" s="296"/>
      <c r="AN132" s="296"/>
      <c r="AO132" s="296"/>
      <c r="AP132" s="267"/>
      <c r="AQ132" s="267"/>
      <c r="AR132" s="267"/>
      <c r="AS132" s="267"/>
      <c r="AT132" s="267"/>
    </row>
    <row r="133" spans="2:46">
      <c r="B133" s="381">
        <f>+B132/7+0</f>
        <v>38.479571428571433</v>
      </c>
      <c r="C133" s="382" t="s">
        <v>73</v>
      </c>
      <c r="D133" s="383"/>
      <c r="O133" s="1053">
        <f>+O132/30*7</f>
        <v>287.35700000000003</v>
      </c>
      <c r="P133" s="1053"/>
      <c r="Q133" s="1053" t="s">
        <v>74</v>
      </c>
      <c r="R133" s="1053"/>
      <c r="S133" s="1053"/>
      <c r="T133" s="1053"/>
      <c r="U133" s="1053"/>
      <c r="V133" s="1053"/>
      <c r="W133" s="1053"/>
      <c r="X133" s="1053"/>
      <c r="Y133" s="1053"/>
      <c r="Z133" s="1053"/>
      <c r="AA133" s="1064">
        <f>+O133*0.87</f>
        <v>250.00059000000002</v>
      </c>
      <c r="AB133" s="1064"/>
      <c r="AD133" s="296"/>
      <c r="AE133" s="384"/>
      <c r="AF133" s="384"/>
      <c r="AG133" s="296"/>
      <c r="AH133" s="296"/>
      <c r="AI133" s="296"/>
      <c r="AJ133" s="384"/>
      <c r="AK133" s="384"/>
      <c r="AL133" s="385"/>
      <c r="AM133" s="385"/>
      <c r="AN133" s="385"/>
      <c r="AO133" s="385"/>
      <c r="AP133" s="386"/>
      <c r="AQ133" s="386"/>
      <c r="AR133" s="267"/>
      <c r="AS133" s="267"/>
      <c r="AT133" s="267"/>
    </row>
    <row r="134" spans="2:46">
      <c r="O134" s="1053">
        <f>+O133/7</f>
        <v>41.051000000000002</v>
      </c>
      <c r="P134" s="1053"/>
      <c r="Q134" s="1053" t="s">
        <v>75</v>
      </c>
      <c r="R134" s="1053"/>
      <c r="S134" s="1053"/>
      <c r="T134" s="1053"/>
      <c r="U134" s="1053"/>
      <c r="V134" s="1053"/>
      <c r="W134" s="1053"/>
      <c r="X134" s="1053"/>
      <c r="Y134" s="1053"/>
      <c r="Z134" s="1053"/>
      <c r="AD134" s="296"/>
      <c r="AE134" s="425"/>
      <c r="AF134" s="425"/>
      <c r="AG134" s="296"/>
      <c r="AH134" s="296"/>
      <c r="AI134" s="296"/>
      <c r="AJ134" s="425"/>
      <c r="AK134" s="425"/>
      <c r="AL134" s="387"/>
      <c r="AM134" s="387"/>
      <c r="AN134" s="385"/>
      <c r="AO134" s="385"/>
      <c r="AP134" s="386"/>
      <c r="AQ134" s="386"/>
      <c r="AR134" s="267"/>
      <c r="AS134" s="267"/>
      <c r="AT134" s="267"/>
    </row>
    <row r="135" spans="2:46" ht="15.75">
      <c r="B135" s="427">
        <f>+B133</f>
        <v>38.479571428571433</v>
      </c>
      <c r="C135" s="389" t="s">
        <v>76</v>
      </c>
      <c r="D135" s="390"/>
      <c r="E135" s="390"/>
      <c r="F135" s="390"/>
      <c r="O135" s="1065">
        <f>(O133-18)/7</f>
        <v>38.479571428571433</v>
      </c>
      <c r="P135" s="1065"/>
      <c r="Q135" s="1065" t="s">
        <v>77</v>
      </c>
      <c r="R135" s="1065"/>
      <c r="S135" s="1065"/>
      <c r="T135" s="1065"/>
      <c r="U135" s="1065"/>
      <c r="V135" s="1065"/>
      <c r="W135" s="1065"/>
      <c r="X135" s="1065"/>
      <c r="Y135" s="1065"/>
      <c r="Z135" s="1065"/>
      <c r="AD135" s="296"/>
      <c r="AE135" s="391"/>
      <c r="AF135" s="391"/>
      <c r="AG135" s="392"/>
      <c r="AH135" s="392"/>
      <c r="AI135" s="392"/>
      <c r="AJ135" s="391"/>
      <c r="AK135" s="391"/>
      <c r="AL135" s="385"/>
      <c r="AM135" s="385"/>
      <c r="AN135" s="385"/>
      <c r="AO135" s="385"/>
      <c r="AP135" s="386"/>
      <c r="AQ135" s="386"/>
      <c r="AR135" s="267"/>
      <c r="AS135" s="267"/>
      <c r="AT135" s="267"/>
    </row>
    <row r="136" spans="2:46">
      <c r="B136" s="168">
        <v>3</v>
      </c>
      <c r="C136" s="240" t="s">
        <v>78</v>
      </c>
      <c r="O136" s="1053">
        <v>3</v>
      </c>
      <c r="P136" s="1053"/>
      <c r="Q136" s="1053" t="s">
        <v>79</v>
      </c>
      <c r="R136" s="1053"/>
      <c r="S136" s="1053"/>
      <c r="T136" s="1053"/>
      <c r="U136" s="1053"/>
      <c r="V136" s="1053"/>
      <c r="W136" s="1053"/>
      <c r="X136" s="1053"/>
      <c r="Y136" s="1053"/>
      <c r="Z136" s="1053"/>
      <c r="AD136" s="296"/>
      <c r="AE136" s="296"/>
      <c r="AF136" s="391"/>
      <c r="AG136" s="392"/>
      <c r="AH136" s="392"/>
      <c r="AI136" s="392"/>
      <c r="AJ136" s="391"/>
      <c r="AK136" s="296"/>
      <c r="AL136" s="385"/>
      <c r="AM136" s="385"/>
      <c r="AN136" s="385"/>
      <c r="AO136" s="385"/>
      <c r="AP136" s="386"/>
      <c r="AQ136" s="386"/>
      <c r="AR136" s="267"/>
      <c r="AS136" s="267"/>
      <c r="AT136" s="267"/>
    </row>
    <row r="137" spans="2:46">
      <c r="B137" s="381">
        <f>+B136+B135</f>
        <v>41.479571428571433</v>
      </c>
      <c r="C137" s="382" t="s">
        <v>80</v>
      </c>
      <c r="D137" s="393"/>
      <c r="E137" s="394"/>
      <c r="F137" s="395"/>
      <c r="G137" s="393"/>
      <c r="H137" s="393"/>
      <c r="I137" s="395"/>
      <c r="J137" s="393"/>
      <c r="K137" s="396"/>
      <c r="L137" s="396"/>
      <c r="M137" s="383"/>
      <c r="O137" s="1053">
        <f>+O136+O135</f>
        <v>41.479571428571433</v>
      </c>
      <c r="P137" s="1053"/>
      <c r="AD137" s="296"/>
      <c r="AE137" s="425"/>
      <c r="AF137" s="425"/>
      <c r="AG137" s="296"/>
      <c r="AH137" s="296"/>
      <c r="AI137" s="296"/>
      <c r="AJ137" s="425"/>
      <c r="AK137" s="425"/>
      <c r="AL137" s="387"/>
      <c r="AM137" s="387"/>
      <c r="AN137" s="387"/>
      <c r="AO137" s="387"/>
      <c r="AP137" s="397"/>
      <c r="AQ137" s="267"/>
      <c r="AR137" s="267"/>
      <c r="AS137" s="267"/>
      <c r="AT137" s="267"/>
    </row>
    <row r="138" spans="2:46">
      <c r="B138" s="168"/>
      <c r="AD138" s="296"/>
      <c r="AE138" s="398"/>
      <c r="AF138" s="398"/>
      <c r="AG138" s="398"/>
      <c r="AH138" s="296"/>
      <c r="AI138" s="296"/>
      <c r="AJ138" s="398"/>
      <c r="AK138" s="398"/>
      <c r="AL138" s="385"/>
      <c r="AM138" s="296"/>
      <c r="AN138" s="296"/>
      <c r="AO138" s="296"/>
      <c r="AP138" s="267"/>
      <c r="AQ138" s="267"/>
      <c r="AR138" s="267"/>
      <c r="AS138" s="267"/>
      <c r="AT138" s="267"/>
    </row>
    <row r="139" spans="2:46">
      <c r="B139" s="168">
        <f>+B137*6</f>
        <v>248.8774285714286</v>
      </c>
      <c r="C139" s="240" t="s">
        <v>81</v>
      </c>
      <c r="O139" s="1053" t="s">
        <v>82</v>
      </c>
      <c r="P139" s="1053"/>
      <c r="Q139" s="1053"/>
      <c r="R139" s="1053"/>
      <c r="S139" s="1053"/>
      <c r="T139" s="1053"/>
      <c r="U139" s="1053"/>
      <c r="V139" s="1053"/>
      <c r="W139" s="1053"/>
      <c r="X139" s="1053"/>
      <c r="Y139" s="1053"/>
      <c r="Z139" s="1053"/>
      <c r="AD139" s="296"/>
      <c r="AE139" s="296"/>
      <c r="AF139" s="296"/>
      <c r="AG139" s="296"/>
      <c r="AH139" s="296"/>
      <c r="AI139" s="385"/>
      <c r="AJ139" s="385"/>
      <c r="AK139" s="387"/>
      <c r="AL139" s="373"/>
      <c r="AM139" s="425"/>
      <c r="AN139" s="373"/>
      <c r="AO139" s="296"/>
      <c r="AP139" s="267"/>
      <c r="AQ139" s="267"/>
      <c r="AR139" s="267"/>
      <c r="AS139" s="267"/>
      <c r="AT139" s="267"/>
    </row>
    <row r="140" spans="2:46">
      <c r="B140" s="399">
        <f>+B135</f>
        <v>38.479571428571433</v>
      </c>
      <c r="C140" s="400" t="s">
        <v>83</v>
      </c>
      <c r="D140" s="401"/>
      <c r="E140" s="402"/>
      <c r="F140" s="403"/>
      <c r="G140" s="401"/>
      <c r="H140" s="401"/>
      <c r="I140" s="403"/>
      <c r="J140" s="401"/>
      <c r="K140" s="404"/>
      <c r="L140" s="405"/>
      <c r="O140" s="1053">
        <f>+O132*1.1</f>
        <v>1354.683</v>
      </c>
      <c r="P140" s="1053"/>
      <c r="Q140" s="1053" t="s">
        <v>71</v>
      </c>
      <c r="R140" s="1053"/>
      <c r="S140" s="1053"/>
      <c r="T140" s="1053"/>
      <c r="U140" s="1053"/>
      <c r="V140" s="1053"/>
      <c r="W140" s="1053"/>
      <c r="X140" s="1053"/>
      <c r="Y140" s="1053"/>
      <c r="Z140" s="1053"/>
      <c r="AA140" s="7" t="s">
        <v>84</v>
      </c>
      <c r="AG140" s="267"/>
      <c r="AH140" s="267"/>
      <c r="AI140" s="386"/>
      <c r="AJ140" s="386"/>
      <c r="AK140" s="386"/>
      <c r="AL140" s="267"/>
      <c r="AM140" s="267"/>
      <c r="AN140" s="267"/>
      <c r="AO140" s="267"/>
    </row>
    <row r="141" spans="2:46">
      <c r="B141" s="381">
        <f>+B140+B139</f>
        <v>287.35700000000003</v>
      </c>
      <c r="C141" s="382" t="s">
        <v>85</v>
      </c>
      <c r="D141" s="393"/>
      <c r="E141" s="394"/>
      <c r="F141" s="395"/>
      <c r="G141" s="393"/>
      <c r="H141" s="393"/>
      <c r="I141" s="395"/>
      <c r="J141" s="393"/>
      <c r="K141" s="406"/>
      <c r="L141" s="405"/>
      <c r="O141" s="1053">
        <f>+O140/30*7</f>
        <v>316.09270000000004</v>
      </c>
      <c r="P141" s="1053"/>
      <c r="Q141" s="1053" t="s">
        <v>74</v>
      </c>
      <c r="R141" s="1053"/>
      <c r="S141" s="1053"/>
      <c r="T141" s="1053"/>
      <c r="U141" s="1053"/>
      <c r="V141" s="1053"/>
      <c r="W141" s="1053"/>
      <c r="X141" s="1053"/>
      <c r="Y141" s="1053"/>
      <c r="Z141" s="1053"/>
      <c r="AA141" s="1064">
        <f>+O141*0.87</f>
        <v>275.00064900000001</v>
      </c>
      <c r="AB141" s="1064"/>
      <c r="AG141" s="267"/>
      <c r="AH141" s="267"/>
      <c r="AI141" s="386"/>
      <c r="AJ141" s="386"/>
      <c r="AK141" s="407"/>
      <c r="AL141" s="267"/>
      <c r="AM141" s="267"/>
      <c r="AN141" s="267"/>
      <c r="AO141" s="267"/>
    </row>
    <row r="142" spans="2:46">
      <c r="B142" s="408"/>
      <c r="C142" s="409"/>
      <c r="D142" s="333"/>
      <c r="E142" s="410"/>
      <c r="F142" s="411"/>
      <c r="G142" s="333"/>
      <c r="H142" s="333"/>
      <c r="I142" s="411"/>
      <c r="J142" s="333"/>
      <c r="K142" s="405"/>
      <c r="L142" s="405"/>
      <c r="O142" s="1053">
        <f>+O141/7</f>
        <v>45.156100000000002</v>
      </c>
      <c r="P142" s="1053"/>
      <c r="Q142" s="1053" t="s">
        <v>75</v>
      </c>
      <c r="R142" s="1053"/>
      <c r="S142" s="1053"/>
      <c r="T142" s="1053"/>
      <c r="U142" s="1053"/>
      <c r="V142" s="1053"/>
      <c r="W142" s="1053"/>
      <c r="X142" s="1053"/>
      <c r="Y142" s="1053"/>
      <c r="Z142" s="1053"/>
      <c r="AG142" s="267"/>
      <c r="AH142" s="267"/>
      <c r="AI142" s="412"/>
      <c r="AJ142" s="413"/>
      <c r="AK142" s="407"/>
      <c r="AL142" s="267"/>
      <c r="AM142" s="267"/>
      <c r="AN142" s="267"/>
      <c r="AO142" s="267"/>
    </row>
    <row r="143" spans="2:46" ht="15.75">
      <c r="B143" s="426">
        <f>+B141/7</f>
        <v>41.051000000000002</v>
      </c>
      <c r="C143" s="415" t="s">
        <v>86</v>
      </c>
      <c r="D143" s="416"/>
      <c r="E143" s="417"/>
      <c r="F143" s="418"/>
      <c r="G143" s="419"/>
      <c r="H143" s="419"/>
      <c r="I143" s="411"/>
      <c r="J143" s="333"/>
      <c r="K143" s="405"/>
      <c r="L143" s="405"/>
      <c r="O143" s="1065">
        <f>(O141-18)/7</f>
        <v>42.584671428571433</v>
      </c>
      <c r="P143" s="1065"/>
      <c r="Q143" s="1065" t="s">
        <v>77</v>
      </c>
      <c r="R143" s="1065"/>
      <c r="S143" s="1065"/>
      <c r="T143" s="1065"/>
      <c r="U143" s="1065"/>
      <c r="V143" s="1065"/>
      <c r="W143" s="1065"/>
      <c r="X143" s="1065"/>
      <c r="Y143" s="1065"/>
      <c r="Z143" s="1065"/>
      <c r="AG143" s="267"/>
      <c r="AH143" s="267"/>
      <c r="AI143" s="267"/>
      <c r="AJ143" s="267"/>
      <c r="AK143" s="407"/>
      <c r="AL143" s="267"/>
      <c r="AM143" s="267"/>
      <c r="AN143" s="267"/>
      <c r="AO143" s="267"/>
    </row>
    <row r="144" spans="2:46">
      <c r="B144" s="408"/>
      <c r="C144" s="409"/>
      <c r="D144" s="333"/>
      <c r="E144" s="410"/>
      <c r="F144" s="411"/>
      <c r="G144" s="333"/>
      <c r="H144" s="333"/>
      <c r="I144" s="411"/>
      <c r="J144" s="333"/>
      <c r="K144" s="405"/>
      <c r="L144" s="405"/>
      <c r="O144" s="1053">
        <v>3</v>
      </c>
      <c r="P144" s="1053"/>
      <c r="Q144" s="1053" t="s">
        <v>79</v>
      </c>
      <c r="R144" s="1053"/>
      <c r="S144" s="1053"/>
      <c r="T144" s="1053"/>
      <c r="U144" s="1053"/>
      <c r="V144" s="1053"/>
      <c r="W144" s="1053"/>
      <c r="X144" s="1053"/>
      <c r="Y144" s="1053"/>
      <c r="Z144" s="1053"/>
      <c r="AG144" s="267"/>
      <c r="AH144" s="267"/>
      <c r="AI144" s="267"/>
      <c r="AJ144" s="267"/>
      <c r="AK144" s="267"/>
      <c r="AL144" s="267"/>
      <c r="AM144" s="267"/>
      <c r="AN144" s="267"/>
      <c r="AO144" s="267"/>
    </row>
    <row r="145" spans="2:46">
      <c r="B145" s="408"/>
      <c r="C145" s="409"/>
      <c r="D145" s="333"/>
      <c r="E145" s="410"/>
      <c r="F145" s="411"/>
      <c r="G145" s="333"/>
      <c r="H145" s="333"/>
      <c r="I145" s="411"/>
      <c r="J145" s="333"/>
      <c r="K145" s="405"/>
      <c r="L145" s="405"/>
      <c r="O145" s="1053">
        <f>+O144+O143</f>
        <v>45.584671428571433</v>
      </c>
      <c r="P145" s="1053"/>
      <c r="AG145" s="267"/>
      <c r="AH145" s="267"/>
      <c r="AI145" s="267"/>
      <c r="AJ145" s="267"/>
      <c r="AK145" s="267"/>
      <c r="AL145" s="267"/>
      <c r="AM145" s="267"/>
      <c r="AN145" s="267"/>
      <c r="AO145" s="267"/>
    </row>
    <row r="146" spans="2:46">
      <c r="B146" s="168"/>
      <c r="AG146" s="267"/>
      <c r="AH146" s="267"/>
      <c r="AI146" s="267"/>
      <c r="AJ146" s="267"/>
      <c r="AK146" s="267"/>
      <c r="AL146" s="267"/>
      <c r="AM146" s="267"/>
      <c r="AN146" s="267"/>
      <c r="AO146" s="267"/>
    </row>
    <row r="147" spans="2:46" ht="26.25" thickBot="1">
      <c r="B147" s="377" t="s">
        <v>53</v>
      </c>
      <c r="H147" s="1052">
        <v>42744</v>
      </c>
      <c r="I147" s="1052"/>
      <c r="J147" s="1052"/>
      <c r="K147" s="1052"/>
      <c r="L147" s="1052"/>
      <c r="M147" s="1052"/>
      <c r="N147" s="1052"/>
      <c r="AD147" s="378"/>
      <c r="AE147" s="378"/>
      <c r="AF147" s="378"/>
      <c r="AG147" s="167"/>
      <c r="AH147" s="167"/>
      <c r="AI147" s="167"/>
      <c r="AJ147" s="376"/>
      <c r="AK147" s="376"/>
    </row>
    <row r="148" spans="2:46" ht="16.5" thickBot="1">
      <c r="B148" s="379">
        <v>1232.1400000000001</v>
      </c>
      <c r="C148" s="240" t="s">
        <v>67</v>
      </c>
      <c r="AD148" s="296"/>
      <c r="AE148" s="296"/>
      <c r="AF148" s="296"/>
      <c r="AG148" s="296"/>
      <c r="AH148" s="296"/>
      <c r="AI148" s="296"/>
      <c r="AJ148" s="296"/>
      <c r="AK148" s="296"/>
      <c r="AL148" s="296"/>
      <c r="AM148" s="296"/>
      <c r="AN148" s="296"/>
      <c r="AO148" s="296"/>
      <c r="AP148" s="267"/>
      <c r="AQ148" s="267"/>
      <c r="AR148" s="267"/>
      <c r="AS148" s="267"/>
      <c r="AT148" s="267"/>
    </row>
    <row r="149" spans="2:46" ht="15.75">
      <c r="B149" s="168">
        <f>+B148/30*7</f>
        <v>287.49933333333337</v>
      </c>
      <c r="C149" s="240" t="s">
        <v>68</v>
      </c>
      <c r="D149" s="380"/>
      <c r="O149" s="1053" t="s">
        <v>69</v>
      </c>
      <c r="P149" s="1053"/>
      <c r="Q149" s="1053"/>
      <c r="R149" s="1053"/>
      <c r="S149" s="1053"/>
      <c r="T149" s="1053"/>
      <c r="U149" s="1053"/>
      <c r="V149" s="1053"/>
      <c r="W149" s="1053"/>
      <c r="X149" s="1053"/>
      <c r="Y149" s="1053"/>
      <c r="Z149" s="1053"/>
      <c r="AD149" s="296"/>
      <c r="AE149" s="425"/>
      <c r="AF149" s="425"/>
      <c r="AG149" s="296"/>
      <c r="AH149" s="296"/>
      <c r="AI149" s="296"/>
      <c r="AJ149" s="425"/>
      <c r="AK149" s="425"/>
      <c r="AL149" s="296"/>
      <c r="AM149" s="296"/>
      <c r="AN149" s="296"/>
      <c r="AO149" s="296"/>
      <c r="AP149" s="267"/>
      <c r="AQ149" s="267"/>
      <c r="AR149" s="267"/>
      <c r="AS149" s="267"/>
      <c r="AT149" s="267"/>
    </row>
    <row r="150" spans="2:46">
      <c r="B150" s="168">
        <f>+B149-18</f>
        <v>269.49933333333337</v>
      </c>
      <c r="C150" s="240" t="s">
        <v>70</v>
      </c>
      <c r="O150" s="1053">
        <f>+B148</f>
        <v>1232.1400000000001</v>
      </c>
      <c r="P150" s="1053"/>
      <c r="Q150" s="1053" t="s">
        <v>71</v>
      </c>
      <c r="R150" s="1053"/>
      <c r="S150" s="1053"/>
      <c r="T150" s="1053"/>
      <c r="U150" s="1053"/>
      <c r="V150" s="1053"/>
      <c r="W150" s="1053"/>
      <c r="X150" s="1053"/>
      <c r="Y150" s="1053"/>
      <c r="Z150" s="1053"/>
      <c r="AA150" s="7" t="s">
        <v>72</v>
      </c>
      <c r="AD150" s="296"/>
      <c r="AE150" s="425"/>
      <c r="AF150" s="425"/>
      <c r="AG150" s="296"/>
      <c r="AH150" s="296"/>
      <c r="AI150" s="296"/>
      <c r="AJ150" s="425"/>
      <c r="AK150" s="425"/>
      <c r="AL150" s="296"/>
      <c r="AM150" s="296"/>
      <c r="AN150" s="296"/>
      <c r="AO150" s="296"/>
      <c r="AP150" s="267"/>
      <c r="AQ150" s="267"/>
      <c r="AR150" s="267"/>
      <c r="AS150" s="267"/>
      <c r="AT150" s="267"/>
    </row>
    <row r="151" spans="2:46">
      <c r="B151" s="381">
        <f>+B150/7+0</f>
        <v>38.499904761904766</v>
      </c>
      <c r="C151" s="382" t="s">
        <v>73</v>
      </c>
      <c r="D151" s="383"/>
      <c r="O151" s="1053">
        <f>+O150/30*7</f>
        <v>287.49933333333337</v>
      </c>
      <c r="P151" s="1053"/>
      <c r="Q151" s="1053" t="s">
        <v>74</v>
      </c>
      <c r="R151" s="1053"/>
      <c r="S151" s="1053"/>
      <c r="T151" s="1053"/>
      <c r="U151" s="1053"/>
      <c r="V151" s="1053"/>
      <c r="W151" s="1053"/>
      <c r="X151" s="1053"/>
      <c r="Y151" s="1053"/>
      <c r="Z151" s="1053"/>
      <c r="AA151" s="1064">
        <f>+O151*0.87</f>
        <v>250.12442000000001</v>
      </c>
      <c r="AB151" s="1064"/>
      <c r="AD151" s="296"/>
      <c r="AE151" s="384"/>
      <c r="AF151" s="384"/>
      <c r="AG151" s="296"/>
      <c r="AH151" s="296"/>
      <c r="AI151" s="296"/>
      <c r="AJ151" s="384"/>
      <c r="AK151" s="384"/>
      <c r="AL151" s="385"/>
      <c r="AM151" s="385"/>
      <c r="AN151" s="385"/>
      <c r="AO151" s="385"/>
      <c r="AP151" s="386"/>
      <c r="AQ151" s="386"/>
      <c r="AR151" s="267"/>
      <c r="AS151" s="267"/>
      <c r="AT151" s="267"/>
    </row>
    <row r="152" spans="2:46">
      <c r="O152" s="1053">
        <f>+O151/7</f>
        <v>41.071333333333335</v>
      </c>
      <c r="P152" s="1053"/>
      <c r="Q152" s="1053" t="s">
        <v>75</v>
      </c>
      <c r="R152" s="1053"/>
      <c r="S152" s="1053"/>
      <c r="T152" s="1053"/>
      <c r="U152" s="1053"/>
      <c r="V152" s="1053"/>
      <c r="W152" s="1053"/>
      <c r="X152" s="1053"/>
      <c r="Y152" s="1053"/>
      <c r="Z152" s="1053"/>
      <c r="AD152" s="296"/>
      <c r="AE152" s="425"/>
      <c r="AF152" s="425"/>
      <c r="AG152" s="296"/>
      <c r="AH152" s="296"/>
      <c r="AI152" s="296"/>
      <c r="AJ152" s="425"/>
      <c r="AK152" s="425"/>
      <c r="AL152" s="387"/>
      <c r="AM152" s="387"/>
      <c r="AN152" s="385"/>
      <c r="AO152" s="385"/>
      <c r="AP152" s="386"/>
      <c r="AQ152" s="386"/>
      <c r="AR152" s="267"/>
      <c r="AS152" s="267"/>
      <c r="AT152" s="267"/>
    </row>
    <row r="153" spans="2:46" ht="15.75">
      <c r="B153" s="427">
        <f>+B151</f>
        <v>38.499904761904766</v>
      </c>
      <c r="C153" s="389" t="s">
        <v>76</v>
      </c>
      <c r="D153" s="390"/>
      <c r="E153" s="390"/>
      <c r="F153" s="390"/>
      <c r="O153" s="1065">
        <f>(O151-18)/7</f>
        <v>38.499904761904766</v>
      </c>
      <c r="P153" s="1065"/>
      <c r="Q153" s="1065" t="s">
        <v>77</v>
      </c>
      <c r="R153" s="1065"/>
      <c r="S153" s="1065"/>
      <c r="T153" s="1065"/>
      <c r="U153" s="1065"/>
      <c r="V153" s="1065"/>
      <c r="W153" s="1065"/>
      <c r="X153" s="1065"/>
      <c r="Y153" s="1065"/>
      <c r="Z153" s="1065"/>
      <c r="AD153" s="296"/>
      <c r="AE153" s="391"/>
      <c r="AF153" s="391"/>
      <c r="AG153" s="392"/>
      <c r="AH153" s="392"/>
      <c r="AI153" s="392"/>
      <c r="AJ153" s="391"/>
      <c r="AK153" s="391"/>
      <c r="AL153" s="385"/>
      <c r="AM153" s="385"/>
      <c r="AN153" s="385"/>
      <c r="AO153" s="385"/>
      <c r="AP153" s="386"/>
      <c r="AQ153" s="386"/>
      <c r="AR153" s="267"/>
      <c r="AS153" s="267"/>
      <c r="AT153" s="267"/>
    </row>
    <row r="154" spans="2:46">
      <c r="B154" s="168">
        <v>3</v>
      </c>
      <c r="C154" s="240" t="s">
        <v>78</v>
      </c>
      <c r="O154" s="1053">
        <v>3</v>
      </c>
      <c r="P154" s="1053"/>
      <c r="Q154" s="1053" t="s">
        <v>79</v>
      </c>
      <c r="R154" s="1053"/>
      <c r="S154" s="1053"/>
      <c r="T154" s="1053"/>
      <c r="U154" s="1053"/>
      <c r="V154" s="1053"/>
      <c r="W154" s="1053"/>
      <c r="X154" s="1053"/>
      <c r="Y154" s="1053"/>
      <c r="Z154" s="1053"/>
      <c r="AD154" s="296"/>
      <c r="AE154" s="296"/>
      <c r="AF154" s="996">
        <v>993814365</v>
      </c>
      <c r="AG154" s="996"/>
      <c r="AH154" s="996"/>
      <c r="AI154" s="996"/>
      <c r="AJ154" s="996"/>
      <c r="AK154" s="296"/>
      <c r="AL154" s="385"/>
      <c r="AM154" s="385"/>
      <c r="AN154" s="385"/>
      <c r="AO154" s="385"/>
      <c r="AP154" s="386"/>
      <c r="AQ154" s="386"/>
      <c r="AR154" s="267"/>
      <c r="AS154" s="267"/>
      <c r="AT154" s="267"/>
    </row>
    <row r="155" spans="2:46">
      <c r="B155" s="381">
        <f>+B154+B153</f>
        <v>41.499904761904766</v>
      </c>
      <c r="C155" s="382" t="s">
        <v>80</v>
      </c>
      <c r="D155" s="393"/>
      <c r="E155" s="394"/>
      <c r="F155" s="395"/>
      <c r="G155" s="393"/>
      <c r="H155" s="393"/>
      <c r="I155" s="395"/>
      <c r="J155" s="393"/>
      <c r="K155" s="396"/>
      <c r="L155" s="396"/>
      <c r="M155" s="383"/>
      <c r="O155" s="1053">
        <f>+O154+O153</f>
        <v>41.499904761904766</v>
      </c>
      <c r="P155" s="1053"/>
      <c r="AD155" s="296"/>
      <c r="AE155" s="425"/>
      <c r="AF155" s="425"/>
      <c r="AG155" s="296"/>
      <c r="AH155" s="296"/>
      <c r="AI155" s="296"/>
      <c r="AJ155" s="425"/>
      <c r="AK155" s="425"/>
      <c r="AL155" s="387"/>
      <c r="AM155" s="387"/>
      <c r="AN155" s="387"/>
      <c r="AO155" s="387"/>
      <c r="AP155" s="397"/>
      <c r="AQ155" s="267"/>
      <c r="AR155" s="267"/>
      <c r="AS155" s="267"/>
      <c r="AT155" s="267"/>
    </row>
    <row r="156" spans="2:46">
      <c r="B156" s="168"/>
      <c r="AD156" s="296"/>
      <c r="AE156" s="398"/>
      <c r="AF156" s="398"/>
      <c r="AG156" s="398"/>
      <c r="AH156" s="296"/>
      <c r="AI156" s="296"/>
      <c r="AJ156" s="398"/>
      <c r="AK156" s="398"/>
      <c r="AL156" s="385"/>
      <c r="AM156" s="296"/>
      <c r="AN156" s="296"/>
      <c r="AO156" s="296"/>
      <c r="AP156" s="267"/>
      <c r="AQ156" s="267"/>
      <c r="AR156" s="267"/>
      <c r="AS156" s="267"/>
      <c r="AT156" s="267"/>
    </row>
    <row r="157" spans="2:46">
      <c r="B157" s="168">
        <f>+B155*6</f>
        <v>248.99942857142861</v>
      </c>
      <c r="C157" s="240" t="s">
        <v>81</v>
      </c>
      <c r="O157" s="1053" t="s">
        <v>82</v>
      </c>
      <c r="P157" s="1053"/>
      <c r="Q157" s="1053"/>
      <c r="R157" s="1053"/>
      <c r="S157" s="1053"/>
      <c r="T157" s="1053"/>
      <c r="U157" s="1053"/>
      <c r="V157" s="1053"/>
      <c r="W157" s="1053"/>
      <c r="X157" s="1053"/>
      <c r="Y157" s="1053"/>
      <c r="Z157" s="1053"/>
      <c r="AD157" s="296"/>
      <c r="AE157" s="296"/>
      <c r="AF157" s="296"/>
      <c r="AG157" s="296"/>
      <c r="AH157" s="296"/>
      <c r="AI157" s="385"/>
      <c r="AJ157" s="385"/>
      <c r="AK157" s="387"/>
      <c r="AL157" s="373"/>
      <c r="AM157" s="425"/>
      <c r="AN157" s="373"/>
      <c r="AO157" s="296"/>
      <c r="AP157" s="267"/>
      <c r="AQ157" s="267"/>
      <c r="AR157" s="267"/>
      <c r="AS157" s="267"/>
      <c r="AT157" s="267"/>
    </row>
    <row r="158" spans="2:46">
      <c r="B158" s="399">
        <f>+B153</f>
        <v>38.499904761904766</v>
      </c>
      <c r="C158" s="400" t="s">
        <v>83</v>
      </c>
      <c r="D158" s="401"/>
      <c r="E158" s="402"/>
      <c r="F158" s="403"/>
      <c r="G158" s="401"/>
      <c r="H158" s="401"/>
      <c r="I158" s="403"/>
      <c r="J158" s="401"/>
      <c r="K158" s="404"/>
      <c r="L158" s="405"/>
      <c r="O158" s="1053">
        <f>+O150*1.1</f>
        <v>1355.3540000000003</v>
      </c>
      <c r="P158" s="1053"/>
      <c r="Q158" s="1053" t="s">
        <v>71</v>
      </c>
      <c r="R158" s="1053"/>
      <c r="S158" s="1053"/>
      <c r="T158" s="1053"/>
      <c r="U158" s="1053"/>
      <c r="V158" s="1053"/>
      <c r="W158" s="1053"/>
      <c r="X158" s="1053"/>
      <c r="Y158" s="1053"/>
      <c r="Z158" s="1053"/>
      <c r="AA158" s="7" t="s">
        <v>84</v>
      </c>
      <c r="AG158" s="267"/>
      <c r="AH158" s="267"/>
      <c r="AI158" s="386"/>
      <c r="AJ158" s="386"/>
      <c r="AK158" s="386"/>
      <c r="AL158" s="267"/>
      <c r="AM158" s="267"/>
      <c r="AN158" s="267"/>
      <c r="AO158" s="267"/>
    </row>
    <row r="159" spans="2:46">
      <c r="B159" s="381">
        <f>+B158+B157</f>
        <v>287.49933333333337</v>
      </c>
      <c r="C159" s="382" t="s">
        <v>85</v>
      </c>
      <c r="D159" s="393"/>
      <c r="E159" s="394"/>
      <c r="F159" s="395"/>
      <c r="G159" s="393"/>
      <c r="H159" s="393"/>
      <c r="I159" s="395"/>
      <c r="J159" s="393"/>
      <c r="K159" s="406"/>
      <c r="L159" s="405"/>
      <c r="O159" s="1053">
        <f>+O158/30*7</f>
        <v>316.2492666666667</v>
      </c>
      <c r="P159" s="1053"/>
      <c r="Q159" s="1053" t="s">
        <v>74</v>
      </c>
      <c r="R159" s="1053"/>
      <c r="S159" s="1053"/>
      <c r="T159" s="1053"/>
      <c r="U159" s="1053"/>
      <c r="V159" s="1053"/>
      <c r="W159" s="1053"/>
      <c r="X159" s="1053"/>
      <c r="Y159" s="1053"/>
      <c r="Z159" s="1053"/>
      <c r="AA159" s="1064">
        <f>+O159*0.87</f>
        <v>275.13686200000001</v>
      </c>
      <c r="AB159" s="1064"/>
      <c r="AG159" s="267"/>
      <c r="AH159" s="267"/>
      <c r="AI159" s="386"/>
      <c r="AJ159" s="386"/>
      <c r="AK159" s="407"/>
      <c r="AL159" s="267"/>
      <c r="AM159" s="267"/>
      <c r="AN159" s="267"/>
      <c r="AO159" s="267"/>
    </row>
    <row r="160" spans="2:46">
      <c r="B160" s="408"/>
      <c r="C160" s="409"/>
      <c r="D160" s="333"/>
      <c r="E160" s="410"/>
      <c r="F160" s="411"/>
      <c r="G160" s="333"/>
      <c r="H160" s="333"/>
      <c r="I160" s="411"/>
      <c r="J160" s="333"/>
      <c r="K160" s="405"/>
      <c r="L160" s="405"/>
      <c r="O160" s="1053">
        <f>+O159/7</f>
        <v>45.178466666666672</v>
      </c>
      <c r="P160" s="1053"/>
      <c r="Q160" s="1053" t="s">
        <v>75</v>
      </c>
      <c r="R160" s="1053"/>
      <c r="S160" s="1053"/>
      <c r="T160" s="1053"/>
      <c r="U160" s="1053"/>
      <c r="V160" s="1053"/>
      <c r="W160" s="1053"/>
      <c r="X160" s="1053"/>
      <c r="Y160" s="1053"/>
      <c r="Z160" s="1053"/>
      <c r="AG160" s="267"/>
      <c r="AH160" s="267"/>
      <c r="AI160" s="412"/>
      <c r="AJ160" s="413"/>
      <c r="AK160" s="407"/>
      <c r="AL160" s="267"/>
      <c r="AM160" s="267"/>
      <c r="AN160" s="267"/>
      <c r="AO160" s="267"/>
    </row>
    <row r="161" spans="2:46" ht="15.75">
      <c r="B161" s="426">
        <f>+B159/7</f>
        <v>41.071333333333335</v>
      </c>
      <c r="C161" s="415" t="s">
        <v>86</v>
      </c>
      <c r="D161" s="416"/>
      <c r="E161" s="417"/>
      <c r="F161" s="418"/>
      <c r="G161" s="419"/>
      <c r="H161" s="419"/>
      <c r="I161" s="411"/>
      <c r="J161" s="333"/>
      <c r="K161" s="405"/>
      <c r="L161" s="405"/>
      <c r="O161" s="1065">
        <f>(O159-18)/7</f>
        <v>42.607038095238103</v>
      </c>
      <c r="P161" s="1065"/>
      <c r="Q161" s="1065" t="s">
        <v>77</v>
      </c>
      <c r="R161" s="1065"/>
      <c r="S161" s="1065"/>
      <c r="T161" s="1065"/>
      <c r="U161" s="1065"/>
      <c r="V161" s="1065"/>
      <c r="W161" s="1065"/>
      <c r="X161" s="1065"/>
      <c r="Y161" s="1065"/>
      <c r="Z161" s="1065"/>
      <c r="AG161" s="267"/>
      <c r="AH161" s="267"/>
      <c r="AI161" s="267"/>
      <c r="AJ161" s="267"/>
      <c r="AK161" s="407"/>
      <c r="AL161" s="267"/>
      <c r="AM161" s="267"/>
      <c r="AN161" s="267"/>
      <c r="AO161" s="267"/>
    </row>
    <row r="162" spans="2:46">
      <c r="B162" s="408"/>
      <c r="C162" s="409"/>
      <c r="D162" s="333"/>
      <c r="E162" s="410"/>
      <c r="F162" s="411"/>
      <c r="G162" s="333"/>
      <c r="H162" s="333"/>
      <c r="I162" s="411"/>
      <c r="J162" s="333"/>
      <c r="K162" s="405"/>
      <c r="L162" s="405"/>
      <c r="O162" s="1053">
        <v>3</v>
      </c>
      <c r="P162" s="1053"/>
      <c r="Q162" s="1053" t="s">
        <v>79</v>
      </c>
      <c r="R162" s="1053"/>
      <c r="S162" s="1053"/>
      <c r="T162" s="1053"/>
      <c r="U162" s="1053"/>
      <c r="V162" s="1053"/>
      <c r="W162" s="1053"/>
      <c r="X162" s="1053"/>
      <c r="Y162" s="1053"/>
      <c r="Z162" s="1053"/>
      <c r="AG162" s="267"/>
      <c r="AH162" s="267"/>
      <c r="AI162" s="267"/>
      <c r="AJ162" s="267"/>
      <c r="AK162" s="267"/>
      <c r="AL162" s="267"/>
      <c r="AM162" s="267"/>
      <c r="AN162" s="267"/>
      <c r="AO162" s="267"/>
    </row>
    <row r="163" spans="2:46">
      <c r="B163" s="408"/>
      <c r="C163" s="409"/>
      <c r="D163" s="333"/>
      <c r="E163" s="410"/>
      <c r="F163" s="411"/>
      <c r="G163" s="333"/>
      <c r="H163" s="333"/>
      <c r="I163" s="411"/>
      <c r="J163" s="333"/>
      <c r="K163" s="405"/>
      <c r="L163" s="405"/>
      <c r="O163" s="1053">
        <f>+O162+O161</f>
        <v>45.607038095238103</v>
      </c>
      <c r="P163" s="1053"/>
      <c r="AG163" s="267"/>
      <c r="AH163" s="267"/>
      <c r="AI163" s="267"/>
      <c r="AJ163" s="267"/>
      <c r="AK163" s="267"/>
      <c r="AL163" s="267"/>
      <c r="AM163" s="267"/>
      <c r="AN163" s="267"/>
      <c r="AO163" s="267"/>
    </row>
    <row r="164" spans="2:46">
      <c r="B164" s="168"/>
      <c r="AG164" s="267"/>
      <c r="AH164" s="267"/>
      <c r="AI164" s="267"/>
      <c r="AJ164" s="267"/>
      <c r="AK164" s="267"/>
      <c r="AL164" s="267"/>
      <c r="AM164" s="267"/>
      <c r="AN164" s="267"/>
      <c r="AO164" s="267"/>
    </row>
    <row r="165" spans="2:46">
      <c r="AG165" s="267"/>
      <c r="AH165" s="267"/>
      <c r="AI165" s="267"/>
      <c r="AJ165" s="267"/>
      <c r="AK165" s="267"/>
      <c r="AL165" s="267"/>
      <c r="AM165" s="267"/>
      <c r="AN165" s="267"/>
      <c r="AO165" s="267"/>
    </row>
    <row r="166" spans="2:46">
      <c r="AG166" s="267"/>
      <c r="AH166" s="267"/>
      <c r="AI166" s="267"/>
      <c r="AJ166" s="267"/>
      <c r="AK166" s="267"/>
      <c r="AL166" s="267"/>
      <c r="AM166" s="267"/>
      <c r="AN166" s="267"/>
      <c r="AO166" s="267"/>
    </row>
    <row r="167" spans="2:46" ht="26.25" thickBot="1">
      <c r="B167" s="377" t="s">
        <v>90</v>
      </c>
      <c r="H167" s="1052">
        <v>42736</v>
      </c>
      <c r="I167" s="1052"/>
      <c r="J167" s="1052"/>
      <c r="K167" s="1052"/>
      <c r="L167" s="1052"/>
      <c r="M167" s="1052"/>
      <c r="N167" s="1052"/>
      <c r="AG167" s="267"/>
      <c r="AH167" s="267"/>
      <c r="AI167" s="267"/>
      <c r="AJ167" s="267"/>
      <c r="AK167" s="267"/>
      <c r="AL167" s="267"/>
      <c r="AM167" s="267"/>
      <c r="AN167" s="267"/>
      <c r="AO167" s="267"/>
    </row>
    <row r="168" spans="2:46" ht="16.5" thickBot="1">
      <c r="B168" s="379">
        <v>850</v>
      </c>
      <c r="C168" s="240" t="s">
        <v>67</v>
      </c>
      <c r="AD168" s="296"/>
      <c r="AE168" s="296"/>
      <c r="AF168" s="296"/>
      <c r="AG168" s="296"/>
      <c r="AH168" s="296"/>
      <c r="AI168" s="296"/>
      <c r="AJ168" s="296"/>
      <c r="AK168" s="296"/>
      <c r="AL168" s="296"/>
      <c r="AM168" s="296"/>
      <c r="AN168" s="296"/>
      <c r="AO168" s="296"/>
      <c r="AP168" s="267"/>
      <c r="AQ168" s="267"/>
      <c r="AR168" s="267"/>
      <c r="AS168" s="267"/>
      <c r="AT168" s="267"/>
    </row>
    <row r="169" spans="2:46" ht="15.75">
      <c r="B169" s="168">
        <f>+B168/30*7</f>
        <v>198.33333333333331</v>
      </c>
      <c r="C169" s="240" t="s">
        <v>68</v>
      </c>
      <c r="D169" s="380"/>
      <c r="O169" s="1053" t="s">
        <v>69</v>
      </c>
      <c r="P169" s="1053"/>
      <c r="Q169" s="1053"/>
      <c r="R169" s="1053"/>
      <c r="S169" s="1053"/>
      <c r="T169" s="1053"/>
      <c r="U169" s="1053"/>
      <c r="V169" s="1053"/>
      <c r="W169" s="1053"/>
      <c r="X169" s="1053"/>
      <c r="Y169" s="1053"/>
      <c r="Z169" s="1053"/>
      <c r="AD169" s="296"/>
      <c r="AE169" s="425"/>
      <c r="AF169" s="425"/>
      <c r="AG169" s="296"/>
      <c r="AH169" s="296"/>
      <c r="AI169" s="296"/>
      <c r="AJ169" s="425"/>
      <c r="AK169" s="425"/>
      <c r="AL169" s="296"/>
      <c r="AM169" s="296"/>
      <c r="AN169" s="296"/>
      <c r="AO169" s="296"/>
      <c r="AP169" s="267"/>
      <c r="AQ169" s="267"/>
      <c r="AR169" s="267"/>
      <c r="AS169" s="267"/>
      <c r="AT169" s="267"/>
    </row>
    <row r="170" spans="2:46">
      <c r="B170" s="168">
        <f>+B169-18</f>
        <v>180.33333333333331</v>
      </c>
      <c r="C170" s="240" t="s">
        <v>70</v>
      </c>
      <c r="O170" s="1053">
        <f>+B168</f>
        <v>850</v>
      </c>
      <c r="P170" s="1053"/>
      <c r="Q170" s="1053" t="s">
        <v>71</v>
      </c>
      <c r="R170" s="1053"/>
      <c r="S170" s="1053"/>
      <c r="T170" s="1053"/>
      <c r="U170" s="1053"/>
      <c r="V170" s="1053"/>
      <c r="W170" s="1053"/>
      <c r="X170" s="1053"/>
      <c r="Y170" s="1053"/>
      <c r="Z170" s="1053"/>
      <c r="AA170" s="7" t="s">
        <v>72</v>
      </c>
      <c r="AD170" s="428" t="s">
        <v>91</v>
      </c>
      <c r="AE170" s="429"/>
      <c r="AF170" s="429"/>
      <c r="AG170" s="1075">
        <v>233.32</v>
      </c>
      <c r="AH170" s="1075"/>
      <c r="AI170" s="430"/>
      <c r="AJ170" s="1076">
        <f>233.32-AG170</f>
        <v>0</v>
      </c>
      <c r="AK170" s="1076"/>
      <c r="AL170" s="431"/>
      <c r="AM170" s="296"/>
      <c r="AN170" s="296"/>
      <c r="AO170" s="296"/>
      <c r="AP170" s="267"/>
      <c r="AQ170" s="267"/>
      <c r="AR170" s="267"/>
      <c r="AS170" s="267"/>
      <c r="AT170" s="267"/>
    </row>
    <row r="171" spans="2:46">
      <c r="B171" s="381">
        <f>+B170/7</f>
        <v>25.761904761904759</v>
      </c>
      <c r="C171" s="382" t="s">
        <v>73</v>
      </c>
      <c r="D171" s="383"/>
      <c r="O171" s="1053">
        <f>+O170/30*7</f>
        <v>198.33333333333331</v>
      </c>
      <c r="P171" s="1053"/>
      <c r="Q171" s="1053" t="s">
        <v>74</v>
      </c>
      <c r="R171" s="1053"/>
      <c r="S171" s="1053"/>
      <c r="T171" s="1053"/>
      <c r="U171" s="1053"/>
      <c r="V171" s="1053"/>
      <c r="W171" s="1053"/>
      <c r="X171" s="1053"/>
      <c r="Y171" s="1053"/>
      <c r="Z171" s="1053"/>
      <c r="AA171" s="1064">
        <f>+O171*0.87</f>
        <v>172.54999999999998</v>
      </c>
      <c r="AB171" s="1064"/>
      <c r="AD171" s="432" t="s">
        <v>92</v>
      </c>
      <c r="AE171" s="433"/>
      <c r="AF171" s="433"/>
      <c r="AG171" s="1077">
        <f>218.15-19.83</f>
        <v>198.32</v>
      </c>
      <c r="AH171" s="1077"/>
      <c r="AI171" s="434"/>
      <c r="AJ171" s="1078">
        <f>233.32-AG171</f>
        <v>35</v>
      </c>
      <c r="AK171" s="1078"/>
      <c r="AL171" s="435"/>
      <c r="AM171" s="385"/>
      <c r="AN171" s="385"/>
      <c r="AO171" s="385"/>
      <c r="AP171" s="386"/>
      <c r="AQ171" s="386"/>
      <c r="AR171" s="267"/>
      <c r="AS171" s="267"/>
      <c r="AT171" s="267"/>
    </row>
    <row r="172" spans="2:46">
      <c r="O172" s="1053">
        <f>+O171/7</f>
        <v>28.333333333333332</v>
      </c>
      <c r="P172" s="1053"/>
      <c r="Q172" s="1053" t="s">
        <v>75</v>
      </c>
      <c r="R172" s="1053"/>
      <c r="S172" s="1053"/>
      <c r="T172" s="1053"/>
      <c r="U172" s="1053"/>
      <c r="V172" s="1053"/>
      <c r="W172" s="1053"/>
      <c r="X172" s="1053"/>
      <c r="Y172" s="1053"/>
      <c r="Z172" s="1053"/>
      <c r="AD172" s="432" t="s">
        <v>93</v>
      </c>
      <c r="AE172" s="436"/>
      <c r="AF172" s="436"/>
      <c r="AG172" s="1077">
        <f>218.15-19.83</f>
        <v>198.32</v>
      </c>
      <c r="AH172" s="1077"/>
      <c r="AI172" s="434"/>
      <c r="AJ172" s="1078">
        <f>233.32-AG172</f>
        <v>35</v>
      </c>
      <c r="AK172" s="1078"/>
      <c r="AL172" s="437"/>
      <c r="AM172" s="387"/>
      <c r="AN172" s="385"/>
      <c r="AO172" s="385"/>
      <c r="AP172" s="386"/>
      <c r="AQ172" s="386"/>
      <c r="AR172" s="267"/>
      <c r="AS172" s="267"/>
      <c r="AT172" s="267"/>
    </row>
    <row r="173" spans="2:46" ht="15.75">
      <c r="B173" s="427">
        <f>+B171</f>
        <v>25.761904761904759</v>
      </c>
      <c r="C173" s="389" t="s">
        <v>76</v>
      </c>
      <c r="D173" s="390"/>
      <c r="E173" s="390"/>
      <c r="F173" s="390"/>
      <c r="O173" s="1065">
        <f>(O171-18)/7</f>
        <v>25.761904761904759</v>
      </c>
      <c r="P173" s="1065"/>
      <c r="Q173" s="1065" t="s">
        <v>77</v>
      </c>
      <c r="R173" s="1065"/>
      <c r="S173" s="1065"/>
      <c r="T173" s="1065"/>
      <c r="U173" s="1065"/>
      <c r="V173" s="1065"/>
      <c r="W173" s="1065"/>
      <c r="X173" s="1065"/>
      <c r="Y173" s="1065"/>
      <c r="Z173" s="1065"/>
      <c r="AD173" s="432" t="s">
        <v>94</v>
      </c>
      <c r="AE173" s="438"/>
      <c r="AF173" s="438"/>
      <c r="AG173" s="1077">
        <f>228.07-29.75</f>
        <v>198.32</v>
      </c>
      <c r="AH173" s="1077"/>
      <c r="AI173" s="439"/>
      <c r="AJ173" s="1078">
        <f>233.32-AG173</f>
        <v>35</v>
      </c>
      <c r="AK173" s="1078"/>
      <c r="AL173" s="435"/>
      <c r="AM173" s="385"/>
      <c r="AN173" s="385"/>
      <c r="AO173" s="385"/>
      <c r="AP173" s="386"/>
      <c r="AQ173" s="386"/>
      <c r="AR173" s="267"/>
      <c r="AS173" s="267"/>
      <c r="AT173" s="267"/>
    </row>
    <row r="174" spans="2:46">
      <c r="B174" s="168">
        <v>3</v>
      </c>
      <c r="C174" s="240" t="s">
        <v>78</v>
      </c>
      <c r="O174" s="1053">
        <v>3</v>
      </c>
      <c r="P174" s="1053"/>
      <c r="Q174" s="1053" t="s">
        <v>79</v>
      </c>
      <c r="R174" s="1053"/>
      <c r="S174" s="1053"/>
      <c r="T174" s="1053"/>
      <c r="U174" s="1053"/>
      <c r="V174" s="1053"/>
      <c r="W174" s="1053"/>
      <c r="X174" s="1053"/>
      <c r="Y174" s="1053"/>
      <c r="Z174" s="1053"/>
      <c r="AD174" s="432" t="s">
        <v>95</v>
      </c>
      <c r="AE174" s="434"/>
      <c r="AF174" s="438"/>
      <c r="AG174" s="1077">
        <f>208.24-9.92</f>
        <v>198.32000000000002</v>
      </c>
      <c r="AH174" s="1077"/>
      <c r="AI174" s="439"/>
      <c r="AJ174" s="1078">
        <f>233.32-AG174</f>
        <v>34.999999999999972</v>
      </c>
      <c r="AK174" s="1078"/>
      <c r="AL174" s="435"/>
      <c r="AM174" s="385"/>
      <c r="AN174" s="385"/>
      <c r="AO174" s="385"/>
      <c r="AP174" s="386"/>
      <c r="AQ174" s="386"/>
      <c r="AR174" s="267"/>
      <c r="AS174" s="267"/>
      <c r="AT174" s="267"/>
    </row>
    <row r="175" spans="2:46">
      <c r="B175" s="381">
        <f>+B174+B173</f>
        <v>28.761904761904759</v>
      </c>
      <c r="C175" s="382" t="s">
        <v>80</v>
      </c>
      <c r="D175" s="393"/>
      <c r="E175" s="394"/>
      <c r="F175" s="395"/>
      <c r="G175" s="393"/>
      <c r="H175" s="393"/>
      <c r="I175" s="395"/>
      <c r="J175" s="393"/>
      <c r="K175" s="396"/>
      <c r="L175" s="396"/>
      <c r="M175" s="383"/>
      <c r="O175" s="1053">
        <f>+O174+O173</f>
        <v>28.761904761904759</v>
      </c>
      <c r="P175" s="1053"/>
      <c r="AD175" s="440"/>
      <c r="AE175" s="436"/>
      <c r="AF175" s="436"/>
      <c r="AG175" s="441" t="s">
        <v>96</v>
      </c>
      <c r="AH175" s="442"/>
      <c r="AI175" s="434"/>
      <c r="AJ175" s="436"/>
      <c r="AK175" s="1079">
        <f>SUM(AJ170:AK174)</f>
        <v>139.99999999999997</v>
      </c>
      <c r="AL175" s="1080"/>
      <c r="AM175" s="387"/>
      <c r="AN175" s="387"/>
      <c r="AO175" s="387"/>
      <c r="AP175" s="397"/>
      <c r="AQ175" s="267"/>
      <c r="AR175" s="267"/>
      <c r="AS175" s="267"/>
      <c r="AT175" s="267"/>
    </row>
    <row r="176" spans="2:46">
      <c r="B176" s="168"/>
      <c r="AD176" s="443"/>
      <c r="AE176" s="444"/>
      <c r="AF176" s="444"/>
      <c r="AG176" s="445"/>
      <c r="AH176" s="446"/>
      <c r="AI176" s="447" t="s">
        <v>97</v>
      </c>
      <c r="AJ176" s="444"/>
      <c r="AK176" s="444"/>
      <c r="AL176" s="448"/>
      <c r="AM176" s="296"/>
      <c r="AN176" s="296"/>
      <c r="AO176" s="296"/>
      <c r="AP176" s="267"/>
      <c r="AQ176" s="267"/>
      <c r="AR176" s="267"/>
      <c r="AS176" s="267"/>
      <c r="AT176" s="267"/>
    </row>
    <row r="177" spans="2:46">
      <c r="B177" s="168">
        <f>+B175*6</f>
        <v>172.57142857142856</v>
      </c>
      <c r="C177" s="240" t="s">
        <v>81</v>
      </c>
      <c r="O177" s="1053" t="s">
        <v>82</v>
      </c>
      <c r="P177" s="1053"/>
      <c r="Q177" s="1053"/>
      <c r="R177" s="1053"/>
      <c r="S177" s="1053"/>
      <c r="T177" s="1053"/>
      <c r="U177" s="1053"/>
      <c r="V177" s="1053"/>
      <c r="W177" s="1053"/>
      <c r="X177" s="1053"/>
      <c r="Y177" s="1053"/>
      <c r="Z177" s="1053"/>
      <c r="AD177" s="296"/>
      <c r="AE177" s="296"/>
      <c r="AF177" s="296"/>
      <c r="AG177" s="296"/>
      <c r="AH177" s="296"/>
      <c r="AI177" s="385"/>
      <c r="AJ177" s="385"/>
      <c r="AK177" s="387"/>
      <c r="AL177" s="373"/>
      <c r="AM177" s="425"/>
      <c r="AN177" s="373"/>
      <c r="AO177" s="296"/>
      <c r="AP177" s="267"/>
      <c r="AQ177" s="267"/>
      <c r="AR177" s="267"/>
      <c r="AS177" s="267"/>
      <c r="AT177" s="267"/>
    </row>
    <row r="178" spans="2:46">
      <c r="B178" s="399">
        <f>+B173</f>
        <v>25.761904761904759</v>
      </c>
      <c r="C178" s="400" t="s">
        <v>83</v>
      </c>
      <c r="D178" s="401"/>
      <c r="E178" s="402"/>
      <c r="F178" s="403"/>
      <c r="G178" s="401"/>
      <c r="H178" s="401"/>
      <c r="I178" s="403"/>
      <c r="J178" s="401"/>
      <c r="K178" s="404"/>
      <c r="L178" s="405"/>
      <c r="O178" s="1053">
        <f>+O170*1.1</f>
        <v>935.00000000000011</v>
      </c>
      <c r="P178" s="1053"/>
      <c r="Q178" s="1053" t="s">
        <v>71</v>
      </c>
      <c r="R178" s="1053"/>
      <c r="S178" s="1053"/>
      <c r="T178" s="1053"/>
      <c r="U178" s="1053"/>
      <c r="V178" s="1053"/>
      <c r="W178" s="1053"/>
      <c r="X178" s="1053"/>
      <c r="Y178" s="1053"/>
      <c r="Z178" s="1053"/>
      <c r="AA178" s="7" t="s">
        <v>84</v>
      </c>
      <c r="AG178" s="267"/>
      <c r="AH178" s="267"/>
      <c r="AI178" s="386"/>
      <c r="AJ178" s="386"/>
      <c r="AK178" s="386"/>
      <c r="AL178" s="267"/>
      <c r="AM178" s="267"/>
      <c r="AN178" s="267"/>
      <c r="AO178" s="267"/>
    </row>
    <row r="179" spans="2:46">
      <c r="B179" s="381">
        <f>+B178+B177</f>
        <v>198.33333333333331</v>
      </c>
      <c r="C179" s="382" t="s">
        <v>85</v>
      </c>
      <c r="D179" s="393"/>
      <c r="E179" s="394"/>
      <c r="F179" s="395"/>
      <c r="G179" s="393"/>
      <c r="H179" s="393"/>
      <c r="I179" s="395"/>
      <c r="J179" s="393"/>
      <c r="K179" s="406"/>
      <c r="L179" s="405"/>
      <c r="O179" s="1053">
        <f>+O178/30*7</f>
        <v>218.16666666666669</v>
      </c>
      <c r="P179" s="1053"/>
      <c r="Q179" s="1053" t="s">
        <v>74</v>
      </c>
      <c r="R179" s="1053"/>
      <c r="S179" s="1053"/>
      <c r="T179" s="1053"/>
      <c r="U179" s="1053"/>
      <c r="V179" s="1053"/>
      <c r="W179" s="1053"/>
      <c r="X179" s="1053"/>
      <c r="Y179" s="1053"/>
      <c r="Z179" s="1053"/>
      <c r="AA179" s="1064">
        <f>+O179*0.87</f>
        <v>189.80500000000001</v>
      </c>
      <c r="AB179" s="1064"/>
      <c r="AG179" s="267"/>
      <c r="AH179" s="267"/>
      <c r="AI179" s="386"/>
      <c r="AJ179" s="386"/>
      <c r="AK179" s="407"/>
      <c r="AL179" s="267"/>
      <c r="AM179" s="267"/>
      <c r="AN179" s="267"/>
      <c r="AO179" s="267"/>
    </row>
    <row r="180" spans="2:46">
      <c r="B180" s="408"/>
      <c r="C180" s="409"/>
      <c r="D180" s="333"/>
      <c r="E180" s="410"/>
      <c r="F180" s="411"/>
      <c r="G180" s="333"/>
      <c r="H180" s="333"/>
      <c r="I180" s="411"/>
      <c r="J180" s="333"/>
      <c r="K180" s="405"/>
      <c r="L180" s="405"/>
      <c r="O180" s="1053">
        <f>+O179/7</f>
        <v>31.166666666666668</v>
      </c>
      <c r="P180" s="1053"/>
      <c r="Q180" s="1053" t="s">
        <v>75</v>
      </c>
      <c r="R180" s="1053"/>
      <c r="S180" s="1053"/>
      <c r="T180" s="1053"/>
      <c r="U180" s="1053"/>
      <c r="V180" s="1053"/>
      <c r="W180" s="1053"/>
      <c r="X180" s="1053"/>
      <c r="Y180" s="1053"/>
      <c r="Z180" s="1053"/>
      <c r="AG180" s="267"/>
      <c r="AH180" s="267"/>
      <c r="AI180" s="412"/>
      <c r="AJ180" s="413"/>
      <c r="AK180" s="407"/>
      <c r="AL180" s="267"/>
      <c r="AM180" s="267"/>
      <c r="AN180" s="267"/>
      <c r="AO180" s="267"/>
    </row>
    <row r="181" spans="2:46">
      <c r="B181" s="449">
        <f>+B179/7</f>
        <v>28.333333333333332</v>
      </c>
      <c r="C181" s="450" t="s">
        <v>86</v>
      </c>
      <c r="F181" s="411"/>
      <c r="G181" s="333"/>
      <c r="H181" s="333"/>
      <c r="I181" s="411"/>
      <c r="J181" s="333"/>
      <c r="K181" s="405"/>
      <c r="L181" s="405"/>
      <c r="O181" s="1065">
        <f>(O179-18)/7</f>
        <v>28.595238095238098</v>
      </c>
      <c r="P181" s="1065"/>
      <c r="Q181" s="1065" t="s">
        <v>77</v>
      </c>
      <c r="R181" s="1065"/>
      <c r="S181" s="1065"/>
      <c r="T181" s="1065"/>
      <c r="U181" s="1065"/>
      <c r="V181" s="1065"/>
      <c r="W181" s="1065"/>
      <c r="X181" s="1065"/>
      <c r="Y181" s="1065"/>
      <c r="Z181" s="1065"/>
      <c r="AG181" s="267"/>
      <c r="AH181" s="267"/>
      <c r="AI181" s="267"/>
      <c r="AJ181" s="267"/>
      <c r="AK181" s="407"/>
      <c r="AL181" s="267"/>
      <c r="AM181" s="267"/>
      <c r="AN181" s="267"/>
      <c r="AO181" s="267"/>
    </row>
    <row r="182" spans="2:46">
      <c r="B182" s="408"/>
      <c r="C182" s="409"/>
      <c r="D182" s="333"/>
      <c r="E182" s="410"/>
      <c r="F182" s="411"/>
      <c r="G182" s="333"/>
      <c r="H182" s="333"/>
      <c r="I182" s="411"/>
      <c r="J182" s="333"/>
      <c r="K182" s="405"/>
      <c r="L182" s="405"/>
      <c r="O182" s="1053">
        <v>3</v>
      </c>
      <c r="P182" s="1053"/>
      <c r="Q182" s="1053" t="s">
        <v>79</v>
      </c>
      <c r="R182" s="1053"/>
      <c r="S182" s="1053"/>
      <c r="T182" s="1053"/>
      <c r="U182" s="1053"/>
      <c r="V182" s="1053"/>
      <c r="W182" s="1053"/>
      <c r="X182" s="1053"/>
      <c r="Y182" s="1053"/>
      <c r="Z182" s="1053"/>
      <c r="AG182" s="267"/>
      <c r="AH182" s="267"/>
      <c r="AI182" s="267"/>
      <c r="AJ182" s="267"/>
      <c r="AK182" s="267"/>
      <c r="AL182" s="267"/>
      <c r="AM182" s="267"/>
      <c r="AN182" s="267"/>
      <c r="AO182" s="267"/>
    </row>
    <row r="183" spans="2:46">
      <c r="B183" s="408"/>
      <c r="C183" s="409"/>
      <c r="D183" s="333"/>
      <c r="E183" s="410"/>
      <c r="F183" s="411"/>
      <c r="G183" s="333"/>
      <c r="H183" s="333"/>
      <c r="I183" s="411"/>
      <c r="J183" s="333"/>
      <c r="K183" s="405"/>
      <c r="L183" s="405"/>
      <c r="O183" s="1053">
        <f>+O182+O181</f>
        <v>31.595238095238098</v>
      </c>
      <c r="P183" s="1053"/>
      <c r="AG183" s="267"/>
      <c r="AH183" s="267"/>
      <c r="AI183" s="267"/>
      <c r="AJ183" s="267"/>
      <c r="AK183" s="267"/>
      <c r="AL183" s="267"/>
      <c r="AM183" s="267"/>
      <c r="AN183" s="267"/>
      <c r="AO183" s="267"/>
    </row>
    <row r="184" spans="2:46">
      <c r="B184" s="168"/>
      <c r="AG184" s="267"/>
      <c r="AH184" s="267"/>
      <c r="AI184" s="267"/>
      <c r="AJ184" s="267"/>
      <c r="AK184" s="267"/>
      <c r="AL184" s="267"/>
      <c r="AM184" s="267"/>
      <c r="AN184" s="267"/>
      <c r="AO184" s="267"/>
    </row>
    <row r="185" spans="2:46">
      <c r="AG185" s="267"/>
      <c r="AH185" s="267"/>
      <c r="AI185" s="267"/>
      <c r="AJ185" s="267"/>
      <c r="AK185" s="267"/>
      <c r="AL185" s="267"/>
      <c r="AM185" s="267"/>
      <c r="AN185" s="267"/>
      <c r="AO185" s="267"/>
    </row>
    <row r="186" spans="2:46" ht="15.75" thickBot="1">
      <c r="AG186" s="267"/>
      <c r="AH186" s="267"/>
      <c r="AI186" s="267"/>
      <c r="AJ186" s="267"/>
      <c r="AK186" s="267"/>
      <c r="AL186" s="267"/>
      <c r="AM186" s="267"/>
      <c r="AN186" s="267"/>
      <c r="AO186" s="267"/>
    </row>
    <row r="187" spans="2:46" ht="17.25" thickTop="1" thickBot="1">
      <c r="B187" s="451">
        <f>850+80</f>
        <v>930</v>
      </c>
      <c r="C187" s="452" t="s">
        <v>67</v>
      </c>
      <c r="D187" s="453"/>
      <c r="E187" s="454" t="s">
        <v>98</v>
      </c>
      <c r="F187" s="455"/>
      <c r="G187" s="453"/>
      <c r="H187" s="453"/>
      <c r="I187" s="455"/>
      <c r="J187" s="453"/>
      <c r="K187" s="456"/>
      <c r="L187" s="456"/>
      <c r="M187" s="453"/>
      <c r="N187" s="453"/>
      <c r="O187" s="453"/>
      <c r="P187" s="453"/>
      <c r="Q187" s="453"/>
      <c r="R187" s="453"/>
      <c r="S187" s="453"/>
      <c r="T187" s="453"/>
      <c r="U187" s="453"/>
      <c r="V187" s="453"/>
      <c r="W187" s="453"/>
      <c r="X187" s="453"/>
      <c r="Y187" s="453"/>
      <c r="Z187" s="453"/>
      <c r="AA187" s="457"/>
      <c r="AB187" s="457"/>
      <c r="AC187" s="458"/>
      <c r="AD187" s="296"/>
      <c r="AE187" s="296"/>
      <c r="AF187" s="296"/>
      <c r="AG187" s="296"/>
      <c r="AH187" s="296"/>
      <c r="AI187" s="296"/>
      <c r="AJ187" s="296"/>
      <c r="AK187" s="296"/>
      <c r="AL187" s="296"/>
      <c r="AM187" s="296"/>
      <c r="AN187" s="296"/>
      <c r="AO187" s="296"/>
      <c r="AP187" s="267"/>
      <c r="AQ187" s="267"/>
      <c r="AR187" s="267"/>
      <c r="AS187" s="267"/>
      <c r="AT187" s="267"/>
    </row>
    <row r="188" spans="2:46" ht="15.75">
      <c r="B188" s="459">
        <f>+B187/30*7</f>
        <v>217</v>
      </c>
      <c r="C188" s="409" t="s">
        <v>68</v>
      </c>
      <c r="D188" s="460"/>
      <c r="E188" s="410"/>
      <c r="F188" s="411"/>
      <c r="G188" s="333"/>
      <c r="H188" s="333"/>
      <c r="I188" s="411"/>
      <c r="J188" s="333"/>
      <c r="K188" s="405"/>
      <c r="L188" s="405"/>
      <c r="M188" s="333"/>
      <c r="N188" s="333"/>
      <c r="O188" s="1053" t="s">
        <v>69</v>
      </c>
      <c r="P188" s="1053"/>
      <c r="Q188" s="1053"/>
      <c r="R188" s="1053"/>
      <c r="S188" s="1053"/>
      <c r="T188" s="1053"/>
      <c r="U188" s="1053"/>
      <c r="V188" s="1053"/>
      <c r="W188" s="1053"/>
      <c r="X188" s="1053"/>
      <c r="Y188" s="1053"/>
      <c r="Z188" s="1053"/>
      <c r="AA188" s="167"/>
      <c r="AB188" s="167"/>
      <c r="AC188" s="461"/>
      <c r="AD188" s="296"/>
      <c r="AE188" s="425"/>
      <c r="AF188" s="425"/>
      <c r="AG188" s="296"/>
      <c r="AH188" s="296"/>
      <c r="AI188" s="296"/>
      <c r="AJ188" s="425"/>
      <c r="AK188" s="425"/>
      <c r="AL188" s="296"/>
      <c r="AM188" s="296"/>
      <c r="AN188" s="296"/>
      <c r="AO188" s="296"/>
      <c r="AP188" s="267"/>
      <c r="AQ188" s="267"/>
      <c r="AR188" s="267"/>
      <c r="AS188" s="267"/>
      <c r="AT188" s="267"/>
    </row>
    <row r="189" spans="2:46">
      <c r="B189" s="459">
        <f>+B188-18</f>
        <v>199</v>
      </c>
      <c r="C189" s="409" t="s">
        <v>70</v>
      </c>
      <c r="D189" s="333"/>
      <c r="E189" s="410"/>
      <c r="F189" s="411"/>
      <c r="G189" s="333"/>
      <c r="H189" s="333"/>
      <c r="I189" s="411"/>
      <c r="J189" s="333"/>
      <c r="K189" s="405"/>
      <c r="L189" s="405"/>
      <c r="M189" s="333"/>
      <c r="N189" s="333"/>
      <c r="O189" s="1053">
        <f>+B187</f>
        <v>930</v>
      </c>
      <c r="P189" s="1053"/>
      <c r="Q189" s="1053" t="s">
        <v>71</v>
      </c>
      <c r="R189" s="1053"/>
      <c r="S189" s="1053"/>
      <c r="T189" s="1053"/>
      <c r="U189" s="1053"/>
      <c r="V189" s="1053"/>
      <c r="W189" s="1053"/>
      <c r="X189" s="1053"/>
      <c r="Y189" s="1053"/>
      <c r="Z189" s="1053"/>
      <c r="AA189" s="167" t="s">
        <v>72</v>
      </c>
      <c r="AB189" s="167"/>
      <c r="AC189" s="461"/>
      <c r="AD189" s="296"/>
      <c r="AE189" s="425"/>
      <c r="AF189" s="425"/>
      <c r="AG189" s="296"/>
      <c r="AH189" s="296"/>
      <c r="AI189" s="296"/>
      <c r="AJ189" s="425"/>
      <c r="AK189" s="425"/>
      <c r="AL189" s="296"/>
      <c r="AM189" s="296"/>
      <c r="AN189" s="296"/>
      <c r="AO189" s="296"/>
      <c r="AP189" s="267"/>
      <c r="AQ189" s="267"/>
      <c r="AR189" s="267"/>
      <c r="AS189" s="267"/>
      <c r="AT189" s="267"/>
    </row>
    <row r="190" spans="2:46">
      <c r="B190" s="462">
        <f>+B189/7</f>
        <v>28.428571428571427</v>
      </c>
      <c r="C190" s="382" t="s">
        <v>73</v>
      </c>
      <c r="D190" s="383"/>
      <c r="E190" s="410"/>
      <c r="F190" s="411"/>
      <c r="G190" s="333"/>
      <c r="H190" s="333"/>
      <c r="I190" s="411"/>
      <c r="J190" s="333"/>
      <c r="K190" s="405"/>
      <c r="L190" s="405"/>
      <c r="M190" s="333"/>
      <c r="N190" s="333"/>
      <c r="O190" s="1053">
        <f>+O189/30*7</f>
        <v>217</v>
      </c>
      <c r="P190" s="1053"/>
      <c r="Q190" s="1053" t="s">
        <v>74</v>
      </c>
      <c r="R190" s="1053"/>
      <c r="S190" s="1053"/>
      <c r="T190" s="1053"/>
      <c r="U190" s="1053"/>
      <c r="V190" s="1053"/>
      <c r="W190" s="1053"/>
      <c r="X190" s="1053"/>
      <c r="Y190" s="1053"/>
      <c r="Z190" s="1053"/>
      <c r="AA190" s="1064">
        <f>+O190*0.87</f>
        <v>188.79</v>
      </c>
      <c r="AB190" s="1064"/>
      <c r="AC190" s="461"/>
      <c r="AD190" s="296"/>
      <c r="AE190" s="384"/>
      <c r="AF190" s="384"/>
      <c r="AG190" s="296"/>
      <c r="AH190" s="296"/>
      <c r="AI190" s="296"/>
      <c r="AJ190" s="384"/>
      <c r="AK190" s="384"/>
      <c r="AL190" s="385"/>
      <c r="AM190" s="385"/>
      <c r="AN190" s="385"/>
      <c r="AO190" s="385"/>
      <c r="AP190" s="386"/>
      <c r="AQ190" s="386"/>
      <c r="AR190" s="267"/>
      <c r="AS190" s="267"/>
      <c r="AT190" s="267"/>
    </row>
    <row r="191" spans="2:46">
      <c r="B191" s="463"/>
      <c r="C191" s="333"/>
      <c r="D191" s="333"/>
      <c r="E191" s="410"/>
      <c r="F191" s="411"/>
      <c r="G191" s="333"/>
      <c r="H191" s="333"/>
      <c r="I191" s="411"/>
      <c r="J191" s="333"/>
      <c r="K191" s="405"/>
      <c r="L191" s="405"/>
      <c r="M191" s="333"/>
      <c r="N191" s="333"/>
      <c r="O191" s="1053">
        <f>+O190/7</f>
        <v>31</v>
      </c>
      <c r="P191" s="1053"/>
      <c r="Q191" s="1053" t="s">
        <v>75</v>
      </c>
      <c r="R191" s="1053"/>
      <c r="S191" s="1053"/>
      <c r="T191" s="1053"/>
      <c r="U191" s="1053"/>
      <c r="V191" s="1053"/>
      <c r="W191" s="1053"/>
      <c r="X191" s="1053"/>
      <c r="Y191" s="1053"/>
      <c r="Z191" s="1053"/>
      <c r="AA191" s="167"/>
      <c r="AB191" s="167"/>
      <c r="AC191" s="461"/>
      <c r="AD191" s="296"/>
      <c r="AE191" s="425"/>
      <c r="AF191" s="425"/>
      <c r="AG191" s="296"/>
      <c r="AH191" s="296"/>
      <c r="AI191" s="296"/>
      <c r="AJ191" s="425"/>
      <c r="AK191" s="425"/>
      <c r="AL191" s="387"/>
      <c r="AM191" s="387"/>
      <c r="AN191" s="385"/>
      <c r="AO191" s="385"/>
      <c r="AP191" s="386"/>
      <c r="AQ191" s="386"/>
      <c r="AR191" s="267"/>
      <c r="AS191" s="267"/>
      <c r="AT191" s="267"/>
    </row>
    <row r="192" spans="2:46" ht="15.75">
      <c r="B192" s="464">
        <f>+B190</f>
        <v>28.428571428571427</v>
      </c>
      <c r="C192" s="465" t="s">
        <v>76</v>
      </c>
      <c r="D192" s="418"/>
      <c r="E192" s="418"/>
      <c r="F192" s="418"/>
      <c r="G192" s="333"/>
      <c r="H192" s="333"/>
      <c r="I192" s="411"/>
      <c r="J192" s="333"/>
      <c r="K192" s="405"/>
      <c r="L192" s="405"/>
      <c r="M192" s="333"/>
      <c r="N192" s="333"/>
      <c r="O192" s="1065">
        <f>(O190-18)/7</f>
        <v>28.428571428571427</v>
      </c>
      <c r="P192" s="1065"/>
      <c r="Q192" s="1065" t="s">
        <v>77</v>
      </c>
      <c r="R192" s="1065"/>
      <c r="S192" s="1065"/>
      <c r="T192" s="1065"/>
      <c r="U192" s="1065"/>
      <c r="V192" s="1065"/>
      <c r="W192" s="1065"/>
      <c r="X192" s="1065"/>
      <c r="Y192" s="1065"/>
      <c r="Z192" s="1065"/>
      <c r="AA192" s="167"/>
      <c r="AB192" s="167"/>
      <c r="AC192" s="461"/>
      <c r="AD192" s="296"/>
      <c r="AE192" s="391"/>
      <c r="AF192" s="391"/>
      <c r="AG192" s="392"/>
      <c r="AH192" s="392"/>
      <c r="AI192" s="392"/>
      <c r="AJ192" s="391"/>
      <c r="AK192" s="391"/>
      <c r="AL192" s="385"/>
      <c r="AM192" s="385"/>
      <c r="AN192" s="385"/>
      <c r="AO192" s="385"/>
      <c r="AP192" s="386"/>
      <c r="AQ192" s="386"/>
      <c r="AR192" s="267"/>
      <c r="AS192" s="267"/>
      <c r="AT192" s="267"/>
    </row>
    <row r="193" spans="2:50">
      <c r="B193" s="459">
        <v>3</v>
      </c>
      <c r="C193" s="409" t="s">
        <v>78</v>
      </c>
      <c r="D193" s="333"/>
      <c r="E193" s="410"/>
      <c r="F193" s="411"/>
      <c r="G193" s="333"/>
      <c r="H193" s="333"/>
      <c r="I193" s="411"/>
      <c r="J193" s="333"/>
      <c r="K193" s="405"/>
      <c r="L193" s="405"/>
      <c r="M193" s="333"/>
      <c r="N193" s="333"/>
      <c r="O193" s="1053">
        <v>3</v>
      </c>
      <c r="P193" s="1053"/>
      <c r="Q193" s="1053" t="s">
        <v>79</v>
      </c>
      <c r="R193" s="1053"/>
      <c r="S193" s="1053"/>
      <c r="T193" s="1053"/>
      <c r="U193" s="1053"/>
      <c r="V193" s="1053"/>
      <c r="W193" s="1053"/>
      <c r="X193" s="1053"/>
      <c r="Y193" s="1053"/>
      <c r="Z193" s="1053"/>
      <c r="AA193" s="167"/>
      <c r="AB193" s="167"/>
      <c r="AC193" s="461"/>
      <c r="AD193" s="296"/>
      <c r="AE193" s="296"/>
      <c r="AF193" s="391"/>
      <c r="AG193" s="392"/>
      <c r="AH193" s="392"/>
      <c r="AI193" s="392"/>
      <c r="AJ193" s="391"/>
      <c r="AK193" s="391"/>
      <c r="AL193" s="385"/>
      <c r="AM193" s="385"/>
      <c r="AN193" s="385"/>
      <c r="AO193" s="385"/>
      <c r="AP193" s="386"/>
      <c r="AQ193" s="386"/>
      <c r="AR193" s="267"/>
      <c r="AS193" s="267"/>
      <c r="AT193" s="267"/>
    </row>
    <row r="194" spans="2:50">
      <c r="B194" s="462">
        <f>+B193+B192</f>
        <v>31.428571428571427</v>
      </c>
      <c r="C194" s="382" t="s">
        <v>80</v>
      </c>
      <c r="D194" s="393"/>
      <c r="E194" s="394"/>
      <c r="F194" s="395"/>
      <c r="G194" s="393"/>
      <c r="H194" s="393"/>
      <c r="I194" s="395"/>
      <c r="J194" s="393"/>
      <c r="K194" s="396"/>
      <c r="L194" s="396"/>
      <c r="M194" s="383"/>
      <c r="N194" s="333"/>
      <c r="O194" s="1053">
        <f>+O193+O192</f>
        <v>31.428571428571427</v>
      </c>
      <c r="P194" s="105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167"/>
      <c r="AB194" s="167"/>
      <c r="AC194" s="461"/>
      <c r="AD194" s="296"/>
      <c r="AE194" s="425"/>
      <c r="AF194" s="425"/>
      <c r="AG194" s="296"/>
      <c r="AH194" s="296"/>
      <c r="AI194" s="296"/>
      <c r="AJ194" s="425"/>
      <c r="AK194" s="425"/>
      <c r="AL194" s="387"/>
      <c r="AM194" s="387"/>
      <c r="AN194" s="387"/>
      <c r="AO194" s="387"/>
      <c r="AP194" s="397"/>
      <c r="AQ194" s="267"/>
      <c r="AR194" s="267"/>
      <c r="AS194" s="267"/>
      <c r="AT194" s="267"/>
    </row>
    <row r="195" spans="2:50">
      <c r="B195" s="459"/>
      <c r="C195" s="333"/>
      <c r="D195" s="333"/>
      <c r="E195" s="410"/>
      <c r="F195" s="411"/>
      <c r="G195" s="333"/>
      <c r="H195" s="333"/>
      <c r="I195" s="411"/>
      <c r="J195" s="333"/>
      <c r="K195" s="405"/>
      <c r="L195" s="405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167"/>
      <c r="AB195" s="167"/>
      <c r="AC195" s="461"/>
      <c r="AD195" s="296"/>
      <c r="AE195" s="398"/>
      <c r="AF195" s="398"/>
      <c r="AG195" s="398"/>
      <c r="AH195" s="296"/>
      <c r="AI195" s="296"/>
      <c r="AJ195" s="398"/>
      <c r="AK195" s="398"/>
      <c r="AL195" s="385"/>
      <c r="AM195" s="296"/>
      <c r="AN195" s="296"/>
      <c r="AO195" s="296"/>
      <c r="AP195" s="267"/>
      <c r="AQ195" s="267"/>
      <c r="AR195" s="267"/>
      <c r="AS195" s="267"/>
      <c r="AT195" s="267"/>
    </row>
    <row r="196" spans="2:50">
      <c r="B196" s="459">
        <f>+B194*6</f>
        <v>188.57142857142856</v>
      </c>
      <c r="C196" s="409" t="s">
        <v>81</v>
      </c>
      <c r="D196" s="333"/>
      <c r="E196" s="410"/>
      <c r="F196" s="411"/>
      <c r="G196" s="333"/>
      <c r="H196" s="333"/>
      <c r="I196" s="411"/>
      <c r="J196" s="333"/>
      <c r="K196" s="405"/>
      <c r="L196" s="405"/>
      <c r="M196" s="333"/>
      <c r="N196" s="333"/>
      <c r="O196" s="1053" t="s">
        <v>82</v>
      </c>
      <c r="P196" s="1053"/>
      <c r="Q196" s="1053"/>
      <c r="R196" s="1053"/>
      <c r="S196" s="1053"/>
      <c r="T196" s="1053"/>
      <c r="U196" s="1053"/>
      <c r="V196" s="1053"/>
      <c r="W196" s="1053"/>
      <c r="X196" s="1053"/>
      <c r="Y196" s="1053"/>
      <c r="Z196" s="1053"/>
      <c r="AA196" s="167"/>
      <c r="AB196" s="167"/>
      <c r="AC196" s="461"/>
      <c r="AD196" s="296"/>
      <c r="AE196" s="296"/>
      <c r="AF196" s="296"/>
      <c r="AG196" s="296"/>
      <c r="AH196" s="296"/>
      <c r="AI196" s="385"/>
      <c r="AJ196" s="385"/>
      <c r="AK196" s="387"/>
      <c r="AL196" s="373"/>
      <c r="AM196" s="425"/>
      <c r="AN196" s="373"/>
      <c r="AO196" s="296"/>
      <c r="AP196" s="267"/>
      <c r="AQ196" s="267"/>
      <c r="AR196" s="267"/>
      <c r="AS196" s="267"/>
      <c r="AT196" s="267"/>
    </row>
    <row r="197" spans="2:50">
      <c r="B197" s="466">
        <f>+B192</f>
        <v>28.428571428571427</v>
      </c>
      <c r="C197" s="400" t="s">
        <v>83</v>
      </c>
      <c r="D197" s="401"/>
      <c r="E197" s="402"/>
      <c r="F197" s="403"/>
      <c r="G197" s="401"/>
      <c r="H197" s="401"/>
      <c r="I197" s="403"/>
      <c r="J197" s="401"/>
      <c r="K197" s="404"/>
      <c r="L197" s="405"/>
      <c r="M197" s="333"/>
      <c r="N197" s="333"/>
      <c r="O197" s="1053">
        <f>+O189*1.1</f>
        <v>1023.0000000000001</v>
      </c>
      <c r="P197" s="1053"/>
      <c r="Q197" s="1053" t="s">
        <v>71</v>
      </c>
      <c r="R197" s="1053"/>
      <c r="S197" s="1053"/>
      <c r="T197" s="1053"/>
      <c r="U197" s="1053"/>
      <c r="V197" s="1053"/>
      <c r="W197" s="1053"/>
      <c r="X197" s="1053"/>
      <c r="Y197" s="1053"/>
      <c r="Z197" s="1053"/>
      <c r="AA197" s="167" t="s">
        <v>84</v>
      </c>
      <c r="AB197" s="167"/>
      <c r="AC197" s="461"/>
      <c r="AG197" s="267"/>
      <c r="AH197" s="267"/>
      <c r="AI197" s="386"/>
      <c r="AJ197" s="386"/>
      <c r="AK197" s="386"/>
      <c r="AL197" s="267"/>
      <c r="AM197" s="267"/>
      <c r="AN197" s="267"/>
      <c r="AO197" s="267"/>
    </row>
    <row r="198" spans="2:50">
      <c r="B198" s="462">
        <f>+B197+B196</f>
        <v>216.99999999999997</v>
      </c>
      <c r="C198" s="382" t="s">
        <v>85</v>
      </c>
      <c r="D198" s="393"/>
      <c r="E198" s="394"/>
      <c r="F198" s="395"/>
      <c r="G198" s="393"/>
      <c r="H198" s="393"/>
      <c r="I198" s="395"/>
      <c r="J198" s="393"/>
      <c r="K198" s="406"/>
      <c r="L198" s="405"/>
      <c r="M198" s="333"/>
      <c r="N198" s="333"/>
      <c r="O198" s="1053">
        <f>+O197/30*7</f>
        <v>238.70000000000002</v>
      </c>
      <c r="P198" s="1053"/>
      <c r="Q198" s="1053" t="s">
        <v>74</v>
      </c>
      <c r="R198" s="1053"/>
      <c r="S198" s="1053"/>
      <c r="T198" s="1053"/>
      <c r="U198" s="1053"/>
      <c r="V198" s="1053"/>
      <c r="W198" s="1053"/>
      <c r="X198" s="1053"/>
      <c r="Y198" s="1053"/>
      <c r="Z198" s="1053"/>
      <c r="AA198" s="1064">
        <f>+O198*0.87</f>
        <v>207.66900000000001</v>
      </c>
      <c r="AB198" s="1064"/>
      <c r="AC198" s="461"/>
      <c r="AG198" s="267"/>
      <c r="AH198" s="267"/>
      <c r="AI198" s="386"/>
      <c r="AJ198" s="386"/>
      <c r="AK198" s="407"/>
      <c r="AL198" s="267"/>
      <c r="AM198" s="267"/>
      <c r="AN198" s="267"/>
      <c r="AO198" s="267"/>
    </row>
    <row r="199" spans="2:50">
      <c r="B199" s="459"/>
      <c r="C199" s="409"/>
      <c r="D199" s="333"/>
      <c r="E199" s="410"/>
      <c r="F199" s="411"/>
      <c r="G199" s="333"/>
      <c r="H199" s="333"/>
      <c r="I199" s="411"/>
      <c r="J199" s="333"/>
      <c r="K199" s="405"/>
      <c r="L199" s="405"/>
      <c r="M199" s="333"/>
      <c r="N199" s="333"/>
      <c r="O199" s="1053">
        <f>+O198/7</f>
        <v>34.1</v>
      </c>
      <c r="P199" s="1053"/>
      <c r="Q199" s="1053" t="s">
        <v>75</v>
      </c>
      <c r="R199" s="1053"/>
      <c r="S199" s="1053"/>
      <c r="T199" s="1053"/>
      <c r="U199" s="1053"/>
      <c r="V199" s="1053"/>
      <c r="W199" s="1053"/>
      <c r="X199" s="1053"/>
      <c r="Y199" s="1053"/>
      <c r="Z199" s="1053"/>
      <c r="AA199" s="167"/>
      <c r="AB199" s="167"/>
      <c r="AC199" s="461"/>
      <c r="AG199" s="267"/>
      <c r="AH199" s="267"/>
      <c r="AI199" s="412"/>
      <c r="AJ199" s="413"/>
      <c r="AK199" s="407"/>
      <c r="AL199" s="267"/>
      <c r="AM199" s="267"/>
      <c r="AN199" s="267"/>
      <c r="AO199" s="267"/>
    </row>
    <row r="200" spans="2:50">
      <c r="B200" s="467">
        <f>+B198/7</f>
        <v>30.999999999999996</v>
      </c>
      <c r="C200" s="468" t="s">
        <v>86</v>
      </c>
      <c r="D200" s="333"/>
      <c r="E200" s="410"/>
      <c r="F200" s="411"/>
      <c r="G200" s="333"/>
      <c r="H200" s="333"/>
      <c r="I200" s="411"/>
      <c r="J200" s="333"/>
      <c r="K200" s="405"/>
      <c r="L200" s="405"/>
      <c r="M200" s="333"/>
      <c r="N200" s="333"/>
      <c r="O200" s="1065">
        <f>(O198-18)/7</f>
        <v>31.528571428571432</v>
      </c>
      <c r="P200" s="1065"/>
      <c r="Q200" s="1065" t="s">
        <v>77</v>
      </c>
      <c r="R200" s="1065"/>
      <c r="S200" s="1065"/>
      <c r="T200" s="1065"/>
      <c r="U200" s="1065"/>
      <c r="V200" s="1065"/>
      <c r="W200" s="1065"/>
      <c r="X200" s="1065"/>
      <c r="Y200" s="1065"/>
      <c r="Z200" s="1065"/>
      <c r="AA200" s="167"/>
      <c r="AB200" s="167"/>
      <c r="AC200" s="461"/>
      <c r="AG200" s="267"/>
      <c r="AH200" s="267"/>
      <c r="AI200" s="267"/>
      <c r="AJ200" s="267"/>
      <c r="AK200" s="407"/>
      <c r="AL200" s="267"/>
      <c r="AM200" s="267"/>
      <c r="AN200" s="267"/>
      <c r="AO200" s="267"/>
    </row>
    <row r="201" spans="2:50">
      <c r="B201" s="459"/>
      <c r="C201" s="409"/>
      <c r="D201" s="333"/>
      <c r="E201" s="410"/>
      <c r="F201" s="411"/>
      <c r="G201" s="333"/>
      <c r="H201" s="333"/>
      <c r="I201" s="411"/>
      <c r="J201" s="333"/>
      <c r="K201" s="405"/>
      <c r="L201" s="405"/>
      <c r="M201" s="333"/>
      <c r="N201" s="333"/>
      <c r="O201" s="1053">
        <v>3</v>
      </c>
      <c r="P201" s="1053"/>
      <c r="Q201" s="1053" t="s">
        <v>79</v>
      </c>
      <c r="R201" s="1053"/>
      <c r="S201" s="1053"/>
      <c r="T201" s="1053"/>
      <c r="U201" s="1053"/>
      <c r="V201" s="1053"/>
      <c r="W201" s="1053"/>
      <c r="X201" s="1053"/>
      <c r="Y201" s="1053"/>
      <c r="Z201" s="1053"/>
      <c r="AA201" s="167"/>
      <c r="AB201" s="167"/>
      <c r="AC201" s="461"/>
      <c r="AG201" s="267"/>
      <c r="AH201" s="267"/>
      <c r="AI201" s="267"/>
      <c r="AJ201" s="267"/>
      <c r="AK201" s="267"/>
      <c r="AL201" s="267"/>
      <c r="AM201" s="267"/>
      <c r="AN201" s="267"/>
      <c r="AO201" s="267"/>
    </row>
    <row r="202" spans="2:50" ht="15.75" thickBot="1">
      <c r="B202" s="469"/>
      <c r="C202" s="470"/>
      <c r="D202" s="471"/>
      <c r="E202" s="472"/>
      <c r="F202" s="473"/>
      <c r="G202" s="471"/>
      <c r="H202" s="471"/>
      <c r="I202" s="473"/>
      <c r="J202" s="471"/>
      <c r="K202" s="474"/>
      <c r="L202" s="474"/>
      <c r="M202" s="471"/>
      <c r="N202" s="471"/>
      <c r="O202" s="1081">
        <f>+O201+O200</f>
        <v>34.528571428571432</v>
      </c>
      <c r="P202" s="1081"/>
      <c r="Q202" s="471"/>
      <c r="R202" s="471"/>
      <c r="S202" s="471"/>
      <c r="T202" s="471"/>
      <c r="U202" s="471"/>
      <c r="V202" s="471"/>
      <c r="W202" s="471"/>
      <c r="X202" s="471"/>
      <c r="Y202" s="471"/>
      <c r="Z202" s="471"/>
      <c r="AA202" s="475"/>
      <c r="AB202" s="475"/>
      <c r="AC202" s="476"/>
      <c r="AG202" s="267"/>
      <c r="AH202" s="267"/>
      <c r="AI202" s="267"/>
      <c r="AJ202" s="267"/>
      <c r="AK202" s="267"/>
      <c r="AL202" s="267"/>
      <c r="AM202" s="267"/>
      <c r="AN202" s="267"/>
      <c r="AO202" s="267"/>
    </row>
    <row r="203" spans="2:50" ht="15.75" thickTop="1">
      <c r="B203" s="168"/>
      <c r="AG203" s="267"/>
      <c r="AH203" s="267"/>
      <c r="AI203" s="267"/>
      <c r="AJ203" s="267"/>
      <c r="AK203" s="267"/>
      <c r="AL203" s="267"/>
      <c r="AM203" s="267"/>
      <c r="AN203" s="267"/>
      <c r="AO203" s="267"/>
    </row>
    <row r="204" spans="2:50" ht="3" customHeight="1">
      <c r="Q204" s="308"/>
      <c r="R204" s="309"/>
      <c r="S204" s="310"/>
      <c r="T204" s="311"/>
      <c r="AA204" s="3"/>
      <c r="AB204" s="256"/>
      <c r="AC204" s="256"/>
      <c r="AD204" s="256"/>
      <c r="AE204" s="256"/>
      <c r="AF204" s="256"/>
      <c r="AG204" s="256"/>
      <c r="AH204" s="256"/>
      <c r="AI204" s="256"/>
      <c r="AJ204" s="256"/>
      <c r="AK204" s="256"/>
      <c r="AL204" s="256"/>
      <c r="AM204" s="254"/>
      <c r="AN204" s="254"/>
      <c r="AO204" s="254"/>
      <c r="AP204" s="254"/>
      <c r="AQ204" s="253"/>
      <c r="AS204" s="255"/>
      <c r="AT204" s="255"/>
      <c r="AX204" s="257"/>
    </row>
    <row r="205" spans="2:50" ht="14.1" customHeight="1">
      <c r="B205" s="7" t="s">
        <v>29</v>
      </c>
      <c r="C205" s="997" t="s">
        <v>30</v>
      </c>
      <c r="D205" s="997"/>
      <c r="E205" s="997" t="s">
        <v>31</v>
      </c>
      <c r="F205" s="997"/>
      <c r="G205" s="998" t="s">
        <v>32</v>
      </c>
      <c r="H205" s="999"/>
      <c r="I205" s="1004" t="s">
        <v>33</v>
      </c>
      <c r="J205" s="1005"/>
      <c r="K205" s="1006" t="s">
        <v>34</v>
      </c>
      <c r="L205" s="1006"/>
      <c r="M205" s="6"/>
      <c r="N205" s="1007" t="s">
        <v>35</v>
      </c>
      <c r="O205" s="1007"/>
      <c r="P205" s="6"/>
      <c r="Q205" s="1008" t="s">
        <v>36</v>
      </c>
      <c r="R205" s="1009"/>
      <c r="U205" s="1019" t="s">
        <v>37</v>
      </c>
      <c r="V205" s="1022" t="s">
        <v>38</v>
      </c>
      <c r="W205" s="1025" t="s">
        <v>39</v>
      </c>
      <c r="X205" s="983" t="s">
        <v>40</v>
      </c>
      <c r="AA205" s="3"/>
      <c r="AB205" s="256"/>
      <c r="AC205" s="256"/>
      <c r="AD205" s="256"/>
      <c r="AE205" s="256"/>
      <c r="AF205" s="256"/>
      <c r="AG205" s="256"/>
      <c r="AH205" s="256"/>
      <c r="AI205" s="256"/>
      <c r="AJ205" s="256"/>
      <c r="AK205" s="256"/>
      <c r="AL205" s="256"/>
      <c r="AM205" s="254"/>
      <c r="AN205" s="254"/>
      <c r="AO205" s="254"/>
      <c r="AP205" s="254"/>
      <c r="AQ205" s="253"/>
      <c r="AS205" s="255"/>
      <c r="AT205" s="255"/>
      <c r="AX205" s="257"/>
    </row>
    <row r="206" spans="2:50" ht="14.1" customHeight="1">
      <c r="B206" s="7" t="s">
        <v>41</v>
      </c>
      <c r="C206" s="997"/>
      <c r="D206" s="997"/>
      <c r="E206" s="997"/>
      <c r="F206" s="997"/>
      <c r="G206" s="1000"/>
      <c r="H206" s="1001"/>
      <c r="I206" s="1004"/>
      <c r="J206" s="1005"/>
      <c r="K206" s="1006"/>
      <c r="L206" s="1006"/>
      <c r="M206" s="6"/>
      <c r="N206" s="1007"/>
      <c r="O206" s="1007"/>
      <c r="P206" s="6"/>
      <c r="Q206" s="1010"/>
      <c r="R206" s="1011"/>
      <c r="U206" s="1020"/>
      <c r="V206" s="1023"/>
      <c r="W206" s="1026"/>
      <c r="X206" s="984"/>
      <c r="AA206" s="3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254"/>
      <c r="AN206" s="254"/>
      <c r="AO206" s="254"/>
      <c r="AP206" s="254"/>
      <c r="AQ206" s="253"/>
      <c r="AS206" s="255"/>
      <c r="AT206" s="255"/>
      <c r="AX206" s="257"/>
    </row>
    <row r="207" spans="2:50" ht="14.1" customHeight="1">
      <c r="B207" s="7" t="s">
        <v>42</v>
      </c>
      <c r="C207" s="997"/>
      <c r="D207" s="997"/>
      <c r="E207" s="997"/>
      <c r="F207" s="997"/>
      <c r="G207" s="1000"/>
      <c r="H207" s="1001"/>
      <c r="I207" s="1004"/>
      <c r="J207" s="1005"/>
      <c r="K207" s="1006"/>
      <c r="L207" s="1006"/>
      <c r="M207" s="6"/>
      <c r="N207" s="1007"/>
      <c r="O207" s="1007"/>
      <c r="P207" s="6"/>
      <c r="Q207" s="1012"/>
      <c r="R207" s="1013"/>
      <c r="U207" s="1020"/>
      <c r="V207" s="1023"/>
      <c r="W207" s="1026"/>
      <c r="X207" s="984"/>
      <c r="AA207" s="3"/>
      <c r="AB207" s="256"/>
      <c r="AC207" s="256"/>
      <c r="AD207" s="256"/>
      <c r="AE207" s="256"/>
      <c r="AF207" s="256"/>
      <c r="AG207" s="256"/>
      <c r="AH207" s="256"/>
      <c r="AI207" s="256"/>
      <c r="AJ207" s="256"/>
      <c r="AK207" s="256"/>
      <c r="AL207" s="256"/>
      <c r="AM207" s="254"/>
      <c r="AN207" s="254"/>
      <c r="AO207" s="254"/>
      <c r="AP207" s="254"/>
      <c r="AQ207" s="253"/>
      <c r="AS207" s="255"/>
      <c r="AT207" s="255"/>
      <c r="AV207" s="254"/>
      <c r="AX207" s="257"/>
    </row>
    <row r="208" spans="2:50" ht="26.25">
      <c r="B208" s="325" t="s">
        <v>44</v>
      </c>
      <c r="C208" s="986">
        <f>+E208*7</f>
        <v>198.33333333333331</v>
      </c>
      <c r="D208" s="986"/>
      <c r="E208" s="987">
        <f>+K208/30</f>
        <v>28.333333333333332</v>
      </c>
      <c r="F208" s="987"/>
      <c r="G208" s="1000"/>
      <c r="H208" s="1001"/>
      <c r="I208" s="988">
        <f>+E208/8</f>
        <v>3.5416666666666665</v>
      </c>
      <c r="J208" s="989"/>
      <c r="K208" s="990">
        <v>850</v>
      </c>
      <c r="L208" s="990"/>
      <c r="M208" s="326"/>
      <c r="N208" s="991">
        <f>+I208/6*7</f>
        <v>4.1319444444444446</v>
      </c>
      <c r="O208" s="992"/>
      <c r="P208" s="326"/>
      <c r="Q208" s="993">
        <f>+$I$71-I208</f>
        <v>1.6895833333333337</v>
      </c>
      <c r="R208" s="993"/>
      <c r="U208" s="1020"/>
      <c r="V208" s="1023"/>
      <c r="W208" s="1026"/>
      <c r="X208" s="984"/>
      <c r="AA208" s="3"/>
      <c r="AB208" s="3"/>
      <c r="AC208" s="3"/>
      <c r="AD208" s="3"/>
    </row>
    <row r="209" spans="1:46" ht="24.75">
      <c r="B209" s="332" t="s">
        <v>46</v>
      </c>
      <c r="C209" s="1014">
        <f>+E209*7</f>
        <v>267.75</v>
      </c>
      <c r="D209" s="1014"/>
      <c r="E209" s="1015">
        <f>+K209/30</f>
        <v>38.25</v>
      </c>
      <c r="F209" s="1015"/>
      <c r="G209" s="1002"/>
      <c r="H209" s="1003"/>
      <c r="I209" s="1016">
        <f>+E209/8</f>
        <v>4.78125</v>
      </c>
      <c r="J209" s="1017"/>
      <c r="K209" s="1018">
        <f>+K208*1.35</f>
        <v>1147.5</v>
      </c>
      <c r="L209" s="1018"/>
      <c r="M209" s="326"/>
      <c r="N209" s="991">
        <f>+I209/6*7</f>
        <v>5.578125</v>
      </c>
      <c r="O209" s="992"/>
      <c r="P209" s="326"/>
      <c r="Q209" s="993">
        <f>+$I$71-I209</f>
        <v>0.45000000000000018</v>
      </c>
      <c r="R209" s="993"/>
      <c r="U209" s="1020"/>
      <c r="V209" s="1023"/>
      <c r="W209" s="1026"/>
      <c r="X209" s="984"/>
      <c r="Z209" s="477"/>
      <c r="AA209" s="480"/>
      <c r="AB209" s="480"/>
      <c r="AC209" s="480"/>
      <c r="AD209" s="480"/>
      <c r="AE209" s="296"/>
      <c r="AF209" s="296"/>
      <c r="AG209" s="478"/>
      <c r="AH209" s="296"/>
      <c r="AI209" s="296"/>
      <c r="AJ209" s="296"/>
      <c r="AK209" s="296"/>
      <c r="AL209" s="296"/>
      <c r="AM209" s="296"/>
      <c r="AN209" s="296"/>
      <c r="AO209" s="296"/>
      <c r="AP209" s="296"/>
      <c r="AQ209" s="296"/>
      <c r="AR209" s="296"/>
      <c r="AS209" s="296"/>
      <c r="AT209" s="296"/>
    </row>
    <row r="210" spans="1:46" ht="2.1" customHeight="1">
      <c r="B210" s="334"/>
      <c r="C210" s="258"/>
      <c r="D210" s="258"/>
      <c r="G210" s="335"/>
      <c r="H210" s="335"/>
      <c r="I210" s="336"/>
      <c r="J210" s="336"/>
      <c r="K210" s="337"/>
      <c r="L210" s="337"/>
      <c r="M210" s="6"/>
      <c r="N210" s="338"/>
      <c r="O210" s="338"/>
      <c r="P210" s="6"/>
      <c r="Q210" s="339"/>
      <c r="R210" s="339"/>
      <c r="U210" s="1021"/>
      <c r="V210" s="1024"/>
      <c r="W210" s="1027"/>
      <c r="X210" s="985"/>
      <c r="Z210" s="477"/>
      <c r="AA210" s="480"/>
      <c r="AB210" s="480"/>
      <c r="AC210" s="480"/>
      <c r="AD210" s="480"/>
      <c r="AE210" s="296"/>
      <c r="AF210" s="296"/>
      <c r="AG210" s="478"/>
      <c r="AH210" s="296"/>
      <c r="AI210" s="296"/>
      <c r="AJ210" s="296"/>
      <c r="AK210" s="296"/>
      <c r="AL210" s="296"/>
      <c r="AM210" s="296"/>
      <c r="AN210" s="296"/>
      <c r="AO210" s="296"/>
      <c r="AP210" s="296"/>
      <c r="AQ210" s="296"/>
      <c r="AR210" s="296"/>
      <c r="AS210" s="296"/>
      <c r="AT210" s="296"/>
    </row>
    <row r="211" spans="1:46" ht="16.5">
      <c r="A211" s="1">
        <v>1</v>
      </c>
      <c r="B211" s="340" t="s">
        <v>47</v>
      </c>
      <c r="C211" s="1040">
        <f>6*3+7*33.8</f>
        <v>254.59999999999997</v>
      </c>
      <c r="D211" s="1041"/>
      <c r="E211" s="1030">
        <f t="shared" ref="E211:E218" si="73">+C211/7</f>
        <v>36.371428571428567</v>
      </c>
      <c r="F211" s="1031"/>
      <c r="G211" s="341"/>
      <c r="H211" s="341"/>
      <c r="I211" s="1032">
        <f t="shared" ref="I211:I218" si="74">+E211/8</f>
        <v>4.5464285714285708</v>
      </c>
      <c r="J211" s="1033"/>
      <c r="K211" s="1034">
        <f t="shared" ref="K211:K221" si="75">+E211*30</f>
        <v>1091.1428571428569</v>
      </c>
      <c r="L211" s="1034"/>
      <c r="M211" s="6"/>
      <c r="N211" s="1035">
        <f t="shared" ref="N211:N225" si="76">+I211/6*7</f>
        <v>5.3041666666666654</v>
      </c>
      <c r="O211" s="1035"/>
      <c r="P211" s="6"/>
      <c r="Q211" s="1036">
        <f t="shared" ref="Q211:Q225" si="77">+$I$71-I211</f>
        <v>0.68482142857142936</v>
      </c>
      <c r="R211" s="1037"/>
      <c r="U211" s="342">
        <f t="shared" ref="U211:U217" si="78">+AE172+U172+K172+AO151+AE151+U151+K151</f>
        <v>0</v>
      </c>
      <c r="V211" s="343">
        <v>48</v>
      </c>
      <c r="W211" s="344">
        <f t="shared" ref="W211:W225" si="79">+V211-U211</f>
        <v>48</v>
      </c>
      <c r="X211" s="345" t="e">
        <f t="shared" ref="X211:X217" si="80">+J151+T151+AD151+J172+T172+AD172</f>
        <v>#VALUE!</v>
      </c>
      <c r="Z211" s="477"/>
      <c r="AA211" s="480"/>
      <c r="AB211" s="480"/>
      <c r="AC211" s="480"/>
      <c r="AD211" s="480"/>
      <c r="AE211" s="296"/>
      <c r="AF211" s="296"/>
      <c r="AG211" s="478"/>
      <c r="AH211" s="296"/>
      <c r="AI211" s="296"/>
      <c r="AJ211" s="296"/>
      <c r="AK211" s="296"/>
      <c r="AL211" s="296"/>
      <c r="AM211" s="296"/>
      <c r="AN211" s="296"/>
      <c r="AO211" s="296"/>
      <c r="AP211" s="296"/>
      <c r="AQ211" s="296"/>
      <c r="AR211" s="296"/>
      <c r="AS211" s="296"/>
      <c r="AT211" s="296"/>
    </row>
    <row r="212" spans="1:46" ht="16.5">
      <c r="A212" s="1">
        <v>2</v>
      </c>
      <c r="B212" s="340" t="s">
        <v>48</v>
      </c>
      <c r="C212" s="1040">
        <f>6*3+7*38.5</f>
        <v>287.5</v>
      </c>
      <c r="D212" s="1041"/>
      <c r="E212" s="1030">
        <f t="shared" si="73"/>
        <v>41.071428571428569</v>
      </c>
      <c r="F212" s="1031"/>
      <c r="G212" s="341"/>
      <c r="H212" s="341"/>
      <c r="I212" s="1032">
        <f t="shared" si="74"/>
        <v>5.1339285714285712</v>
      </c>
      <c r="J212" s="1033"/>
      <c r="K212" s="1034">
        <f t="shared" si="75"/>
        <v>1232.1428571428571</v>
      </c>
      <c r="L212" s="1034"/>
      <c r="M212" s="6"/>
      <c r="N212" s="1035">
        <f t="shared" si="76"/>
        <v>5.989583333333333</v>
      </c>
      <c r="O212" s="1035"/>
      <c r="P212" s="6"/>
      <c r="Q212" s="1036">
        <f t="shared" si="77"/>
        <v>9.7321428571429003E-2</v>
      </c>
      <c r="R212" s="1037"/>
      <c r="U212" s="342">
        <f t="shared" si="78"/>
        <v>0</v>
      </c>
      <c r="V212" s="343">
        <v>48</v>
      </c>
      <c r="W212" s="344">
        <f t="shared" si="79"/>
        <v>48</v>
      </c>
      <c r="X212" s="345" t="e">
        <f t="shared" si="80"/>
        <v>#VALUE!</v>
      </c>
      <c r="Z212" s="477"/>
      <c r="AA212" s="480"/>
      <c r="AB212" s="480"/>
      <c r="AC212" s="480"/>
      <c r="AD212" s="480"/>
      <c r="AE212" s="296"/>
      <c r="AF212" s="296"/>
      <c r="AG212" s="478"/>
      <c r="AH212" s="296"/>
      <c r="AI212" s="296"/>
      <c r="AJ212" s="296"/>
      <c r="AK212" s="296"/>
      <c r="AL212" s="296"/>
      <c r="AM212" s="296"/>
      <c r="AN212" s="296"/>
      <c r="AO212" s="296"/>
      <c r="AP212" s="296"/>
      <c r="AQ212" s="296"/>
      <c r="AR212" s="296"/>
      <c r="AS212" s="296"/>
      <c r="AT212" s="296"/>
    </row>
    <row r="213" spans="1:46" ht="16.5">
      <c r="A213" s="1">
        <v>2</v>
      </c>
      <c r="B213" s="340" t="s">
        <v>61</v>
      </c>
      <c r="C213" s="1040">
        <f>6*3+7*38.5</f>
        <v>287.5</v>
      </c>
      <c r="D213" s="1041"/>
      <c r="E213" s="1030">
        <f t="shared" si="73"/>
        <v>41.071428571428569</v>
      </c>
      <c r="F213" s="1031"/>
      <c r="G213" s="341"/>
      <c r="H213" s="341"/>
      <c r="I213" s="1032">
        <f t="shared" si="74"/>
        <v>5.1339285714285712</v>
      </c>
      <c r="J213" s="1033"/>
      <c r="K213" s="1034">
        <f t="shared" si="75"/>
        <v>1232.1428571428571</v>
      </c>
      <c r="L213" s="1034"/>
      <c r="M213" s="6"/>
      <c r="N213" s="1035">
        <f t="shared" si="76"/>
        <v>5.989583333333333</v>
      </c>
      <c r="O213" s="1035"/>
      <c r="P213" s="6"/>
      <c r="Q213" s="1036">
        <f t="shared" si="77"/>
        <v>9.7321428571429003E-2</v>
      </c>
      <c r="R213" s="1037"/>
      <c r="U213" s="342">
        <f t="shared" si="78"/>
        <v>0</v>
      </c>
      <c r="V213" s="343">
        <v>48</v>
      </c>
      <c r="W213" s="344">
        <f t="shared" si="79"/>
        <v>48</v>
      </c>
      <c r="X213" s="345" t="e">
        <f t="shared" si="80"/>
        <v>#VALUE!</v>
      </c>
      <c r="Z213" s="477"/>
      <c r="AA213" s="480"/>
      <c r="AB213" s="480"/>
      <c r="AC213" s="480"/>
      <c r="AD213" s="480"/>
      <c r="AE213" s="296"/>
      <c r="AF213" s="296"/>
      <c r="AG213" s="478"/>
      <c r="AH213" s="296"/>
      <c r="AI213" s="296"/>
      <c r="AJ213" s="296"/>
      <c r="AK213" s="296"/>
      <c r="AL213" s="296"/>
      <c r="AM213" s="296"/>
      <c r="AN213" s="296"/>
      <c r="AO213" s="296"/>
      <c r="AP213" s="296"/>
      <c r="AQ213" s="296"/>
      <c r="AR213" s="296"/>
      <c r="AS213" s="296"/>
      <c r="AT213" s="296"/>
    </row>
    <row r="214" spans="1:46" ht="16.5">
      <c r="A214" s="1">
        <v>4</v>
      </c>
      <c r="B214" s="359" t="s">
        <v>50</v>
      </c>
      <c r="C214" s="1028">
        <f>6*3+7*30.762</f>
        <v>233.334</v>
      </c>
      <c r="D214" s="1029"/>
      <c r="E214" s="1030">
        <f t="shared" si="73"/>
        <v>33.33342857142857</v>
      </c>
      <c r="F214" s="1031"/>
      <c r="G214" s="341"/>
      <c r="H214" s="341"/>
      <c r="I214" s="1032">
        <f t="shared" si="74"/>
        <v>4.1666785714285712</v>
      </c>
      <c r="J214" s="1033"/>
      <c r="K214" s="1034">
        <f t="shared" si="75"/>
        <v>1000.0028571428571</v>
      </c>
      <c r="L214" s="1034"/>
      <c r="M214" s="6"/>
      <c r="N214" s="1035">
        <f t="shared" si="76"/>
        <v>4.8611250000000004</v>
      </c>
      <c r="O214" s="1035"/>
      <c r="P214" s="6"/>
      <c r="Q214" s="1036">
        <f t="shared" si="77"/>
        <v>1.0645714285714289</v>
      </c>
      <c r="R214" s="1037"/>
      <c r="S214" s="1082">
        <f>20*30/180*117</f>
        <v>390</v>
      </c>
      <c r="T214" s="1083"/>
      <c r="U214" s="342">
        <f t="shared" si="78"/>
        <v>0</v>
      </c>
      <c r="V214" s="343">
        <v>48</v>
      </c>
      <c r="W214" s="344">
        <f t="shared" si="79"/>
        <v>48</v>
      </c>
      <c r="X214" s="345">
        <f t="shared" si="80"/>
        <v>0</v>
      </c>
      <c r="Z214" s="1084" t="s">
        <v>99</v>
      </c>
      <c r="AA214" s="1084"/>
      <c r="AB214" s="1084"/>
      <c r="AC214" s="1084"/>
      <c r="AD214" s="477" t="s">
        <v>100</v>
      </c>
      <c r="AE214" s="480"/>
      <c r="AF214" s="296"/>
      <c r="AG214" s="425"/>
      <c r="AH214" s="425"/>
      <c r="AI214" s="296"/>
      <c r="AJ214" s="296"/>
      <c r="AK214" s="373"/>
      <c r="AL214" s="373"/>
      <c r="AM214" s="373"/>
      <c r="AN214" s="373"/>
      <c r="AO214" s="373"/>
      <c r="AP214" s="373"/>
      <c r="AQ214" s="373"/>
      <c r="AR214" s="373"/>
      <c r="AS214" s="296"/>
      <c r="AT214" s="296"/>
    </row>
    <row r="215" spans="1:46" ht="16.5">
      <c r="A215" s="1">
        <v>5</v>
      </c>
      <c r="B215" s="340" t="s">
        <v>52</v>
      </c>
      <c r="C215" s="1028">
        <f>6*3+7*38.5</f>
        <v>287.5</v>
      </c>
      <c r="D215" s="1029"/>
      <c r="E215" s="1030">
        <f t="shared" si="73"/>
        <v>41.071428571428569</v>
      </c>
      <c r="F215" s="1031"/>
      <c r="G215" s="341"/>
      <c r="H215" s="341"/>
      <c r="I215" s="1032">
        <f t="shared" si="74"/>
        <v>5.1339285714285712</v>
      </c>
      <c r="J215" s="1033"/>
      <c r="K215" s="1034">
        <f t="shared" si="75"/>
        <v>1232.1428571428571</v>
      </c>
      <c r="L215" s="1034"/>
      <c r="M215" s="6"/>
      <c r="N215" s="1035">
        <f t="shared" si="76"/>
        <v>5.989583333333333</v>
      </c>
      <c r="O215" s="1035"/>
      <c r="P215" s="6"/>
      <c r="Q215" s="1036">
        <f t="shared" si="77"/>
        <v>9.7321428571429003E-2</v>
      </c>
      <c r="R215" s="1037"/>
      <c r="U215" s="342">
        <f t="shared" si="78"/>
        <v>0</v>
      </c>
      <c r="V215" s="343">
        <v>48</v>
      </c>
      <c r="W215" s="344">
        <f t="shared" si="79"/>
        <v>48</v>
      </c>
      <c r="X215" s="345">
        <f t="shared" si="80"/>
        <v>0</v>
      </c>
      <c r="Z215" s="480"/>
      <c r="AA215" s="480"/>
      <c r="AB215" s="480"/>
      <c r="AC215" s="480"/>
      <c r="AD215" s="480"/>
      <c r="AE215" s="296"/>
      <c r="AF215" s="296"/>
      <c r="AG215" s="479"/>
      <c r="AH215" s="479"/>
      <c r="AI215" s="425"/>
      <c r="AJ215" s="425"/>
      <c r="AK215" s="425"/>
      <c r="AL215" s="425"/>
      <c r="AM215" s="425"/>
      <c r="AN215" s="425"/>
      <c r="AO215" s="425"/>
      <c r="AP215" s="425"/>
      <c r="AQ215" s="425"/>
      <c r="AR215" s="425"/>
      <c r="AS215" s="296"/>
      <c r="AT215" s="296"/>
    </row>
    <row r="216" spans="1:46" ht="16.5">
      <c r="A216" s="1">
        <v>7</v>
      </c>
      <c r="B216" s="365" t="s">
        <v>53</v>
      </c>
      <c r="C216" s="1042">
        <f>6*3+7*(38.5)</f>
        <v>287.5</v>
      </c>
      <c r="D216" s="1043"/>
      <c r="E216" s="1030">
        <f t="shared" si="73"/>
        <v>41.071428571428569</v>
      </c>
      <c r="F216" s="1031"/>
      <c r="G216" s="1046"/>
      <c r="H216" s="1047"/>
      <c r="I216" s="1032">
        <f t="shared" si="74"/>
        <v>5.1339285714285712</v>
      </c>
      <c r="J216" s="1033"/>
      <c r="K216" s="1034">
        <f t="shared" si="75"/>
        <v>1232.1428571428571</v>
      </c>
      <c r="L216" s="1034"/>
      <c r="M216" s="6"/>
      <c r="N216" s="1035">
        <f t="shared" si="76"/>
        <v>5.989583333333333</v>
      </c>
      <c r="O216" s="1035"/>
      <c r="P216" s="6"/>
      <c r="Q216" s="1036">
        <f t="shared" si="77"/>
        <v>9.7321428571429003E-2</v>
      </c>
      <c r="R216" s="1037"/>
      <c r="U216" s="342">
        <f t="shared" si="78"/>
        <v>0</v>
      </c>
      <c r="V216" s="343">
        <v>48</v>
      </c>
      <c r="W216" s="344">
        <f t="shared" si="79"/>
        <v>48</v>
      </c>
      <c r="X216" s="345">
        <f t="shared" si="80"/>
        <v>0</v>
      </c>
      <c r="Z216" s="372"/>
      <c r="AA216" s="372"/>
      <c r="AB216" s="1085" t="s">
        <v>101</v>
      </c>
      <c r="AC216" s="1086"/>
      <c r="AD216" s="1086"/>
      <c r="AE216" s="1086"/>
      <c r="AF216" s="1086"/>
      <c r="AG216" s="1086"/>
      <c r="AH216" s="1086"/>
      <c r="AI216" s="1086"/>
      <c r="AJ216" s="1086"/>
      <c r="AK216" s="1086"/>
      <c r="AL216" s="370"/>
      <c r="AM216" s="425"/>
      <c r="AN216" s="425"/>
      <c r="AO216" s="425"/>
      <c r="AP216" s="425"/>
      <c r="AQ216" s="425"/>
      <c r="AR216" s="425"/>
      <c r="AS216" s="296"/>
      <c r="AT216" s="296"/>
    </row>
    <row r="217" spans="1:46" s="371" customFormat="1" ht="16.5">
      <c r="A217" s="366">
        <v>6</v>
      </c>
      <c r="B217" s="365" t="s">
        <v>102</v>
      </c>
      <c r="C217" s="1042">
        <f>6*3+7*(27)</f>
        <v>207</v>
      </c>
      <c r="D217" s="1043"/>
      <c r="E217" s="1030">
        <f t="shared" si="73"/>
        <v>29.571428571428573</v>
      </c>
      <c r="F217" s="1031"/>
      <c r="G217" s="1087"/>
      <c r="H217" s="1088"/>
      <c r="I217" s="1032">
        <f t="shared" si="74"/>
        <v>3.6964285714285716</v>
      </c>
      <c r="J217" s="1033"/>
      <c r="K217" s="1034">
        <f t="shared" si="75"/>
        <v>887.14285714285722</v>
      </c>
      <c r="L217" s="1034"/>
      <c r="M217" s="6"/>
      <c r="N217" s="1035">
        <f t="shared" si="76"/>
        <v>4.3125</v>
      </c>
      <c r="O217" s="1035"/>
      <c r="P217" s="6"/>
      <c r="Q217" s="1036">
        <f t="shared" si="77"/>
        <v>1.5348214285714286</v>
      </c>
      <c r="R217" s="1037"/>
      <c r="S217" s="1082">
        <f>20*30/180*117</f>
        <v>390</v>
      </c>
      <c r="T217" s="1083"/>
      <c r="U217" s="342">
        <f t="shared" si="78"/>
        <v>0</v>
      </c>
      <c r="V217" s="343">
        <v>48</v>
      </c>
      <c r="W217" s="344">
        <f t="shared" si="79"/>
        <v>48</v>
      </c>
      <c r="X217" s="345">
        <f t="shared" si="80"/>
        <v>0</v>
      </c>
      <c r="Y217" s="367"/>
      <c r="Z217" s="480"/>
      <c r="AA217" s="480"/>
      <c r="AB217" s="480"/>
      <c r="AC217" s="480"/>
      <c r="AD217" s="480"/>
      <c r="AE217" s="296"/>
      <c r="AF217" s="296"/>
      <c r="AG217" s="425"/>
      <c r="AH217" s="425"/>
      <c r="AI217" s="370"/>
      <c r="AJ217" s="370"/>
      <c r="AK217" s="370"/>
      <c r="AL217" s="370"/>
      <c r="AM217" s="425"/>
      <c r="AN217" s="425"/>
      <c r="AO217" s="425"/>
      <c r="AP217" s="425"/>
      <c r="AQ217" s="425"/>
      <c r="AR217" s="425"/>
      <c r="AS217" s="296"/>
      <c r="AT217" s="296"/>
    </row>
    <row r="218" spans="1:46" s="371" customFormat="1" ht="16.5">
      <c r="A218" s="1">
        <v>8</v>
      </c>
      <c r="B218" s="365" t="s">
        <v>87</v>
      </c>
      <c r="C218" s="1042">
        <f>6*3+7*(25.7619)</f>
        <v>198.33330000000001</v>
      </c>
      <c r="D218" s="1043"/>
      <c r="E218" s="1030">
        <f t="shared" si="73"/>
        <v>28.333328571428574</v>
      </c>
      <c r="F218" s="1031"/>
      <c r="G218" s="1044">
        <v>25.761900000000001</v>
      </c>
      <c r="H218" s="1045"/>
      <c r="I218" s="1032">
        <f t="shared" si="74"/>
        <v>3.5416660714285717</v>
      </c>
      <c r="J218" s="1033"/>
      <c r="K218" s="1034">
        <f t="shared" si="75"/>
        <v>849.99985714285719</v>
      </c>
      <c r="L218" s="1034"/>
      <c r="M218" s="6"/>
      <c r="N218" s="1035">
        <f t="shared" si="76"/>
        <v>4.1319437500000005</v>
      </c>
      <c r="O218" s="1035"/>
      <c r="P218" s="6"/>
      <c r="Q218" s="1036">
        <f t="shared" si="77"/>
        <v>1.6895839285714285</v>
      </c>
      <c r="R218" s="1037"/>
      <c r="S218" s="3"/>
      <c r="T218" s="3"/>
      <c r="U218" s="342">
        <f>+AE180+U180+K180+AO159+AE159+U159+K159</f>
        <v>0</v>
      </c>
      <c r="V218" s="343">
        <v>48</v>
      </c>
      <c r="W218" s="344">
        <f t="shared" si="79"/>
        <v>48</v>
      </c>
      <c r="X218" s="345">
        <f>+J159+T159+AD159+J180+T180+AD180</f>
        <v>0</v>
      </c>
      <c r="Y218" s="3"/>
      <c r="Z218" s="480"/>
      <c r="AA218" s="480"/>
      <c r="AB218" s="480"/>
      <c r="AC218" s="480"/>
      <c r="AD218" s="480"/>
      <c r="AE218" s="296"/>
      <c r="AF218" s="296"/>
      <c r="AG218" s="425"/>
      <c r="AH218" s="425"/>
      <c r="AI218" s="370"/>
      <c r="AJ218" s="370"/>
      <c r="AK218" s="370"/>
      <c r="AL218" s="370"/>
      <c r="AM218" s="425"/>
      <c r="AN218" s="425"/>
      <c r="AO218" s="425"/>
      <c r="AP218" s="425"/>
      <c r="AQ218" s="425"/>
      <c r="AR218" s="425"/>
      <c r="AS218" s="296"/>
      <c r="AT218" s="296"/>
    </row>
    <row r="219" spans="1:46" ht="16.5">
      <c r="B219" s="365" t="s">
        <v>54</v>
      </c>
      <c r="C219" s="1042"/>
      <c r="D219" s="1043"/>
      <c r="E219" s="1030"/>
      <c r="F219" s="1031"/>
      <c r="G219" s="1087"/>
      <c r="H219" s="1088"/>
      <c r="I219" s="1032"/>
      <c r="J219" s="1033"/>
      <c r="K219" s="1034">
        <f t="shared" si="75"/>
        <v>0</v>
      </c>
      <c r="L219" s="1034"/>
      <c r="M219" s="6"/>
      <c r="N219" s="1035">
        <f t="shared" si="76"/>
        <v>0</v>
      </c>
      <c r="O219" s="1035"/>
      <c r="P219" s="6"/>
      <c r="Q219" s="1036">
        <f t="shared" si="77"/>
        <v>5.2312500000000002</v>
      </c>
      <c r="R219" s="1037"/>
      <c r="U219" s="342">
        <f>+AE184+U184+K184+AO163+AE163+U163+K163</f>
        <v>0</v>
      </c>
      <c r="V219" s="343">
        <v>48</v>
      </c>
      <c r="W219" s="344">
        <f t="shared" si="79"/>
        <v>48</v>
      </c>
      <c r="X219" s="345" t="e">
        <f>+#REF!+#REF!+#REF!+#REF!+#REF!+#REF!</f>
        <v>#REF!</v>
      </c>
      <c r="Z219" s="372"/>
      <c r="AA219" s="372"/>
      <c r="AB219" s="480"/>
      <c r="AC219" s="480"/>
      <c r="AD219" s="480"/>
      <c r="AE219" s="296"/>
      <c r="AF219" s="296"/>
      <c r="AG219" s="425"/>
      <c r="AH219" s="425"/>
      <c r="AI219" s="425"/>
      <c r="AJ219" s="425"/>
      <c r="AK219" s="425"/>
      <c r="AL219" s="425"/>
      <c r="AM219" s="425"/>
      <c r="AN219" s="425"/>
      <c r="AO219" s="425"/>
      <c r="AP219" s="425"/>
      <c r="AQ219" s="425"/>
      <c r="AR219" s="425"/>
      <c r="AS219" s="296"/>
      <c r="AT219" s="296"/>
    </row>
    <row r="220" spans="1:46" ht="16.5">
      <c r="B220" s="365" t="s">
        <v>54</v>
      </c>
      <c r="C220" s="1028">
        <f>6*3+7*35</f>
        <v>263</v>
      </c>
      <c r="D220" s="1029"/>
      <c r="E220" s="1030">
        <f t="shared" ref="E220:E225" si="81">+C220/7</f>
        <v>37.571428571428569</v>
      </c>
      <c r="F220" s="1031"/>
      <c r="G220" s="341"/>
      <c r="H220" s="341"/>
      <c r="I220" s="1032">
        <f>+E220/8</f>
        <v>4.6964285714285712</v>
      </c>
      <c r="J220" s="1033"/>
      <c r="K220" s="1034">
        <f t="shared" si="75"/>
        <v>1127.1428571428571</v>
      </c>
      <c r="L220" s="1034"/>
      <c r="M220" s="374"/>
      <c r="N220" s="1035">
        <f t="shared" si="76"/>
        <v>5.479166666666667</v>
      </c>
      <c r="O220" s="1035"/>
      <c r="P220" s="6"/>
      <c r="Q220" s="1036">
        <f t="shared" si="77"/>
        <v>0.534821428571429</v>
      </c>
      <c r="R220" s="1037"/>
      <c r="U220" s="342">
        <f>+AE181+U181+K181+AO160+AE160+U160+K160</f>
        <v>0</v>
      </c>
      <c r="V220" s="343">
        <v>48</v>
      </c>
      <c r="W220" s="344">
        <f t="shared" si="79"/>
        <v>48</v>
      </c>
      <c r="X220" s="345">
        <f>+J160+T160+AD160+J181+T181+AD181</f>
        <v>0</v>
      </c>
      <c r="Z220" s="1084">
        <f>+K220/E220</f>
        <v>30</v>
      </c>
      <c r="AA220" s="1084"/>
      <c r="AB220" s="1084"/>
      <c r="AC220" s="1084"/>
      <c r="AD220" s="480"/>
      <c r="AE220" s="296"/>
      <c r="AF220" s="296"/>
      <c r="AG220" s="479"/>
      <c r="AH220" s="479"/>
      <c r="AI220" s="425"/>
      <c r="AJ220" s="425"/>
      <c r="AK220" s="425"/>
      <c r="AL220" s="425"/>
      <c r="AM220" s="425"/>
      <c r="AN220" s="425"/>
      <c r="AO220" s="425"/>
      <c r="AP220" s="425"/>
      <c r="AQ220" s="425"/>
      <c r="AR220" s="425"/>
      <c r="AS220" s="296"/>
      <c r="AT220" s="296"/>
    </row>
    <row r="221" spans="1:46" ht="16.5">
      <c r="A221" s="1">
        <v>3</v>
      </c>
      <c r="B221" s="340" t="s">
        <v>66</v>
      </c>
      <c r="C221" s="1028">
        <f>6*3+7*34.0952</f>
        <v>256.66639999999995</v>
      </c>
      <c r="D221" s="1029"/>
      <c r="E221" s="1030">
        <f t="shared" si="81"/>
        <v>36.666628571428568</v>
      </c>
      <c r="F221" s="1031"/>
      <c r="G221" s="1044">
        <f>(C221-18)/7</f>
        <v>34.095199999999991</v>
      </c>
      <c r="H221" s="1045"/>
      <c r="I221" s="1032">
        <f>+E221/8</f>
        <v>4.583328571428571</v>
      </c>
      <c r="J221" s="1089"/>
      <c r="K221" s="1090">
        <f t="shared" si="75"/>
        <v>1099.9988571428571</v>
      </c>
      <c r="L221" s="1091"/>
      <c r="M221" s="374"/>
      <c r="N221" s="1050">
        <f t="shared" si="76"/>
        <v>5.3472166666666663</v>
      </c>
      <c r="O221" s="1051"/>
      <c r="P221" s="6"/>
      <c r="Q221" s="1036">
        <f t="shared" si="77"/>
        <v>0.6479214285714292</v>
      </c>
      <c r="R221" s="1037"/>
      <c r="U221" s="342">
        <f>+AE182+U182+K182+AO161+AE161+U161+K161</f>
        <v>0</v>
      </c>
      <c r="V221" s="343">
        <v>48</v>
      </c>
      <c r="W221" s="344">
        <f t="shared" si="79"/>
        <v>48</v>
      </c>
      <c r="X221" s="345">
        <f>+J161+T161+AD161+J182+T182+AD182</f>
        <v>0</v>
      </c>
      <c r="Z221" s="481"/>
      <c r="AA221" s="482"/>
      <c r="AB221" s="477"/>
      <c r="AC221" s="480"/>
      <c r="AD221" s="480"/>
      <c r="AE221" s="296"/>
      <c r="AF221" s="296"/>
      <c r="AG221" s="425"/>
      <c r="AH221" s="425"/>
      <c r="AI221" s="370"/>
      <c r="AJ221" s="370"/>
      <c r="AK221" s="370"/>
      <c r="AL221" s="370"/>
      <c r="AM221" s="425"/>
      <c r="AN221" s="425"/>
      <c r="AO221" s="425"/>
      <c r="AP221" s="425"/>
      <c r="AQ221" s="425"/>
      <c r="AR221" s="425"/>
      <c r="AS221" s="296"/>
      <c r="AT221" s="296"/>
    </row>
    <row r="222" spans="1:46" ht="16.5">
      <c r="B222" s="483" t="s">
        <v>55</v>
      </c>
      <c r="C222" s="1104">
        <f>+G222*6</f>
        <v>169.99979999999999</v>
      </c>
      <c r="D222" s="1105"/>
      <c r="E222" s="1106">
        <f t="shared" si="81"/>
        <v>24.285685714285712</v>
      </c>
      <c r="F222" s="1107"/>
      <c r="G222" s="1108">
        <f>28.3333</f>
        <v>28.333300000000001</v>
      </c>
      <c r="H222" s="1109"/>
      <c r="I222" s="1106">
        <f>+G222/8</f>
        <v>3.5416625000000002</v>
      </c>
      <c r="J222" s="1107"/>
      <c r="K222" s="1110">
        <f>+G222*30</f>
        <v>849.99900000000002</v>
      </c>
      <c r="L222" s="1111"/>
      <c r="M222" s="6"/>
      <c r="N222" s="1050">
        <f t="shared" si="76"/>
        <v>4.1319395833333337</v>
      </c>
      <c r="O222" s="1051"/>
      <c r="P222" s="6"/>
      <c r="Q222" s="1048">
        <f t="shared" si="77"/>
        <v>1.6895875</v>
      </c>
      <c r="R222" s="1049"/>
      <c r="U222" s="342">
        <f>+AE184+U184+K184+AO163+AE163+U163+K163</f>
        <v>0</v>
      </c>
      <c r="V222" s="343">
        <v>48</v>
      </c>
      <c r="W222" s="344">
        <f t="shared" si="79"/>
        <v>48</v>
      </c>
      <c r="X222" s="345">
        <f>+J162+T162+AD162+J183+T183+AD183</f>
        <v>0</v>
      </c>
      <c r="Z222" s="481"/>
      <c r="AA222" s="482"/>
      <c r="AB222" s="477"/>
      <c r="AC222" s="480"/>
      <c r="AD222" s="480"/>
      <c r="AE222" s="296"/>
      <c r="AF222" s="296"/>
      <c r="AG222" s="370"/>
      <c r="AH222" s="370"/>
      <c r="AI222" s="425"/>
      <c r="AJ222" s="425"/>
      <c r="AK222" s="425"/>
      <c r="AL222" s="425"/>
      <c r="AM222" s="425"/>
      <c r="AN222" s="425"/>
      <c r="AO222" s="425"/>
      <c r="AP222" s="425"/>
      <c r="AQ222" s="425"/>
      <c r="AR222" s="425"/>
      <c r="AS222" s="296"/>
      <c r="AT222" s="296"/>
    </row>
    <row r="223" spans="1:46" ht="16.5">
      <c r="B223" s="483" t="s">
        <v>103</v>
      </c>
      <c r="C223" s="1104">
        <f>+G223*6</f>
        <v>199.99979999999999</v>
      </c>
      <c r="D223" s="1105"/>
      <c r="E223" s="1106">
        <f t="shared" si="81"/>
        <v>28.571400000000001</v>
      </c>
      <c r="F223" s="1107"/>
      <c r="G223" s="1108">
        <v>33.333300000000001</v>
      </c>
      <c r="H223" s="1109"/>
      <c r="I223" s="1106">
        <f>+G223/8</f>
        <v>4.1666625000000002</v>
      </c>
      <c r="J223" s="1107"/>
      <c r="K223" s="1110">
        <f>+G223*30</f>
        <v>999.99900000000002</v>
      </c>
      <c r="L223" s="1111"/>
      <c r="M223" s="6"/>
      <c r="N223" s="1050">
        <f t="shared" si="76"/>
        <v>4.8611062500000006</v>
      </c>
      <c r="O223" s="1051"/>
      <c r="P223" s="6"/>
      <c r="Q223" s="1048">
        <f t="shared" si="77"/>
        <v>1.0645875</v>
      </c>
      <c r="R223" s="1049"/>
      <c r="U223" s="342">
        <f>+AE185+U185+K185+AO164+AE164+U164+K164</f>
        <v>0</v>
      </c>
      <c r="V223" s="343">
        <v>48</v>
      </c>
      <c r="W223" s="344">
        <f t="shared" si="79"/>
        <v>48</v>
      </c>
      <c r="X223" s="345">
        <f>+J163+T163+AD163+J184+T184+AD184</f>
        <v>0</v>
      </c>
      <c r="Z223" s="372"/>
      <c r="AA223" s="372"/>
      <c r="AB223" s="480"/>
      <c r="AC223" s="480"/>
      <c r="AD223" s="480">
        <v>200</v>
      </c>
      <c r="AE223" s="296"/>
      <c r="AF223" s="1092">
        <f>+AD223/6</f>
        <v>33.333333333333336</v>
      </c>
      <c r="AG223" s="1092"/>
      <c r="AH223" s="1092"/>
      <c r="AI223" s="425"/>
      <c r="AJ223" s="425"/>
      <c r="AK223" s="425"/>
      <c r="AL223" s="425"/>
      <c r="AM223" s="425"/>
      <c r="AN223" s="425"/>
      <c r="AO223" s="425"/>
      <c r="AP223" s="425"/>
      <c r="AQ223" s="425"/>
      <c r="AR223" s="425"/>
      <c r="AS223" s="296"/>
      <c r="AT223" s="296"/>
    </row>
    <row r="224" spans="1:46" ht="16.5">
      <c r="A224" s="366"/>
      <c r="B224" s="483" t="s">
        <v>104</v>
      </c>
      <c r="C224" s="1093">
        <v>100</v>
      </c>
      <c r="D224" s="1094"/>
      <c r="E224" s="1095">
        <f t="shared" si="81"/>
        <v>14.285714285714286</v>
      </c>
      <c r="F224" s="1096"/>
      <c r="G224" s="1097">
        <f>+C224/6</f>
        <v>16.666666666666668</v>
      </c>
      <c r="H224" s="1098"/>
      <c r="I224" s="1099">
        <f>+E224/8/6*7</f>
        <v>2.0833333333333335</v>
      </c>
      <c r="J224" s="1100"/>
      <c r="K224" s="1101">
        <f>+G224*30</f>
        <v>500.00000000000006</v>
      </c>
      <c r="L224" s="1101"/>
      <c r="M224" s="6"/>
      <c r="N224" s="1035">
        <f t="shared" si="76"/>
        <v>2.4305555555555558</v>
      </c>
      <c r="O224" s="1035"/>
      <c r="P224" s="6"/>
      <c r="Q224" s="1102">
        <f t="shared" si="77"/>
        <v>3.1479166666666667</v>
      </c>
      <c r="R224" s="1103"/>
      <c r="U224" s="342">
        <f>+AE184+U184+K184+AO163+AE163+U163+K163</f>
        <v>0</v>
      </c>
      <c r="V224" s="343">
        <v>48</v>
      </c>
      <c r="W224" s="344">
        <f t="shared" si="79"/>
        <v>48</v>
      </c>
      <c r="X224" s="345">
        <f>+J163+T163+AD163+J184+T184+AD184</f>
        <v>0</v>
      </c>
      <c r="Y224" s="367"/>
      <c r="Z224" s="480"/>
      <c r="AA224" s="480"/>
      <c r="AB224" s="480"/>
      <c r="AC224" s="480"/>
      <c r="AG224" s="425"/>
      <c r="AH224" s="425"/>
      <c r="AI224" s="296"/>
      <c r="AJ224" s="296"/>
      <c r="AK224" s="373"/>
      <c r="AL224" s="373"/>
      <c r="AM224" s="373"/>
      <c r="AN224" s="373"/>
      <c r="AO224" s="373"/>
      <c r="AP224" s="373"/>
      <c r="AQ224" s="373"/>
      <c r="AR224" s="373"/>
      <c r="AS224" s="296"/>
      <c r="AT224" s="296"/>
    </row>
    <row r="225" spans="2:46" ht="16.5">
      <c r="B225" s="375" t="s">
        <v>65</v>
      </c>
      <c r="C225" s="1054">
        <f>6*3+7*(G225)</f>
        <v>548.33330000000001</v>
      </c>
      <c r="D225" s="1055"/>
      <c r="E225" s="1056">
        <f t="shared" si="81"/>
        <v>78.333328571428567</v>
      </c>
      <c r="F225" s="1057"/>
      <c r="G225" s="1058">
        <v>75.761899999999997</v>
      </c>
      <c r="H225" s="1059"/>
      <c r="I225" s="1060">
        <f>+E225/8</f>
        <v>9.7916660714285708</v>
      </c>
      <c r="J225" s="1061"/>
      <c r="K225" s="1062">
        <f>+E225*30</f>
        <v>2349.9998571428569</v>
      </c>
      <c r="L225" s="1063"/>
      <c r="M225" s="6"/>
      <c r="N225" s="1035">
        <f t="shared" si="76"/>
        <v>11.423610416666666</v>
      </c>
      <c r="O225" s="1035"/>
      <c r="P225" s="6"/>
      <c r="Q225" s="1048">
        <f t="shared" si="77"/>
        <v>-4.5604160714285706</v>
      </c>
      <c r="R225" s="1049"/>
      <c r="U225" s="342">
        <f>+AE188+U188+K188+AO167+AE167+U167+K167</f>
        <v>0</v>
      </c>
      <c r="V225" s="343">
        <v>48</v>
      </c>
      <c r="W225" s="344">
        <f t="shared" si="79"/>
        <v>48</v>
      </c>
      <c r="X225" s="345">
        <f>+J167+T167+AD167+J188+T188+AD188</f>
        <v>0</v>
      </c>
      <c r="Z225" s="372"/>
      <c r="AA225" s="372"/>
      <c r="AB225" s="480"/>
      <c r="AC225" s="480"/>
      <c r="AD225" s="480"/>
      <c r="AE225" s="296"/>
      <c r="AF225" s="296"/>
      <c r="AG225" s="425"/>
      <c r="AH225" s="425"/>
      <c r="AI225" s="425"/>
      <c r="AJ225" s="425"/>
      <c r="AK225" s="425"/>
      <c r="AL225" s="425"/>
      <c r="AM225" s="425"/>
      <c r="AN225" s="425"/>
      <c r="AO225" s="425"/>
      <c r="AP225" s="425"/>
      <c r="AQ225" s="296"/>
      <c r="AR225" s="296"/>
      <c r="AS225" s="296"/>
      <c r="AT225" s="296"/>
    </row>
    <row r="226" spans="2:46">
      <c r="AE226" s="376"/>
      <c r="AF226" s="376"/>
      <c r="AJ226" s="376"/>
      <c r="AK226" s="376"/>
    </row>
    <row r="227" spans="2:46" ht="15.75" thickBot="1">
      <c r="AE227" s="376"/>
      <c r="AF227" s="376"/>
      <c r="AJ227" s="376"/>
      <c r="AK227" s="376"/>
    </row>
    <row r="228" spans="2:46">
      <c r="C228" s="484"/>
      <c r="D228" s="485"/>
      <c r="E228" s="486"/>
      <c r="F228" s="487"/>
      <c r="G228" s="485"/>
      <c r="H228" s="485"/>
      <c r="I228" s="487"/>
      <c r="J228" s="485"/>
      <c r="K228" s="488"/>
      <c r="L228" s="488"/>
      <c r="M228" s="485"/>
      <c r="N228" s="485"/>
      <c r="O228" s="485"/>
      <c r="P228" s="485"/>
      <c r="Q228" s="485"/>
      <c r="R228" s="485"/>
      <c r="S228" s="485"/>
      <c r="T228" s="485"/>
      <c r="U228" s="485"/>
      <c r="V228" s="485"/>
      <c r="W228" s="485"/>
      <c r="X228" s="485"/>
      <c r="Y228" s="485"/>
      <c r="Z228" s="485"/>
      <c r="AA228" s="489"/>
      <c r="AB228" s="489"/>
      <c r="AC228" s="489"/>
      <c r="AD228" s="489"/>
      <c r="AE228" s="490"/>
      <c r="AF228" s="490"/>
      <c r="AG228" s="491"/>
      <c r="AJ228" s="376"/>
      <c r="AK228" s="376"/>
    </row>
    <row r="229" spans="2:46" ht="18">
      <c r="C229" s="492"/>
      <c r="D229" s="333"/>
      <c r="E229" s="493" t="s">
        <v>105</v>
      </c>
      <c r="F229" s="411"/>
      <c r="G229" s="333"/>
      <c r="H229" s="333"/>
      <c r="I229" s="411"/>
      <c r="J229" s="333"/>
      <c r="K229" s="405"/>
      <c r="L229" s="405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167"/>
      <c r="AB229" s="167"/>
      <c r="AC229" s="167"/>
      <c r="AD229" s="167"/>
      <c r="AE229" s="376"/>
      <c r="AF229" s="376"/>
      <c r="AG229" s="494"/>
      <c r="AJ229" s="376"/>
      <c r="AK229" s="376"/>
    </row>
    <row r="230" spans="2:46">
      <c r="C230" s="492"/>
      <c r="D230" s="333"/>
      <c r="E230" s="410"/>
      <c r="F230" s="411"/>
      <c r="G230" s="333"/>
      <c r="H230" s="333"/>
      <c r="I230" s="411"/>
      <c r="J230" s="333"/>
      <c r="K230" s="405"/>
      <c r="L230" s="405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  <c r="AA230" s="1112" t="s">
        <v>106</v>
      </c>
      <c r="AB230" s="1113"/>
      <c r="AC230" s="1114"/>
      <c r="AD230" s="1115" t="s">
        <v>107</v>
      </c>
      <c r="AE230" s="1116"/>
      <c r="AF230" s="1117"/>
      <c r="AG230" s="494"/>
      <c r="AH230" s="167"/>
      <c r="AI230" s="167"/>
      <c r="AJ230" s="376"/>
      <c r="AK230" s="376"/>
    </row>
    <row r="231" spans="2:46" ht="16.5" thickBot="1">
      <c r="C231" s="492"/>
      <c r="D231" s="1118" t="s">
        <v>108</v>
      </c>
      <c r="E231" s="1118"/>
      <c r="F231" s="1118"/>
      <c r="G231" s="1118"/>
      <c r="H231" s="1118"/>
      <c r="I231" s="1119" t="s">
        <v>109</v>
      </c>
      <c r="J231" s="1119"/>
      <c r="K231" s="1119"/>
      <c r="L231" s="1120" t="s">
        <v>110</v>
      </c>
      <c r="M231" s="1120"/>
      <c r="N231" s="1120"/>
      <c r="O231" s="1120" t="s">
        <v>111</v>
      </c>
      <c r="P231" s="1120"/>
      <c r="Q231" s="1120"/>
      <c r="R231" s="1121" t="s">
        <v>112</v>
      </c>
      <c r="S231" s="1121"/>
      <c r="T231" s="1121"/>
      <c r="U231" s="1120" t="s">
        <v>113</v>
      </c>
      <c r="V231" s="1120"/>
      <c r="W231" s="1122"/>
      <c r="X231" s="1123" t="s">
        <v>114</v>
      </c>
      <c r="Y231" s="1124"/>
      <c r="Z231" s="1125"/>
      <c r="AA231" s="1126" t="s">
        <v>115</v>
      </c>
      <c r="AB231" s="1126"/>
      <c r="AC231" s="1127"/>
      <c r="AD231" s="1128" t="s">
        <v>116</v>
      </c>
      <c r="AE231" s="1129"/>
      <c r="AF231" s="1130"/>
      <c r="AG231" s="494"/>
      <c r="AH231" s="167"/>
      <c r="AI231" s="167"/>
      <c r="AJ231" s="376"/>
      <c r="AK231" s="376"/>
    </row>
    <row r="232" spans="2:46" ht="19.5" thickTop="1">
      <c r="C232" s="495">
        <v>1</v>
      </c>
      <c r="D232" s="1131" t="s">
        <v>50</v>
      </c>
      <c r="E232" s="1131"/>
      <c r="F232" s="1131"/>
      <c r="G232" s="1131"/>
      <c r="H232" s="1131"/>
      <c r="I232" s="1132">
        <v>30.762</v>
      </c>
      <c r="J232" s="1132"/>
      <c r="K232" s="1132"/>
      <c r="L232" s="1133">
        <v>1</v>
      </c>
      <c r="M232" s="1133"/>
      <c r="N232" s="1133"/>
      <c r="O232" s="1133">
        <v>2</v>
      </c>
      <c r="P232" s="1133"/>
      <c r="Q232" s="1133"/>
      <c r="R232" s="1134">
        <f t="shared" ref="R232:R239" si="82">+I232+L232+O232</f>
        <v>33.762</v>
      </c>
      <c r="S232" s="1134"/>
      <c r="T232" s="1134"/>
      <c r="U232" s="1135">
        <f t="shared" ref="U232:U239" si="83">+I232*7+(L232+O232)*6</f>
        <v>233.334</v>
      </c>
      <c r="V232" s="1135"/>
      <c r="W232" s="1136"/>
      <c r="X232" s="1137">
        <f t="shared" ref="X232:X239" si="84">+U232/7*30</f>
        <v>1000.0028571428571</v>
      </c>
      <c r="Y232" s="1138"/>
      <c r="Z232" s="1139"/>
      <c r="AA232" s="1140">
        <v>31</v>
      </c>
      <c r="AB232" s="1141"/>
      <c r="AC232" s="1141"/>
      <c r="AD232" s="1142">
        <f>+AA232-I232</f>
        <v>0.23799999999999955</v>
      </c>
      <c r="AE232" s="1142"/>
      <c r="AF232" s="1142"/>
      <c r="AG232" s="494"/>
      <c r="AH232" s="167"/>
      <c r="AI232" s="1143">
        <f>+AD232+I232</f>
        <v>31</v>
      </c>
      <c r="AJ232" s="1143"/>
      <c r="AK232" s="1143"/>
    </row>
    <row r="233" spans="2:46" ht="18.75">
      <c r="C233" s="495">
        <v>2</v>
      </c>
      <c r="D233" s="1144" t="s">
        <v>117</v>
      </c>
      <c r="E233" s="1144"/>
      <c r="F233" s="1144"/>
      <c r="G233" s="1144"/>
      <c r="H233" s="1144"/>
      <c r="I233" s="1145">
        <v>25.762</v>
      </c>
      <c r="J233" s="1145"/>
      <c r="K233" s="1145"/>
      <c r="L233" s="1146">
        <v>1</v>
      </c>
      <c r="M233" s="1146"/>
      <c r="N233" s="1146"/>
      <c r="O233" s="1146">
        <v>2</v>
      </c>
      <c r="P233" s="1146"/>
      <c r="Q233" s="1146"/>
      <c r="R233" s="1147">
        <f t="shared" si="82"/>
        <v>28.762</v>
      </c>
      <c r="S233" s="1147"/>
      <c r="T233" s="1147"/>
      <c r="U233" s="1148">
        <f t="shared" si="83"/>
        <v>198.334</v>
      </c>
      <c r="V233" s="1148"/>
      <c r="W233" s="1149"/>
      <c r="X233" s="1150">
        <f t="shared" si="84"/>
        <v>850.00285714285724</v>
      </c>
      <c r="Y233" s="1151"/>
      <c r="Z233" s="1152"/>
      <c r="AA233" s="1153">
        <v>31</v>
      </c>
      <c r="AB233" s="1154"/>
      <c r="AC233" s="1154"/>
      <c r="AD233" s="1143">
        <f>+AA233-I233</f>
        <v>5.2379999999999995</v>
      </c>
      <c r="AE233" s="1143"/>
      <c r="AF233" s="1143"/>
      <c r="AG233" s="494"/>
      <c r="AH233" s="167"/>
      <c r="AI233" s="1142">
        <f>+AD233+I233</f>
        <v>31</v>
      </c>
      <c r="AJ233" s="1142"/>
      <c r="AK233" s="1142"/>
    </row>
    <row r="234" spans="2:46" ht="18.75">
      <c r="C234" s="495">
        <v>3</v>
      </c>
      <c r="D234" s="1144" t="s">
        <v>118</v>
      </c>
      <c r="E234" s="1144"/>
      <c r="F234" s="1144"/>
      <c r="G234" s="1144"/>
      <c r="H234" s="1144"/>
      <c r="I234" s="1145">
        <v>38.5</v>
      </c>
      <c r="J234" s="1145"/>
      <c r="K234" s="1145"/>
      <c r="L234" s="1146">
        <v>1</v>
      </c>
      <c r="M234" s="1146"/>
      <c r="N234" s="1146"/>
      <c r="O234" s="1146">
        <v>2</v>
      </c>
      <c r="P234" s="1146"/>
      <c r="Q234" s="1146"/>
      <c r="R234" s="1147">
        <f t="shared" si="82"/>
        <v>41.5</v>
      </c>
      <c r="S234" s="1147"/>
      <c r="T234" s="1147"/>
      <c r="U234" s="1148">
        <f t="shared" si="83"/>
        <v>287.5</v>
      </c>
      <c r="V234" s="1148"/>
      <c r="W234" s="1149"/>
      <c r="X234" s="1150">
        <f t="shared" si="84"/>
        <v>1232.1428571428571</v>
      </c>
      <c r="Y234" s="1151"/>
      <c r="Z234" s="1152"/>
      <c r="AA234" s="1153">
        <v>31</v>
      </c>
      <c r="AB234" s="1154"/>
      <c r="AC234" s="1154"/>
      <c r="AD234" s="1143">
        <v>0</v>
      </c>
      <c r="AE234" s="1143"/>
      <c r="AF234" s="1143"/>
      <c r="AG234" s="494"/>
      <c r="AH234" s="167"/>
      <c r="AI234" s="167"/>
      <c r="AJ234" s="376"/>
      <c r="AK234" s="376"/>
    </row>
    <row r="235" spans="2:46" ht="18.75">
      <c r="C235" s="495">
        <v>4</v>
      </c>
      <c r="D235" s="1144" t="s">
        <v>119</v>
      </c>
      <c r="E235" s="1144"/>
      <c r="F235" s="1144"/>
      <c r="G235" s="1144"/>
      <c r="H235" s="1144"/>
      <c r="I235" s="1145">
        <v>38.5</v>
      </c>
      <c r="J235" s="1145"/>
      <c r="K235" s="1145"/>
      <c r="L235" s="1146">
        <v>1</v>
      </c>
      <c r="M235" s="1146"/>
      <c r="N235" s="1146"/>
      <c r="O235" s="1146">
        <v>2</v>
      </c>
      <c r="P235" s="1146"/>
      <c r="Q235" s="1146"/>
      <c r="R235" s="1147">
        <f t="shared" si="82"/>
        <v>41.5</v>
      </c>
      <c r="S235" s="1147"/>
      <c r="T235" s="1147"/>
      <c r="U235" s="1148">
        <f t="shared" si="83"/>
        <v>287.5</v>
      </c>
      <c r="V235" s="1148"/>
      <c r="W235" s="1149"/>
      <c r="X235" s="1150">
        <f t="shared" si="84"/>
        <v>1232.1428571428571</v>
      </c>
      <c r="Y235" s="1151"/>
      <c r="Z235" s="1152"/>
      <c r="AA235" s="1153">
        <v>31</v>
      </c>
      <c r="AB235" s="1154"/>
      <c r="AC235" s="1154"/>
      <c r="AD235" s="1143">
        <v>0</v>
      </c>
      <c r="AE235" s="1143"/>
      <c r="AF235" s="1143"/>
      <c r="AG235" s="494"/>
      <c r="AH235" s="167"/>
      <c r="AI235" s="167"/>
      <c r="AJ235" s="376"/>
      <c r="AK235" s="376"/>
    </row>
    <row r="236" spans="2:46" ht="18.75">
      <c r="C236" s="495">
        <v>5</v>
      </c>
      <c r="D236" s="1144" t="s">
        <v>120</v>
      </c>
      <c r="E236" s="1144"/>
      <c r="F236" s="1144"/>
      <c r="G236" s="1144"/>
      <c r="H236" s="1144"/>
      <c r="I236" s="1145">
        <v>38.5</v>
      </c>
      <c r="J236" s="1145"/>
      <c r="K236" s="1145"/>
      <c r="L236" s="1146">
        <v>1</v>
      </c>
      <c r="M236" s="1146"/>
      <c r="N236" s="1146"/>
      <c r="O236" s="1146">
        <v>2</v>
      </c>
      <c r="P236" s="1146"/>
      <c r="Q236" s="1146"/>
      <c r="R236" s="1147">
        <f t="shared" si="82"/>
        <v>41.5</v>
      </c>
      <c r="S236" s="1147"/>
      <c r="T236" s="1147"/>
      <c r="U236" s="1148">
        <f t="shared" si="83"/>
        <v>287.5</v>
      </c>
      <c r="V236" s="1148"/>
      <c r="W236" s="1149"/>
      <c r="X236" s="1150">
        <f t="shared" si="84"/>
        <v>1232.1428571428571</v>
      </c>
      <c r="Y236" s="1151"/>
      <c r="Z236" s="1152"/>
      <c r="AA236" s="1153">
        <v>31</v>
      </c>
      <c r="AB236" s="1154"/>
      <c r="AC236" s="1154"/>
      <c r="AD236" s="1143">
        <v>0</v>
      </c>
      <c r="AE236" s="1143"/>
      <c r="AF236" s="1143"/>
      <c r="AG236" s="494"/>
      <c r="AH236" s="167"/>
      <c r="AI236" s="167"/>
      <c r="AJ236" s="376"/>
      <c r="AK236" s="376"/>
    </row>
    <row r="237" spans="2:46" ht="18.75">
      <c r="C237" s="495">
        <v>6</v>
      </c>
      <c r="D237" s="1144" t="s">
        <v>121</v>
      </c>
      <c r="E237" s="1144"/>
      <c r="F237" s="1144"/>
      <c r="G237" s="1144"/>
      <c r="H237" s="1144"/>
      <c r="I237" s="1145">
        <v>33.799999999999997</v>
      </c>
      <c r="J237" s="1145"/>
      <c r="K237" s="1145"/>
      <c r="L237" s="1146">
        <v>1</v>
      </c>
      <c r="M237" s="1146"/>
      <c r="N237" s="1146"/>
      <c r="O237" s="1146">
        <v>2</v>
      </c>
      <c r="P237" s="1146"/>
      <c r="Q237" s="1146"/>
      <c r="R237" s="1147">
        <f t="shared" si="82"/>
        <v>36.799999999999997</v>
      </c>
      <c r="S237" s="1147"/>
      <c r="T237" s="1147"/>
      <c r="U237" s="1148">
        <f t="shared" si="83"/>
        <v>254.59999999999997</v>
      </c>
      <c r="V237" s="1148"/>
      <c r="W237" s="1149"/>
      <c r="X237" s="1150">
        <f t="shared" si="84"/>
        <v>1091.1428571428569</v>
      </c>
      <c r="Y237" s="1151"/>
      <c r="Z237" s="1152"/>
      <c r="AA237" s="1153">
        <v>31</v>
      </c>
      <c r="AB237" s="1154"/>
      <c r="AC237" s="1154"/>
      <c r="AD237" s="1143">
        <v>0</v>
      </c>
      <c r="AE237" s="1143"/>
      <c r="AF237" s="1143"/>
      <c r="AG237" s="494"/>
      <c r="AH237" s="167"/>
      <c r="AI237" s="167"/>
      <c r="AJ237" s="376"/>
      <c r="AK237" s="376"/>
    </row>
    <row r="238" spans="2:46" ht="18.75">
      <c r="C238" s="495">
        <v>7</v>
      </c>
      <c r="D238" s="1144" t="s">
        <v>122</v>
      </c>
      <c r="E238" s="1144"/>
      <c r="F238" s="1144"/>
      <c r="G238" s="1144"/>
      <c r="H238" s="1144"/>
      <c r="I238" s="1145">
        <v>38.5</v>
      </c>
      <c r="J238" s="1145"/>
      <c r="K238" s="1145"/>
      <c r="L238" s="1146">
        <v>1</v>
      </c>
      <c r="M238" s="1146"/>
      <c r="N238" s="1146"/>
      <c r="O238" s="1146">
        <v>2</v>
      </c>
      <c r="P238" s="1146"/>
      <c r="Q238" s="1146"/>
      <c r="R238" s="1147">
        <f t="shared" si="82"/>
        <v>41.5</v>
      </c>
      <c r="S238" s="1147"/>
      <c r="T238" s="1147"/>
      <c r="U238" s="1148">
        <f t="shared" si="83"/>
        <v>287.5</v>
      </c>
      <c r="V238" s="1148"/>
      <c r="W238" s="1149"/>
      <c r="X238" s="1150">
        <f t="shared" si="84"/>
        <v>1232.1428571428571</v>
      </c>
      <c r="Y238" s="1151"/>
      <c r="Z238" s="1152"/>
      <c r="AA238" s="1153">
        <v>31</v>
      </c>
      <c r="AB238" s="1154"/>
      <c r="AC238" s="1154"/>
      <c r="AD238" s="1143">
        <v>0</v>
      </c>
      <c r="AE238" s="1143"/>
      <c r="AF238" s="1143"/>
      <c r="AG238" s="494"/>
      <c r="AH238" s="167"/>
      <c r="AI238" s="167"/>
      <c r="AJ238" s="376"/>
      <c r="AK238" s="376"/>
    </row>
    <row r="239" spans="2:46" ht="18.75">
      <c r="C239" s="495">
        <v>8</v>
      </c>
      <c r="D239" s="1144" t="s">
        <v>66</v>
      </c>
      <c r="E239" s="1144"/>
      <c r="F239" s="1144"/>
      <c r="G239" s="1144"/>
      <c r="H239" s="1144"/>
      <c r="I239" s="1145">
        <v>34.095199999999998</v>
      </c>
      <c r="J239" s="1145"/>
      <c r="K239" s="1145"/>
      <c r="L239" s="1146">
        <v>1</v>
      </c>
      <c r="M239" s="1146"/>
      <c r="N239" s="1146"/>
      <c r="O239" s="1146">
        <v>2</v>
      </c>
      <c r="P239" s="1146"/>
      <c r="Q239" s="1146"/>
      <c r="R239" s="1147">
        <f t="shared" si="82"/>
        <v>37.095199999999998</v>
      </c>
      <c r="S239" s="1147"/>
      <c r="T239" s="1147"/>
      <c r="U239" s="1148">
        <f t="shared" si="83"/>
        <v>256.66639999999995</v>
      </c>
      <c r="V239" s="1148"/>
      <c r="W239" s="1149"/>
      <c r="X239" s="1150">
        <f t="shared" si="84"/>
        <v>1099.9988571428571</v>
      </c>
      <c r="Y239" s="1151"/>
      <c r="Z239" s="1152"/>
      <c r="AA239" s="1153">
        <v>31</v>
      </c>
      <c r="AB239" s="1154"/>
      <c r="AC239" s="1154"/>
      <c r="AD239" s="1143">
        <v>0</v>
      </c>
      <c r="AE239" s="1143"/>
      <c r="AF239" s="1143"/>
      <c r="AG239" s="494"/>
      <c r="AH239" s="167"/>
      <c r="AI239" s="167"/>
      <c r="AJ239" s="376"/>
      <c r="AK239" s="376"/>
    </row>
    <row r="240" spans="2:46" ht="17.25">
      <c r="C240" s="495">
        <v>9</v>
      </c>
      <c r="D240" s="1144"/>
      <c r="E240" s="1144"/>
      <c r="F240" s="1144"/>
      <c r="G240" s="1144"/>
      <c r="H240" s="1144"/>
      <c r="I240" s="1165"/>
      <c r="J240" s="1165"/>
      <c r="K240" s="1165"/>
      <c r="L240" s="1146"/>
      <c r="M240" s="1146"/>
      <c r="N240" s="1146"/>
      <c r="O240" s="1146"/>
      <c r="P240" s="1146"/>
      <c r="Q240" s="1146"/>
      <c r="R240" s="1160"/>
      <c r="S240" s="1160"/>
      <c r="T240" s="1160"/>
      <c r="U240" s="1148"/>
      <c r="V240" s="1148"/>
      <c r="W240" s="1149"/>
      <c r="X240" s="1150"/>
      <c r="Y240" s="1151"/>
      <c r="Z240" s="1152"/>
      <c r="AA240" s="1153"/>
      <c r="AB240" s="1154"/>
      <c r="AC240" s="1154"/>
      <c r="AD240" s="1143"/>
      <c r="AE240" s="1143"/>
      <c r="AF240" s="1143"/>
      <c r="AG240" s="494"/>
      <c r="AH240" s="167"/>
      <c r="AI240" s="167"/>
      <c r="AJ240" s="376"/>
      <c r="AK240" s="376"/>
    </row>
    <row r="241" spans="2:46" ht="17.25">
      <c r="C241" s="492"/>
      <c r="D241" s="409"/>
      <c r="E241" s="410"/>
      <c r="F241" s="411"/>
      <c r="G241" s="333"/>
      <c r="H241" s="333"/>
      <c r="I241" s="411"/>
      <c r="J241" s="333"/>
      <c r="K241" s="405"/>
      <c r="L241" s="405"/>
      <c r="M241" s="333"/>
      <c r="N241" s="333"/>
      <c r="O241" s="333"/>
      <c r="P241" s="333"/>
      <c r="Q241" s="333"/>
      <c r="R241" s="333"/>
      <c r="S241" s="1160" t="s">
        <v>23</v>
      </c>
      <c r="T241" s="1160"/>
      <c r="U241" s="1160"/>
      <c r="V241" s="333"/>
      <c r="W241" s="333"/>
      <c r="X241" s="1161">
        <f>SUM(X232:Z240)</f>
        <v>8969.718857142856</v>
      </c>
      <c r="Y241" s="1162"/>
      <c r="Z241" s="1163"/>
      <c r="AA241" s="496"/>
      <c r="AB241" s="496"/>
      <c r="AC241" s="496"/>
      <c r="AD241" s="1164">
        <f>SUM(AD232:AF240)</f>
        <v>5.4759999999999991</v>
      </c>
      <c r="AE241" s="1164"/>
      <c r="AF241" s="1164"/>
      <c r="AG241" s="494"/>
      <c r="AH241" s="167"/>
      <c r="AI241" s="167"/>
      <c r="AJ241" s="376"/>
      <c r="AK241" s="376"/>
    </row>
    <row r="242" spans="2:46" ht="15.75" thickBot="1">
      <c r="C242" s="492"/>
      <c r="D242" s="1155">
        <v>28.333300000000001</v>
      </c>
      <c r="E242" s="1155"/>
      <c r="F242" s="1155"/>
      <c r="G242" s="497" t="s">
        <v>123</v>
      </c>
      <c r="H242" s="333"/>
      <c r="I242" s="411"/>
      <c r="J242" s="333"/>
      <c r="K242" s="405"/>
      <c r="L242" s="405"/>
      <c r="M242" s="333"/>
      <c r="N242" s="333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  <c r="Z242" s="333"/>
      <c r="AA242" s="167"/>
      <c r="AB242" s="167"/>
      <c r="AC242" s="167"/>
      <c r="AD242" s="167"/>
      <c r="AE242" s="376"/>
      <c r="AF242" s="376"/>
      <c r="AG242" s="494"/>
      <c r="AH242" s="167"/>
      <c r="AI242" s="167"/>
      <c r="AJ242" s="376"/>
      <c r="AK242" s="376"/>
    </row>
    <row r="243" spans="2:46" ht="15.75" thickBot="1">
      <c r="C243" s="492"/>
      <c r="D243" s="1155">
        <v>31</v>
      </c>
      <c r="E243" s="1155"/>
      <c r="F243" s="1155"/>
      <c r="G243" s="497" t="s">
        <v>124</v>
      </c>
      <c r="H243" s="333"/>
      <c r="I243" s="411"/>
      <c r="J243" s="333"/>
      <c r="K243" s="405"/>
      <c r="L243" s="405"/>
      <c r="M243" s="1155">
        <f>+D243-D242</f>
        <v>2.6666999999999987</v>
      </c>
      <c r="N243" s="1155"/>
      <c r="O243" s="1155"/>
      <c r="P243" s="498" t="s">
        <v>125</v>
      </c>
      <c r="Q243" s="333"/>
      <c r="R243" s="333"/>
      <c r="S243" s="333"/>
      <c r="T243" s="499"/>
      <c r="U243" s="333"/>
      <c r="V243" s="333"/>
      <c r="W243" s="499" t="s">
        <v>126</v>
      </c>
      <c r="X243" s="333"/>
      <c r="Y243" s="333"/>
      <c r="Z243" s="333"/>
      <c r="AA243" s="167"/>
      <c r="AB243" s="167"/>
      <c r="AC243" s="167"/>
      <c r="AD243" s="1156">
        <f>+AD241</f>
        <v>5.4759999999999991</v>
      </c>
      <c r="AE243" s="1157"/>
      <c r="AF243" s="1158"/>
      <c r="AG243" s="494"/>
      <c r="AH243" s="167"/>
      <c r="AI243" s="167"/>
      <c r="AJ243" s="376"/>
      <c r="AK243" s="376"/>
    </row>
    <row r="244" spans="2:46" ht="15.75" thickBot="1">
      <c r="C244" s="500"/>
      <c r="D244" s="501"/>
      <c r="E244" s="502"/>
      <c r="F244" s="503"/>
      <c r="G244" s="501"/>
      <c r="H244" s="501"/>
      <c r="I244" s="503"/>
      <c r="J244" s="501"/>
      <c r="K244" s="504"/>
      <c r="L244" s="504"/>
      <c r="M244" s="501"/>
      <c r="N244" s="501"/>
      <c r="O244" s="501"/>
      <c r="P244" s="501"/>
      <c r="Q244" s="501"/>
      <c r="R244" s="501"/>
      <c r="S244" s="501"/>
      <c r="T244" s="501"/>
      <c r="U244" s="501"/>
      <c r="V244" s="501"/>
      <c r="W244" s="501"/>
      <c r="X244" s="501"/>
      <c r="Y244" s="501"/>
      <c r="Z244" s="501"/>
      <c r="AA244" s="505"/>
      <c r="AB244" s="505"/>
      <c r="AC244" s="505"/>
      <c r="AD244" s="506"/>
      <c r="AE244" s="506"/>
      <c r="AF244" s="506"/>
      <c r="AG244" s="507"/>
      <c r="AH244" s="167"/>
      <c r="AI244" s="167"/>
      <c r="AJ244" s="376"/>
      <c r="AK244" s="376"/>
    </row>
    <row r="245" spans="2:46">
      <c r="AG245" s="267"/>
      <c r="AH245" s="267"/>
      <c r="AI245" s="267"/>
      <c r="AJ245" s="267"/>
      <c r="AK245" s="267"/>
      <c r="AL245" s="267"/>
      <c r="AM245" s="267"/>
      <c r="AN245" s="267"/>
      <c r="AO245" s="267"/>
    </row>
    <row r="246" spans="2:46" ht="15.75" thickBot="1">
      <c r="AG246" s="267"/>
      <c r="AH246" s="267"/>
      <c r="AI246" s="267"/>
      <c r="AJ246" s="267"/>
      <c r="AK246" s="267"/>
      <c r="AL246" s="267"/>
      <c r="AM246" s="267"/>
      <c r="AN246" s="267"/>
      <c r="AO246" s="267"/>
    </row>
    <row r="247" spans="2:46" ht="16.5" thickBot="1">
      <c r="B247" s="508">
        <v>850</v>
      </c>
      <c r="C247" s="509" t="s">
        <v>67</v>
      </c>
      <c r="D247" s="510"/>
      <c r="E247" s="511" t="s">
        <v>49</v>
      </c>
      <c r="F247" s="512"/>
      <c r="G247" s="510"/>
      <c r="H247" s="510"/>
      <c r="I247" s="512"/>
      <c r="J247" s="510"/>
      <c r="K247" s="512"/>
      <c r="L247" s="512"/>
      <c r="M247" s="510"/>
      <c r="N247" s="510"/>
      <c r="O247" s="510"/>
      <c r="P247" s="510"/>
      <c r="Q247" s="510"/>
      <c r="R247" s="510"/>
      <c r="S247" s="510"/>
      <c r="T247" s="510"/>
      <c r="U247" s="510"/>
      <c r="V247" s="510"/>
      <c r="W247" s="510"/>
      <c r="X247" s="510"/>
      <c r="Y247" s="510"/>
      <c r="Z247" s="510"/>
      <c r="AA247" s="513"/>
      <c r="AB247" s="513"/>
      <c r="AC247" s="514"/>
      <c r="AD247" s="296"/>
      <c r="AE247" s="296"/>
      <c r="AF247" s="296"/>
      <c r="AG247" s="296"/>
      <c r="AH247" s="296"/>
      <c r="AI247" s="296"/>
      <c r="AJ247" s="296"/>
      <c r="AK247" s="296"/>
      <c r="AL247" s="296"/>
      <c r="AM247" s="296"/>
      <c r="AN247" s="296"/>
      <c r="AO247" s="296"/>
      <c r="AP247" s="267"/>
      <c r="AQ247" s="267"/>
      <c r="AR247" s="267"/>
      <c r="AS247" s="267"/>
      <c r="AT247" s="267"/>
    </row>
    <row r="248" spans="2:46" ht="15.75">
      <c r="B248" s="515">
        <f>+B247/30*7</f>
        <v>198.33333333333331</v>
      </c>
      <c r="C248" s="516" t="s">
        <v>68</v>
      </c>
      <c r="D248" s="517"/>
      <c r="E248" s="518"/>
      <c r="F248" s="519"/>
      <c r="G248" s="518"/>
      <c r="H248" s="518"/>
      <c r="I248" s="519"/>
      <c r="J248" s="518"/>
      <c r="K248" s="519"/>
      <c r="L248" s="519"/>
      <c r="M248" s="518"/>
      <c r="N248" s="518"/>
      <c r="O248" s="1159" t="s">
        <v>127</v>
      </c>
      <c r="P248" s="1159"/>
      <c r="Q248" s="1159"/>
      <c r="R248" s="1159"/>
      <c r="S248" s="1159"/>
      <c r="T248" s="1159"/>
      <c r="U248" s="1159"/>
      <c r="V248" s="1159"/>
      <c r="W248" s="1159"/>
      <c r="X248" s="1159"/>
      <c r="Y248" s="1159"/>
      <c r="Z248" s="1159"/>
      <c r="AA248" s="520"/>
      <c r="AB248" s="520"/>
      <c r="AC248" s="521"/>
      <c r="AD248" s="296"/>
      <c r="AE248" s="425"/>
      <c r="AF248" s="425"/>
      <c r="AG248" s="296"/>
      <c r="AH248" s="296"/>
      <c r="AI248" s="296"/>
      <c r="AJ248" s="425"/>
      <c r="AK248" s="425"/>
      <c r="AL248" s="296"/>
      <c r="AM248" s="296"/>
      <c r="AN248" s="296"/>
      <c r="AO248" s="296"/>
      <c r="AP248" s="267"/>
      <c r="AQ248" s="267"/>
      <c r="AR248" s="267"/>
      <c r="AS248" s="267"/>
      <c r="AT248" s="267"/>
    </row>
    <row r="249" spans="2:46">
      <c r="B249" s="515">
        <f>+B248-18</f>
        <v>180.33333333333331</v>
      </c>
      <c r="C249" s="516" t="s">
        <v>70</v>
      </c>
      <c r="D249" s="518"/>
      <c r="E249" s="518"/>
      <c r="F249" s="519"/>
      <c r="G249" s="518"/>
      <c r="H249" s="518"/>
      <c r="I249" s="519"/>
      <c r="J249" s="518"/>
      <c r="K249" s="519"/>
      <c r="L249" s="519"/>
      <c r="M249" s="518"/>
      <c r="N249" s="518"/>
      <c r="O249" s="1159">
        <f>+B247</f>
        <v>850</v>
      </c>
      <c r="P249" s="1159"/>
      <c r="Q249" s="1159" t="s">
        <v>71</v>
      </c>
      <c r="R249" s="1159"/>
      <c r="S249" s="1159"/>
      <c r="T249" s="1159"/>
      <c r="U249" s="1159"/>
      <c r="V249" s="1159"/>
      <c r="W249" s="1159"/>
      <c r="X249" s="1159"/>
      <c r="Y249" s="1159"/>
      <c r="Z249" s="1159"/>
      <c r="AA249" s="520" t="s">
        <v>72</v>
      </c>
      <c r="AB249" s="520"/>
      <c r="AC249" s="521"/>
      <c r="AD249" s="296"/>
      <c r="AE249" s="425"/>
      <c r="AF249" s="425"/>
      <c r="AG249" s="296"/>
      <c r="AH249" s="296"/>
      <c r="AI249" s="296"/>
      <c r="AJ249" s="425"/>
      <c r="AK249" s="425"/>
      <c r="AL249" s="296"/>
      <c r="AM249" s="296"/>
      <c r="AN249" s="296"/>
      <c r="AO249" s="296"/>
      <c r="AP249" s="267"/>
      <c r="AQ249" s="267"/>
      <c r="AR249" s="267"/>
      <c r="AS249" s="267"/>
      <c r="AT249" s="267"/>
    </row>
    <row r="250" spans="2:46">
      <c r="B250" s="522">
        <f>+B249/7</f>
        <v>25.761904761904759</v>
      </c>
      <c r="C250" s="523" t="s">
        <v>73</v>
      </c>
      <c r="D250" s="524"/>
      <c r="E250" s="518"/>
      <c r="F250" s="519"/>
      <c r="G250" s="518"/>
      <c r="H250" s="518"/>
      <c r="I250" s="519"/>
      <c r="J250" s="518"/>
      <c r="K250" s="519"/>
      <c r="L250" s="519"/>
      <c r="M250" s="518"/>
      <c r="N250" s="518"/>
      <c r="O250" s="1159">
        <f>+O249/30*7</f>
        <v>198.33333333333331</v>
      </c>
      <c r="P250" s="1159"/>
      <c r="Q250" s="1159" t="s">
        <v>74</v>
      </c>
      <c r="R250" s="1159"/>
      <c r="S250" s="1159"/>
      <c r="T250" s="1159"/>
      <c r="U250" s="1159"/>
      <c r="V250" s="1159"/>
      <c r="W250" s="1159"/>
      <c r="X250" s="1159"/>
      <c r="Y250" s="1159"/>
      <c r="Z250" s="1159"/>
      <c r="AA250" s="1166">
        <f>+O250*0.87</f>
        <v>172.54999999999998</v>
      </c>
      <c r="AB250" s="1166"/>
      <c r="AC250" s="521"/>
      <c r="AD250" s="296"/>
      <c r="AE250" s="384"/>
      <c r="AF250" s="384"/>
      <c r="AG250" s="296"/>
      <c r="AH250" s="296"/>
      <c r="AI250" s="296"/>
      <c r="AJ250" s="384"/>
      <c r="AK250" s="384"/>
      <c r="AL250" s="385"/>
      <c r="AM250" s="385"/>
      <c r="AN250" s="385"/>
      <c r="AO250" s="385"/>
      <c r="AP250" s="386"/>
      <c r="AQ250" s="386"/>
      <c r="AR250" s="267"/>
      <c r="AS250" s="267"/>
      <c r="AT250" s="267"/>
    </row>
    <row r="251" spans="2:46">
      <c r="B251" s="525"/>
      <c r="C251" s="518"/>
      <c r="D251" s="518"/>
      <c r="E251" s="518"/>
      <c r="F251" s="519"/>
      <c r="G251" s="518"/>
      <c r="H251" s="518"/>
      <c r="I251" s="519"/>
      <c r="J251" s="518"/>
      <c r="K251" s="519"/>
      <c r="L251" s="519"/>
      <c r="M251" s="518"/>
      <c r="N251" s="518"/>
      <c r="O251" s="1159">
        <f>+O250/7</f>
        <v>28.333333333333332</v>
      </c>
      <c r="P251" s="1159"/>
      <c r="Q251" s="1159" t="s">
        <v>75</v>
      </c>
      <c r="R251" s="1159"/>
      <c r="S251" s="1159"/>
      <c r="T251" s="1159"/>
      <c r="U251" s="1159"/>
      <c r="V251" s="1159"/>
      <c r="W251" s="1159"/>
      <c r="X251" s="1159"/>
      <c r="Y251" s="1159"/>
      <c r="Z251" s="1159"/>
      <c r="AA251" s="520"/>
      <c r="AB251" s="520"/>
      <c r="AC251" s="521"/>
      <c r="AD251" s="296"/>
      <c r="AE251" s="425"/>
      <c r="AF251" s="425"/>
      <c r="AG251" s="296"/>
      <c r="AH251" s="296"/>
      <c r="AI251" s="296"/>
      <c r="AJ251" s="425"/>
      <c r="AK251" s="425"/>
      <c r="AL251" s="387"/>
      <c r="AM251" s="387"/>
      <c r="AN251" s="385"/>
      <c r="AO251" s="385"/>
      <c r="AP251" s="386"/>
      <c r="AQ251" s="386"/>
      <c r="AR251" s="267"/>
      <c r="AS251" s="267"/>
      <c r="AT251" s="267"/>
    </row>
    <row r="252" spans="2:46" ht="15.75">
      <c r="B252" s="526">
        <f>+B250</f>
        <v>25.761904761904759</v>
      </c>
      <c r="C252" s="527" t="s">
        <v>128</v>
      </c>
      <c r="D252" s="528"/>
      <c r="E252" s="528"/>
      <c r="F252" s="528"/>
      <c r="G252" s="518"/>
      <c r="H252" s="518"/>
      <c r="I252" s="519"/>
      <c r="J252" s="518"/>
      <c r="K252" s="519"/>
      <c r="L252" s="519"/>
      <c r="M252" s="518"/>
      <c r="N252" s="518"/>
      <c r="O252" s="1159">
        <f>(O250-18)/7</f>
        <v>25.761904761904759</v>
      </c>
      <c r="P252" s="1159"/>
      <c r="Q252" s="1159" t="s">
        <v>77</v>
      </c>
      <c r="R252" s="1159"/>
      <c r="S252" s="1159"/>
      <c r="T252" s="1159"/>
      <c r="U252" s="1159"/>
      <c r="V252" s="1159"/>
      <c r="W252" s="1159"/>
      <c r="X252" s="1159"/>
      <c r="Y252" s="1159"/>
      <c r="Z252" s="1159"/>
      <c r="AA252" s="520"/>
      <c r="AB252" s="520"/>
      <c r="AC252" s="521"/>
      <c r="AD252" s="296"/>
      <c r="AE252" s="391"/>
      <c r="AF252" s="391"/>
      <c r="AG252" s="392"/>
      <c r="AH252" s="392"/>
      <c r="AI252" s="392"/>
      <c r="AJ252" s="391"/>
      <c r="AK252" s="391"/>
      <c r="AL252" s="385"/>
      <c r="AM252" s="385"/>
      <c r="AN252" s="385"/>
      <c r="AO252" s="385"/>
      <c r="AP252" s="386"/>
      <c r="AQ252" s="386"/>
      <c r="AR252" s="267"/>
      <c r="AS252" s="267"/>
      <c r="AT252" s="267"/>
    </row>
    <row r="253" spans="2:46">
      <c r="B253" s="515">
        <v>3</v>
      </c>
      <c r="C253" s="516" t="s">
        <v>78</v>
      </c>
      <c r="D253" s="518"/>
      <c r="E253" s="518"/>
      <c r="F253" s="519"/>
      <c r="G253" s="518"/>
      <c r="H253" s="518"/>
      <c r="I253" s="519"/>
      <c r="J253" s="518"/>
      <c r="K253" s="519"/>
      <c r="L253" s="519"/>
      <c r="M253" s="518"/>
      <c r="N253" s="518"/>
      <c r="O253" s="1159">
        <v>3</v>
      </c>
      <c r="P253" s="1159"/>
      <c r="Q253" s="1159" t="s">
        <v>79</v>
      </c>
      <c r="R253" s="1159"/>
      <c r="S253" s="1159"/>
      <c r="T253" s="1159"/>
      <c r="U253" s="1159"/>
      <c r="V253" s="1159"/>
      <c r="W253" s="1159"/>
      <c r="X253" s="1159"/>
      <c r="Y253" s="1159"/>
      <c r="Z253" s="1159"/>
      <c r="AA253" s="520"/>
      <c r="AB253" s="520"/>
      <c r="AC253" s="521"/>
      <c r="AD253" s="296"/>
      <c r="AE253" s="296"/>
      <c r="AF253" s="996">
        <v>993814365</v>
      </c>
      <c r="AG253" s="996"/>
      <c r="AH253" s="996"/>
      <c r="AI253" s="996"/>
      <c r="AJ253" s="996"/>
      <c r="AK253" s="296"/>
      <c r="AL253" s="385"/>
      <c r="AM253" s="385"/>
      <c r="AN253" s="385"/>
      <c r="AO253" s="385"/>
      <c r="AP253" s="386"/>
      <c r="AQ253" s="386"/>
      <c r="AR253" s="267"/>
      <c r="AS253" s="267"/>
      <c r="AT253" s="267"/>
    </row>
    <row r="254" spans="2:46">
      <c r="B254" s="522">
        <f>+B253+B252</f>
        <v>28.761904761904759</v>
      </c>
      <c r="C254" s="523" t="s">
        <v>80</v>
      </c>
      <c r="D254" s="529"/>
      <c r="E254" s="529"/>
      <c r="F254" s="530"/>
      <c r="G254" s="529"/>
      <c r="H254" s="529"/>
      <c r="I254" s="530"/>
      <c r="J254" s="529"/>
      <c r="K254" s="530"/>
      <c r="L254" s="530"/>
      <c r="M254" s="524"/>
      <c r="N254" s="518"/>
      <c r="O254" s="1159">
        <f>+O253+O252</f>
        <v>28.761904761904759</v>
      </c>
      <c r="P254" s="1159"/>
      <c r="Q254" s="518"/>
      <c r="R254" s="518"/>
      <c r="S254" s="518"/>
      <c r="T254" s="518"/>
      <c r="U254" s="518"/>
      <c r="V254" s="518"/>
      <c r="W254" s="518"/>
      <c r="X254" s="518"/>
      <c r="Y254" s="518"/>
      <c r="Z254" s="518"/>
      <c r="AA254" s="520"/>
      <c r="AB254" s="520"/>
      <c r="AC254" s="521"/>
      <c r="AD254" s="296"/>
      <c r="AE254" s="425"/>
      <c r="AF254" s="425"/>
      <c r="AG254" s="296"/>
      <c r="AH254" s="296"/>
      <c r="AI254" s="296"/>
      <c r="AJ254" s="425"/>
      <c r="AK254" s="425"/>
      <c r="AL254" s="387"/>
      <c r="AM254" s="387"/>
      <c r="AN254" s="387"/>
      <c r="AO254" s="387"/>
      <c r="AP254" s="397"/>
      <c r="AQ254" s="267"/>
      <c r="AR254" s="267"/>
      <c r="AS254" s="267"/>
      <c r="AT254" s="267"/>
    </row>
    <row r="255" spans="2:46">
      <c r="B255" s="515"/>
      <c r="C255" s="518"/>
      <c r="D255" s="518"/>
      <c r="E255" s="518"/>
      <c r="F255" s="519"/>
      <c r="G255" s="518"/>
      <c r="H255" s="518"/>
      <c r="I255" s="519"/>
      <c r="J255" s="518"/>
      <c r="K255" s="519"/>
      <c r="L255" s="519"/>
      <c r="M255" s="518"/>
      <c r="N255" s="518"/>
      <c r="O255" s="518"/>
      <c r="P255" s="518"/>
      <c r="Q255" s="518"/>
      <c r="R255" s="518"/>
      <c r="S255" s="518"/>
      <c r="T255" s="518"/>
      <c r="U255" s="518"/>
      <c r="V255" s="518"/>
      <c r="W255" s="518"/>
      <c r="X255" s="518"/>
      <c r="Y255" s="518"/>
      <c r="Z255" s="518"/>
      <c r="AA255" s="520"/>
      <c r="AB255" s="520"/>
      <c r="AC255" s="521"/>
      <c r="AD255" s="296"/>
      <c r="AE255" s="398"/>
      <c r="AF255" s="398"/>
      <c r="AG255" s="398"/>
      <c r="AH255" s="296"/>
      <c r="AI255" s="296"/>
      <c r="AJ255" s="398"/>
      <c r="AK255" s="398"/>
      <c r="AL255" s="385"/>
      <c r="AM255" s="296"/>
      <c r="AN255" s="296"/>
      <c r="AO255" s="296"/>
      <c r="AP255" s="267"/>
      <c r="AQ255" s="267"/>
      <c r="AR255" s="267"/>
      <c r="AS255" s="267"/>
      <c r="AT255" s="267"/>
    </row>
    <row r="256" spans="2:46">
      <c r="B256" s="515">
        <f>+B254*6</f>
        <v>172.57142857142856</v>
      </c>
      <c r="C256" s="516" t="s">
        <v>81</v>
      </c>
      <c r="D256" s="518"/>
      <c r="E256" s="518"/>
      <c r="F256" s="519"/>
      <c r="G256" s="518"/>
      <c r="H256" s="518"/>
      <c r="I256" s="519"/>
      <c r="J256" s="518"/>
      <c r="K256" s="519"/>
      <c r="L256" s="519"/>
      <c r="M256" s="518"/>
      <c r="N256" s="518"/>
      <c r="O256" s="1159" t="s">
        <v>129</v>
      </c>
      <c r="P256" s="1159"/>
      <c r="Q256" s="1159"/>
      <c r="R256" s="1159"/>
      <c r="S256" s="1159"/>
      <c r="T256" s="1159"/>
      <c r="U256" s="1159"/>
      <c r="V256" s="1159"/>
      <c r="W256" s="1159"/>
      <c r="X256" s="1159"/>
      <c r="Y256" s="1159"/>
      <c r="Z256" s="1159"/>
      <c r="AA256" s="520"/>
      <c r="AB256" s="520"/>
      <c r="AC256" s="521"/>
      <c r="AD256" s="296"/>
      <c r="AE256" s="296"/>
      <c r="AF256" s="296"/>
      <c r="AG256" s="296"/>
      <c r="AH256" s="296"/>
      <c r="AI256" s="385"/>
      <c r="AJ256" s="385"/>
      <c r="AK256" s="387"/>
      <c r="AL256" s="373"/>
      <c r="AM256" s="425"/>
      <c r="AN256" s="373"/>
      <c r="AO256" s="296"/>
      <c r="AP256" s="267"/>
      <c r="AQ256" s="267"/>
      <c r="AR256" s="267"/>
      <c r="AS256" s="267"/>
      <c r="AT256" s="267"/>
    </row>
    <row r="257" spans="2:41">
      <c r="B257" s="531">
        <f>+B252</f>
        <v>25.761904761904759</v>
      </c>
      <c r="C257" s="532" t="s">
        <v>83</v>
      </c>
      <c r="D257" s="533"/>
      <c r="E257" s="533"/>
      <c r="F257" s="534"/>
      <c r="G257" s="533"/>
      <c r="H257" s="533"/>
      <c r="I257" s="534"/>
      <c r="J257" s="533"/>
      <c r="K257" s="534"/>
      <c r="L257" s="519"/>
      <c r="M257" s="518"/>
      <c r="N257" s="518"/>
      <c r="O257" s="1159">
        <f>+O249*1.1</f>
        <v>935.00000000000011</v>
      </c>
      <c r="P257" s="1159"/>
      <c r="Q257" s="1159" t="s">
        <v>71</v>
      </c>
      <c r="R257" s="1159"/>
      <c r="S257" s="1159"/>
      <c r="T257" s="1159"/>
      <c r="U257" s="1159"/>
      <c r="V257" s="1159"/>
      <c r="W257" s="1159"/>
      <c r="X257" s="1159"/>
      <c r="Y257" s="1159"/>
      <c r="Z257" s="1159"/>
      <c r="AA257" s="520" t="s">
        <v>84</v>
      </c>
      <c r="AB257" s="520"/>
      <c r="AC257" s="521"/>
      <c r="AG257" s="267"/>
      <c r="AH257" s="267"/>
      <c r="AI257" s="386"/>
      <c r="AJ257" s="386"/>
      <c r="AK257" s="386"/>
      <c r="AL257" s="267"/>
      <c r="AM257" s="267"/>
      <c r="AN257" s="267"/>
      <c r="AO257" s="267"/>
    </row>
    <row r="258" spans="2:41">
      <c r="B258" s="522">
        <f>+B257+B256</f>
        <v>198.33333333333331</v>
      </c>
      <c r="C258" s="523" t="s">
        <v>85</v>
      </c>
      <c r="D258" s="529"/>
      <c r="E258" s="529"/>
      <c r="F258" s="530"/>
      <c r="G258" s="529"/>
      <c r="H258" s="529"/>
      <c r="I258" s="530"/>
      <c r="J258" s="529"/>
      <c r="K258" s="535"/>
      <c r="L258" s="519"/>
      <c r="M258" s="518"/>
      <c r="N258" s="518"/>
      <c r="O258" s="1159">
        <f>+O257/30*7</f>
        <v>218.16666666666669</v>
      </c>
      <c r="P258" s="1159"/>
      <c r="Q258" s="1159" t="s">
        <v>74</v>
      </c>
      <c r="R258" s="1159"/>
      <c r="S258" s="1159"/>
      <c r="T258" s="1159"/>
      <c r="U258" s="1159"/>
      <c r="V258" s="1159"/>
      <c r="W258" s="1159"/>
      <c r="X258" s="1159"/>
      <c r="Y258" s="1159"/>
      <c r="Z258" s="1159"/>
      <c r="AA258" s="1166">
        <f>+O258*0.87</f>
        <v>189.80500000000001</v>
      </c>
      <c r="AB258" s="1166"/>
      <c r="AC258" s="521"/>
      <c r="AG258" s="267"/>
      <c r="AH258" s="267"/>
      <c r="AI258" s="386"/>
      <c r="AJ258" s="386"/>
      <c r="AK258" s="407"/>
      <c r="AL258" s="267"/>
      <c r="AM258" s="267"/>
      <c r="AN258" s="267"/>
      <c r="AO258" s="267"/>
    </row>
    <row r="259" spans="2:41">
      <c r="B259" s="515"/>
      <c r="C259" s="516"/>
      <c r="D259" s="518"/>
      <c r="E259" s="518"/>
      <c r="F259" s="519"/>
      <c r="G259" s="518"/>
      <c r="H259" s="518"/>
      <c r="I259" s="519"/>
      <c r="J259" s="518"/>
      <c r="K259" s="519"/>
      <c r="L259" s="519"/>
      <c r="M259" s="518"/>
      <c r="N259" s="518"/>
      <c r="O259" s="1159">
        <f>+O258/7</f>
        <v>31.166666666666668</v>
      </c>
      <c r="P259" s="1159"/>
      <c r="Q259" s="1159" t="s">
        <v>75</v>
      </c>
      <c r="R259" s="1159"/>
      <c r="S259" s="1159"/>
      <c r="T259" s="1159"/>
      <c r="U259" s="1159"/>
      <c r="V259" s="1159"/>
      <c r="W259" s="1159"/>
      <c r="X259" s="1159"/>
      <c r="Y259" s="1159"/>
      <c r="Z259" s="1159"/>
      <c r="AA259" s="520"/>
      <c r="AB259" s="520"/>
      <c r="AC259" s="521"/>
      <c r="AG259" s="267"/>
      <c r="AH259" s="267"/>
      <c r="AI259" s="412"/>
      <c r="AJ259" s="413"/>
      <c r="AK259" s="407"/>
      <c r="AL259" s="267"/>
      <c r="AM259" s="267"/>
      <c r="AN259" s="267"/>
      <c r="AO259" s="267"/>
    </row>
    <row r="260" spans="2:41">
      <c r="B260" s="536">
        <f>+B258/7</f>
        <v>28.333333333333332</v>
      </c>
      <c r="C260" s="537" t="s">
        <v>86</v>
      </c>
      <c r="D260" s="518"/>
      <c r="E260" s="518"/>
      <c r="F260" s="519"/>
      <c r="G260" s="518"/>
      <c r="H260" s="518"/>
      <c r="I260" s="519"/>
      <c r="J260" s="518"/>
      <c r="K260" s="519"/>
      <c r="L260" s="519"/>
      <c r="M260" s="518"/>
      <c r="N260" s="518"/>
      <c r="O260" s="1159">
        <f>(O258-18)/7</f>
        <v>28.595238095238098</v>
      </c>
      <c r="P260" s="1159"/>
      <c r="Q260" s="1159" t="s">
        <v>77</v>
      </c>
      <c r="R260" s="1159"/>
      <c r="S260" s="1159"/>
      <c r="T260" s="1159"/>
      <c r="U260" s="1159"/>
      <c r="V260" s="1159"/>
      <c r="W260" s="1159"/>
      <c r="X260" s="1159"/>
      <c r="Y260" s="1159"/>
      <c r="Z260" s="1159"/>
      <c r="AA260" s="520"/>
      <c r="AB260" s="520"/>
      <c r="AC260" s="521"/>
      <c r="AG260" s="267"/>
      <c r="AH260" s="267"/>
      <c r="AI260" s="267"/>
      <c r="AJ260" s="267"/>
      <c r="AK260" s="407"/>
      <c r="AL260" s="267"/>
      <c r="AM260" s="267"/>
      <c r="AN260" s="267"/>
      <c r="AO260" s="267"/>
    </row>
    <row r="261" spans="2:41">
      <c r="B261" s="515"/>
      <c r="C261" s="516"/>
      <c r="D261" s="518"/>
      <c r="E261" s="518"/>
      <c r="F261" s="519"/>
      <c r="G261" s="518"/>
      <c r="H261" s="518"/>
      <c r="I261" s="519"/>
      <c r="J261" s="518"/>
      <c r="K261" s="519"/>
      <c r="L261" s="519"/>
      <c r="M261" s="518"/>
      <c r="N261" s="518"/>
      <c r="O261" s="1159">
        <v>3</v>
      </c>
      <c r="P261" s="1159"/>
      <c r="Q261" s="1159" t="s">
        <v>79</v>
      </c>
      <c r="R261" s="1159"/>
      <c r="S261" s="1159"/>
      <c r="T261" s="1159"/>
      <c r="U261" s="1159"/>
      <c r="V261" s="1159"/>
      <c r="W261" s="1159"/>
      <c r="X261" s="1159"/>
      <c r="Y261" s="1159"/>
      <c r="Z261" s="1159"/>
      <c r="AA261" s="520"/>
      <c r="AB261" s="520"/>
      <c r="AC261" s="521"/>
      <c r="AG261" s="267"/>
      <c r="AH261" s="267"/>
      <c r="AI261" s="267"/>
      <c r="AJ261" s="267"/>
      <c r="AK261" s="267"/>
      <c r="AL261" s="267"/>
      <c r="AM261" s="267"/>
      <c r="AN261" s="267"/>
      <c r="AO261" s="267"/>
    </row>
    <row r="262" spans="2:41" ht="15.75" thickBot="1">
      <c r="B262" s="538"/>
      <c r="C262" s="539"/>
      <c r="D262" s="540"/>
      <c r="E262" s="540"/>
      <c r="F262" s="541"/>
      <c r="G262" s="540"/>
      <c r="H262" s="540"/>
      <c r="I262" s="541"/>
      <c r="J262" s="540"/>
      <c r="K262" s="541"/>
      <c r="L262" s="541"/>
      <c r="M262" s="540"/>
      <c r="N262" s="540"/>
      <c r="O262" s="1167">
        <f>+O261+O260</f>
        <v>31.595238095238098</v>
      </c>
      <c r="P262" s="1167"/>
      <c r="Q262" s="540"/>
      <c r="R262" s="540"/>
      <c r="S262" s="540"/>
      <c r="T262" s="540"/>
      <c r="U262" s="540"/>
      <c r="V262" s="540"/>
      <c r="W262" s="540"/>
      <c r="X262" s="540"/>
      <c r="Y262" s="540"/>
      <c r="Z262" s="540"/>
      <c r="AA262" s="542"/>
      <c r="AB262" s="542"/>
      <c r="AC262" s="543"/>
      <c r="AG262" s="267"/>
      <c r="AH262" s="267"/>
      <c r="AI262" s="267"/>
      <c r="AJ262" s="267"/>
      <c r="AK262" s="267"/>
      <c r="AL262" s="267"/>
      <c r="AM262" s="267"/>
      <c r="AN262" s="267"/>
      <c r="AO262" s="267"/>
    </row>
    <row r="263" spans="2:41">
      <c r="B263" s="168"/>
      <c r="AG263" s="267"/>
      <c r="AH263" s="267"/>
      <c r="AI263" s="267"/>
      <c r="AJ263" s="267"/>
      <c r="AK263" s="267"/>
      <c r="AL263" s="267"/>
      <c r="AM263" s="267"/>
      <c r="AN263" s="267"/>
      <c r="AO263" s="267"/>
    </row>
    <row r="264" spans="2:41" ht="15.75" thickBot="1">
      <c r="AE264" s="376"/>
      <c r="AF264" s="376"/>
      <c r="AJ264" s="376"/>
      <c r="AK264" s="376"/>
    </row>
    <row r="265" spans="2:41">
      <c r="C265" s="484"/>
      <c r="D265" s="485"/>
      <c r="E265" s="486"/>
      <c r="F265" s="487"/>
      <c r="G265" s="485"/>
      <c r="H265" s="485"/>
      <c r="I265" s="487"/>
      <c r="J265" s="485"/>
      <c r="K265" s="488"/>
      <c r="L265" s="488"/>
      <c r="M265" s="485"/>
      <c r="N265" s="485"/>
      <c r="O265" s="485"/>
      <c r="P265" s="485"/>
      <c r="Q265" s="485"/>
      <c r="R265" s="485"/>
      <c r="S265" s="485"/>
      <c r="T265" s="485"/>
      <c r="U265" s="485"/>
      <c r="V265" s="485"/>
      <c r="W265" s="485"/>
      <c r="X265" s="485"/>
      <c r="Y265" s="485"/>
      <c r="Z265" s="485"/>
      <c r="AA265" s="489"/>
      <c r="AB265" s="489"/>
      <c r="AC265" s="489"/>
      <c r="AD265" s="489"/>
      <c r="AE265" s="490"/>
      <c r="AF265" s="490"/>
      <c r="AG265" s="491"/>
      <c r="AJ265" s="376"/>
      <c r="AK265" s="376"/>
    </row>
    <row r="266" spans="2:41" ht="18">
      <c r="C266" s="492"/>
      <c r="D266" s="333"/>
      <c r="E266" s="493" t="s">
        <v>130</v>
      </c>
      <c r="F266" s="411"/>
      <c r="G266" s="333"/>
      <c r="H266" s="333"/>
      <c r="I266" s="411"/>
      <c r="J266" s="333"/>
      <c r="K266" s="405"/>
      <c r="L266" s="405"/>
      <c r="M266" s="333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  <c r="AA266" s="167"/>
      <c r="AB266" s="167"/>
      <c r="AC266" s="167"/>
      <c r="AD266" s="167"/>
      <c r="AE266" s="376"/>
      <c r="AF266" s="376"/>
      <c r="AG266" s="494"/>
      <c r="AJ266" s="376"/>
      <c r="AK266" s="376"/>
    </row>
    <row r="267" spans="2:41">
      <c r="C267" s="492"/>
      <c r="D267" s="333"/>
      <c r="E267" s="410"/>
      <c r="F267" s="411"/>
      <c r="G267" s="333"/>
      <c r="H267" s="333"/>
      <c r="I267" s="411"/>
      <c r="J267" s="333"/>
      <c r="K267" s="405"/>
      <c r="L267" s="405"/>
      <c r="M267" s="333"/>
      <c r="N267" s="333"/>
      <c r="O267" s="333"/>
      <c r="P267" s="333"/>
      <c r="Q267" s="333"/>
      <c r="R267" s="333"/>
      <c r="S267" s="333"/>
      <c r="T267" s="333"/>
      <c r="U267" s="333"/>
      <c r="V267" s="333"/>
      <c r="W267" s="333"/>
      <c r="X267" s="333"/>
      <c r="Y267" s="333"/>
      <c r="Z267" s="333"/>
      <c r="AA267" s="1168" t="s">
        <v>106</v>
      </c>
      <c r="AB267" s="1169"/>
      <c r="AC267" s="1170"/>
      <c r="AD267" s="1115" t="s">
        <v>131</v>
      </c>
      <c r="AE267" s="1116"/>
      <c r="AF267" s="1117"/>
      <c r="AG267" s="494"/>
      <c r="AH267" s="167"/>
      <c r="AI267" s="167"/>
      <c r="AJ267" s="376"/>
      <c r="AK267" s="376"/>
    </row>
    <row r="268" spans="2:41" ht="16.5" thickBot="1">
      <c r="C268" s="492"/>
      <c r="D268" s="1118" t="s">
        <v>108</v>
      </c>
      <c r="E268" s="1118"/>
      <c r="F268" s="1118"/>
      <c r="G268" s="1118"/>
      <c r="H268" s="1118"/>
      <c r="I268" s="1119" t="s">
        <v>109</v>
      </c>
      <c r="J268" s="1119"/>
      <c r="K268" s="1119"/>
      <c r="L268" s="1120" t="s">
        <v>110</v>
      </c>
      <c r="M268" s="1120"/>
      <c r="N268" s="1120"/>
      <c r="O268" s="1120" t="s">
        <v>111</v>
      </c>
      <c r="P268" s="1120"/>
      <c r="Q268" s="1120"/>
      <c r="R268" s="1171" t="s">
        <v>132</v>
      </c>
      <c r="S268" s="1171"/>
      <c r="T268" s="1171"/>
      <c r="U268" s="1120" t="s">
        <v>113</v>
      </c>
      <c r="V268" s="1120"/>
      <c r="W268" s="1122"/>
      <c r="X268" s="1123" t="s">
        <v>114</v>
      </c>
      <c r="Y268" s="1124"/>
      <c r="Z268" s="1125"/>
      <c r="AA268" s="1172" t="s">
        <v>133</v>
      </c>
      <c r="AB268" s="1172"/>
      <c r="AC268" s="1173"/>
      <c r="AD268" s="1128" t="s">
        <v>133</v>
      </c>
      <c r="AE268" s="1129"/>
      <c r="AF268" s="1130"/>
      <c r="AG268" s="494"/>
      <c r="AH268" s="167"/>
      <c r="AI268" s="167"/>
      <c r="AJ268" s="376"/>
      <c r="AK268" s="376"/>
    </row>
    <row r="269" spans="2:41" ht="19.5" thickTop="1">
      <c r="C269" s="495">
        <v>1</v>
      </c>
      <c r="D269" s="1131" t="s">
        <v>119</v>
      </c>
      <c r="E269" s="1131"/>
      <c r="F269" s="1131"/>
      <c r="G269" s="1131"/>
      <c r="H269" s="1131"/>
      <c r="I269" s="1174">
        <v>38.5</v>
      </c>
      <c r="J269" s="1174"/>
      <c r="K269" s="1174"/>
      <c r="L269" s="1133">
        <v>1</v>
      </c>
      <c r="M269" s="1133"/>
      <c r="N269" s="1133"/>
      <c r="O269" s="1133">
        <v>2</v>
      </c>
      <c r="P269" s="1133"/>
      <c r="Q269" s="1133"/>
      <c r="R269" s="1175">
        <f t="shared" ref="R269:R275" si="85">+I269+L269+O269</f>
        <v>41.5</v>
      </c>
      <c r="S269" s="1175"/>
      <c r="T269" s="1175"/>
      <c r="U269" s="1135">
        <f t="shared" ref="U269:U275" si="86">+I269*7+(L269+O269)*6</f>
        <v>287.5</v>
      </c>
      <c r="V269" s="1135"/>
      <c r="W269" s="1136"/>
      <c r="X269" s="1137">
        <f t="shared" ref="X269:X275" si="87">+U269/7*30</f>
        <v>1232.1428571428571</v>
      </c>
      <c r="Y269" s="1138"/>
      <c r="Z269" s="1139"/>
      <c r="AA269" s="1176">
        <v>37.571399999999997</v>
      </c>
      <c r="AB269" s="1177"/>
      <c r="AC269" s="1177"/>
      <c r="AD269" s="1178">
        <f t="shared" ref="AD269:AD275" si="88">+AA269*30</f>
        <v>1127.1419999999998</v>
      </c>
      <c r="AE269" s="1178"/>
      <c r="AF269" s="1178"/>
      <c r="AG269" s="494"/>
      <c r="AH269" s="167" t="s">
        <v>134</v>
      </c>
      <c r="AI269" s="1149" t="s">
        <v>135</v>
      </c>
      <c r="AJ269" s="1179"/>
      <c r="AK269" s="1179"/>
      <c r="AL269" s="1179"/>
      <c r="AM269" s="1180"/>
    </row>
    <row r="270" spans="2:41" ht="17.25">
      <c r="C270" s="495">
        <v>2</v>
      </c>
      <c r="D270" s="1144" t="s">
        <v>120</v>
      </c>
      <c r="E270" s="1144"/>
      <c r="F270" s="1144"/>
      <c r="G270" s="1144"/>
      <c r="H270" s="1144"/>
      <c r="I270" s="1165">
        <v>38.5</v>
      </c>
      <c r="J270" s="1165"/>
      <c r="K270" s="1165"/>
      <c r="L270" s="1146">
        <v>1</v>
      </c>
      <c r="M270" s="1146"/>
      <c r="N270" s="1146"/>
      <c r="O270" s="1146">
        <v>2</v>
      </c>
      <c r="P270" s="1146"/>
      <c r="Q270" s="1146"/>
      <c r="R270" s="1160">
        <f t="shared" si="85"/>
        <v>41.5</v>
      </c>
      <c r="S270" s="1160"/>
      <c r="T270" s="1160"/>
      <c r="U270" s="1148">
        <f t="shared" si="86"/>
        <v>287.5</v>
      </c>
      <c r="V270" s="1148"/>
      <c r="W270" s="1149"/>
      <c r="X270" s="1150">
        <f t="shared" si="87"/>
        <v>1232.1428571428571</v>
      </c>
      <c r="Y270" s="1151"/>
      <c r="Z270" s="1152"/>
      <c r="AA270" s="1181">
        <v>35.571399999999997</v>
      </c>
      <c r="AB270" s="1182"/>
      <c r="AC270" s="1182"/>
      <c r="AD270" s="1183">
        <f t="shared" si="88"/>
        <v>1067.1419999999998</v>
      </c>
      <c r="AE270" s="1183"/>
      <c r="AF270" s="1183"/>
      <c r="AG270" s="494"/>
      <c r="AH270" s="167"/>
      <c r="AI270" s="167"/>
      <c r="AJ270" s="376"/>
      <c r="AK270" s="376"/>
    </row>
    <row r="271" spans="2:41" ht="17.25">
      <c r="C271" s="495">
        <v>3</v>
      </c>
      <c r="D271" s="1144" t="s">
        <v>118</v>
      </c>
      <c r="E271" s="1144"/>
      <c r="F271" s="1144"/>
      <c r="G271" s="1144"/>
      <c r="H271" s="1144"/>
      <c r="I271" s="1165">
        <v>38.5</v>
      </c>
      <c r="J271" s="1165"/>
      <c r="K271" s="1165"/>
      <c r="L271" s="1146">
        <v>1</v>
      </c>
      <c r="M271" s="1146"/>
      <c r="N271" s="1146"/>
      <c r="O271" s="1146">
        <v>2</v>
      </c>
      <c r="P271" s="1146"/>
      <c r="Q271" s="1146"/>
      <c r="R271" s="1160">
        <f t="shared" si="85"/>
        <v>41.5</v>
      </c>
      <c r="S271" s="1160"/>
      <c r="T271" s="1160"/>
      <c r="U271" s="1148">
        <f t="shared" si="86"/>
        <v>287.5</v>
      </c>
      <c r="V271" s="1148"/>
      <c r="W271" s="1149"/>
      <c r="X271" s="1150">
        <f t="shared" si="87"/>
        <v>1232.1428571428571</v>
      </c>
      <c r="Y271" s="1151"/>
      <c r="Z271" s="1152"/>
      <c r="AA271" s="1181">
        <v>32.571399999999997</v>
      </c>
      <c r="AB271" s="1182"/>
      <c r="AC271" s="1182"/>
      <c r="AD271" s="1183">
        <f t="shared" si="88"/>
        <v>977.14199999999994</v>
      </c>
      <c r="AE271" s="1183"/>
      <c r="AF271" s="1183"/>
      <c r="AG271" s="494"/>
      <c r="AH271" s="167"/>
      <c r="AI271" s="167"/>
      <c r="AJ271" s="376"/>
      <c r="AK271" s="376"/>
    </row>
    <row r="272" spans="2:41" ht="17.25">
      <c r="C272" s="495">
        <v>4</v>
      </c>
      <c r="D272" s="1144" t="s">
        <v>136</v>
      </c>
      <c r="E272" s="1144"/>
      <c r="F272" s="1144"/>
      <c r="G272" s="1144"/>
      <c r="H272" s="1144"/>
      <c r="I272" s="1165">
        <v>35</v>
      </c>
      <c r="J272" s="1165"/>
      <c r="K272" s="1165"/>
      <c r="L272" s="1146">
        <v>1</v>
      </c>
      <c r="M272" s="1146"/>
      <c r="N272" s="1146"/>
      <c r="O272" s="1146">
        <v>2</v>
      </c>
      <c r="P272" s="1146"/>
      <c r="Q272" s="1146"/>
      <c r="R272" s="1160">
        <f t="shared" si="85"/>
        <v>38</v>
      </c>
      <c r="S272" s="1160"/>
      <c r="T272" s="1160"/>
      <c r="U272" s="1148">
        <f t="shared" si="86"/>
        <v>263</v>
      </c>
      <c r="V272" s="1148"/>
      <c r="W272" s="1149"/>
      <c r="X272" s="1150">
        <f t="shared" si="87"/>
        <v>1127.1428571428571</v>
      </c>
      <c r="Y272" s="1151"/>
      <c r="Z272" s="1152"/>
      <c r="AA272" s="1181">
        <v>35.321399999999997</v>
      </c>
      <c r="AB272" s="1182"/>
      <c r="AC272" s="1182"/>
      <c r="AD272" s="1183">
        <f t="shared" si="88"/>
        <v>1059.6419999999998</v>
      </c>
      <c r="AE272" s="1183"/>
      <c r="AF272" s="1183"/>
      <c r="AG272" s="494"/>
      <c r="AH272" s="167"/>
      <c r="AI272" s="167"/>
      <c r="AJ272" s="376"/>
      <c r="AK272" s="376"/>
    </row>
    <row r="273" spans="3:41" ht="17.25">
      <c r="C273" s="495">
        <v>5</v>
      </c>
      <c r="D273" s="1144" t="s">
        <v>137</v>
      </c>
      <c r="E273" s="1144"/>
      <c r="F273" s="1144"/>
      <c r="G273" s="1144"/>
      <c r="H273" s="1144"/>
      <c r="I273" s="1165">
        <v>33.799999999999997</v>
      </c>
      <c r="J273" s="1165"/>
      <c r="K273" s="1165"/>
      <c r="L273" s="1146">
        <v>1</v>
      </c>
      <c r="M273" s="1146"/>
      <c r="N273" s="1146"/>
      <c r="O273" s="1146">
        <v>2</v>
      </c>
      <c r="P273" s="1146"/>
      <c r="Q273" s="1146"/>
      <c r="R273" s="1160">
        <f t="shared" si="85"/>
        <v>36.799999999999997</v>
      </c>
      <c r="S273" s="1160"/>
      <c r="T273" s="1160"/>
      <c r="U273" s="1148">
        <f t="shared" si="86"/>
        <v>254.59999999999997</v>
      </c>
      <c r="V273" s="1148"/>
      <c r="W273" s="1149"/>
      <c r="X273" s="1150">
        <f t="shared" si="87"/>
        <v>1091.1428571428569</v>
      </c>
      <c r="Y273" s="1151"/>
      <c r="Z273" s="1152"/>
      <c r="AA273" s="1181">
        <v>31.571400000000001</v>
      </c>
      <c r="AB273" s="1182"/>
      <c r="AC273" s="1182"/>
      <c r="AD273" s="1183">
        <f t="shared" si="88"/>
        <v>947.14200000000005</v>
      </c>
      <c r="AE273" s="1183"/>
      <c r="AF273" s="1183"/>
      <c r="AG273" s="494"/>
      <c r="AH273" s="167"/>
      <c r="AI273" s="167"/>
      <c r="AJ273" s="376"/>
      <c r="AK273" s="376"/>
    </row>
    <row r="274" spans="3:41" ht="17.25">
      <c r="C274" s="495">
        <v>6</v>
      </c>
      <c r="D274" s="1144" t="s">
        <v>138</v>
      </c>
      <c r="E274" s="1144"/>
      <c r="F274" s="1144"/>
      <c r="G274" s="1144"/>
      <c r="H274" s="1144"/>
      <c r="I274" s="1165">
        <v>33.799999999999997</v>
      </c>
      <c r="J274" s="1165"/>
      <c r="K274" s="1165"/>
      <c r="L274" s="1146">
        <v>1</v>
      </c>
      <c r="M274" s="1146"/>
      <c r="N274" s="1146"/>
      <c r="O274" s="1146">
        <v>2</v>
      </c>
      <c r="P274" s="1146"/>
      <c r="Q274" s="1146"/>
      <c r="R274" s="1160">
        <f t="shared" si="85"/>
        <v>36.799999999999997</v>
      </c>
      <c r="S274" s="1160"/>
      <c r="T274" s="1160"/>
      <c r="U274" s="1148">
        <f t="shared" si="86"/>
        <v>254.59999999999997</v>
      </c>
      <c r="V274" s="1148"/>
      <c r="W274" s="1149"/>
      <c r="X274" s="1150">
        <f t="shared" si="87"/>
        <v>1091.1428571428569</v>
      </c>
      <c r="Y274" s="1151"/>
      <c r="Z274" s="1152"/>
      <c r="AA274" s="1181">
        <v>33.333300000000001</v>
      </c>
      <c r="AB274" s="1182"/>
      <c r="AC274" s="1182"/>
      <c r="AD274" s="1183">
        <f t="shared" si="88"/>
        <v>999.99900000000002</v>
      </c>
      <c r="AE274" s="1183"/>
      <c r="AF274" s="1183"/>
      <c r="AG274" s="494"/>
      <c r="AH274" s="167"/>
      <c r="AI274" s="167"/>
      <c r="AJ274" s="376"/>
      <c r="AK274" s="376"/>
    </row>
    <row r="275" spans="3:41" ht="17.25">
      <c r="C275" s="495">
        <v>7</v>
      </c>
      <c r="D275" s="1144" t="s">
        <v>139</v>
      </c>
      <c r="E275" s="1144"/>
      <c r="F275" s="1144"/>
      <c r="G275" s="1144"/>
      <c r="H275" s="1144"/>
      <c r="I275" s="1165">
        <v>26</v>
      </c>
      <c r="J275" s="1165"/>
      <c r="K275" s="1165"/>
      <c r="L275" s="1146">
        <v>1</v>
      </c>
      <c r="M275" s="1146"/>
      <c r="N275" s="1146"/>
      <c r="O275" s="1146">
        <v>2</v>
      </c>
      <c r="P275" s="1146"/>
      <c r="Q275" s="1146"/>
      <c r="R275" s="1160">
        <f t="shared" si="85"/>
        <v>29</v>
      </c>
      <c r="S275" s="1160"/>
      <c r="T275" s="1160"/>
      <c r="U275" s="1148">
        <f t="shared" si="86"/>
        <v>200</v>
      </c>
      <c r="V275" s="1148"/>
      <c r="W275" s="1149"/>
      <c r="X275" s="1150">
        <f t="shared" si="87"/>
        <v>857.14285714285722</v>
      </c>
      <c r="Y275" s="1151"/>
      <c r="Z275" s="1152"/>
      <c r="AA275" s="1181">
        <v>25</v>
      </c>
      <c r="AB275" s="1182"/>
      <c r="AC275" s="1182"/>
      <c r="AD275" s="1183">
        <f t="shared" si="88"/>
        <v>750</v>
      </c>
      <c r="AE275" s="1183"/>
      <c r="AF275" s="1183"/>
      <c r="AG275" s="494"/>
      <c r="AH275" s="167"/>
      <c r="AI275" s="167"/>
      <c r="AJ275" s="376"/>
      <c r="AK275" s="376"/>
    </row>
    <row r="276" spans="3:41" ht="17.25">
      <c r="C276" s="492"/>
      <c r="D276" s="409"/>
      <c r="E276" s="410"/>
      <c r="F276" s="411"/>
      <c r="G276" s="333"/>
      <c r="H276" s="333"/>
      <c r="I276" s="411"/>
      <c r="J276" s="333"/>
      <c r="K276" s="405"/>
      <c r="L276" s="405"/>
      <c r="M276" s="333"/>
      <c r="N276" s="333"/>
      <c r="O276" s="333"/>
      <c r="P276" s="333"/>
      <c r="Q276" s="333"/>
      <c r="R276" s="333"/>
      <c r="S276" s="1160" t="s">
        <v>23</v>
      </c>
      <c r="T276" s="1160"/>
      <c r="U276" s="1160"/>
      <c r="V276" s="333"/>
      <c r="W276" s="333"/>
      <c r="X276" s="1161">
        <f>SUM(X269:Z275)</f>
        <v>7862.9999999999991</v>
      </c>
      <c r="Y276" s="1162"/>
      <c r="Z276" s="1163"/>
      <c r="AA276" s="496"/>
      <c r="AB276" s="496"/>
      <c r="AC276" s="496"/>
      <c r="AD276" s="1184">
        <f>SUM(AD269:AF275)</f>
        <v>6928.2089999999989</v>
      </c>
      <c r="AE276" s="1184"/>
      <c r="AF276" s="1184"/>
      <c r="AG276" s="494"/>
      <c r="AH276" s="167"/>
      <c r="AI276" s="167"/>
      <c r="AJ276" s="376"/>
      <c r="AK276" s="376"/>
    </row>
    <row r="277" spans="3:41" ht="15.75" thickBot="1">
      <c r="C277" s="492"/>
      <c r="D277" s="333"/>
      <c r="E277" s="410"/>
      <c r="F277" s="411"/>
      <c r="G277" s="333"/>
      <c r="H277" s="333"/>
      <c r="I277" s="411"/>
      <c r="J277" s="333"/>
      <c r="K277" s="405"/>
      <c r="L277" s="405"/>
      <c r="M277" s="333"/>
      <c r="N277" s="333"/>
      <c r="O277" s="333"/>
      <c r="P277" s="333"/>
      <c r="Q277" s="333"/>
      <c r="R277" s="333"/>
      <c r="S277" s="333"/>
      <c r="T277" s="333"/>
      <c r="U277" s="333"/>
      <c r="V277" s="333"/>
      <c r="W277" s="333"/>
      <c r="X277" s="333"/>
      <c r="Y277" s="333"/>
      <c r="Z277" s="333"/>
      <c r="AA277" s="167"/>
      <c r="AB277" s="167"/>
      <c r="AC277" s="167"/>
      <c r="AD277" s="167"/>
      <c r="AE277" s="376"/>
      <c r="AF277" s="376"/>
      <c r="AG277" s="494"/>
      <c r="AH277" s="167"/>
      <c r="AI277" s="167"/>
      <c r="AJ277" s="376"/>
      <c r="AK277" s="376"/>
    </row>
    <row r="278" spans="3:41" ht="15.75" thickBot="1">
      <c r="C278" s="492"/>
      <c r="D278" s="333"/>
      <c r="E278" s="410"/>
      <c r="F278" s="411"/>
      <c r="G278" s="333"/>
      <c r="H278" s="333"/>
      <c r="I278" s="411"/>
      <c r="J278" s="333"/>
      <c r="K278" s="405"/>
      <c r="L278" s="1185" t="s">
        <v>140</v>
      </c>
      <c r="M278" s="1185"/>
      <c r="N278" s="1185"/>
      <c r="O278" s="333"/>
      <c r="P278" s="333"/>
      <c r="Q278" s="333"/>
      <c r="R278" s="333"/>
      <c r="S278" s="333"/>
      <c r="T278" s="499" t="s">
        <v>141</v>
      </c>
      <c r="U278" s="333"/>
      <c r="V278" s="333"/>
      <c r="W278" s="333"/>
      <c r="X278" s="333"/>
      <c r="Y278" s="333"/>
      <c r="Z278" s="333"/>
      <c r="AA278" s="167"/>
      <c r="AB278" s="167"/>
      <c r="AC278" s="167"/>
      <c r="AD278" s="1156">
        <f>+X276-AD276+0.01</f>
        <v>934.80100000000016</v>
      </c>
      <c r="AE278" s="1157"/>
      <c r="AF278" s="1158"/>
      <c r="AG278" s="494"/>
      <c r="AH278" s="167"/>
      <c r="AI278" s="167"/>
      <c r="AJ278" s="376"/>
      <c r="AK278" s="376"/>
    </row>
    <row r="279" spans="3:41" ht="15.75" thickBot="1">
      <c r="C279" s="500"/>
      <c r="D279" s="501"/>
      <c r="E279" s="502"/>
      <c r="F279" s="503"/>
      <c r="G279" s="501"/>
      <c r="H279" s="501"/>
      <c r="I279" s="503"/>
      <c r="J279" s="501"/>
      <c r="K279" s="504"/>
      <c r="L279" s="504"/>
      <c r="M279" s="501"/>
      <c r="N279" s="501"/>
      <c r="O279" s="501"/>
      <c r="P279" s="501"/>
      <c r="Q279" s="501"/>
      <c r="R279" s="501"/>
      <c r="S279" s="501"/>
      <c r="T279" s="501"/>
      <c r="U279" s="501"/>
      <c r="V279" s="501"/>
      <c r="W279" s="501"/>
      <c r="X279" s="501"/>
      <c r="Y279" s="501"/>
      <c r="Z279" s="501"/>
      <c r="AA279" s="505"/>
      <c r="AB279" s="505"/>
      <c r="AC279" s="505"/>
      <c r="AD279" s="506"/>
      <c r="AE279" s="506"/>
      <c r="AF279" s="506"/>
      <c r="AG279" s="507"/>
      <c r="AH279" s="167"/>
      <c r="AI279" s="167"/>
      <c r="AJ279" s="376"/>
      <c r="AK279" s="376"/>
    </row>
    <row r="280" spans="3:41">
      <c r="AG280" s="267"/>
      <c r="AH280" s="267"/>
      <c r="AI280" s="267"/>
      <c r="AJ280" s="267"/>
      <c r="AK280" s="267"/>
      <c r="AL280" s="267"/>
      <c r="AM280" s="267"/>
      <c r="AN280" s="267"/>
      <c r="AO280" s="267"/>
    </row>
    <row r="281" spans="3:41">
      <c r="AG281" s="267"/>
      <c r="AH281" s="267"/>
      <c r="AI281" s="267"/>
      <c r="AJ281" s="267"/>
      <c r="AK281" s="267"/>
      <c r="AL281" s="267"/>
      <c r="AM281" s="267"/>
      <c r="AN281" s="267"/>
      <c r="AO281" s="267"/>
    </row>
    <row r="282" spans="3:41">
      <c r="AG282" s="267"/>
      <c r="AH282" s="267"/>
      <c r="AI282" s="267"/>
      <c r="AJ282" s="267"/>
      <c r="AK282" s="267"/>
      <c r="AL282" s="267"/>
      <c r="AM282" s="267"/>
      <c r="AN282" s="267"/>
      <c r="AO282" s="267"/>
    </row>
  </sheetData>
  <mergeCells count="864">
    <mergeCell ref="AA275:AC275"/>
    <mergeCell ref="AD275:AF275"/>
    <mergeCell ref="S276:U276"/>
    <mergeCell ref="X276:Z276"/>
    <mergeCell ref="AD276:AF276"/>
    <mergeCell ref="L278:N278"/>
    <mergeCell ref="AD278:AF278"/>
    <mergeCell ref="X274:Z274"/>
    <mergeCell ref="AA274:AC274"/>
    <mergeCell ref="AD274:AF274"/>
    <mergeCell ref="D275:H275"/>
    <mergeCell ref="I275:K275"/>
    <mergeCell ref="L275:N275"/>
    <mergeCell ref="O275:Q275"/>
    <mergeCell ref="R275:T275"/>
    <mergeCell ref="U275:W275"/>
    <mergeCell ref="X275:Z275"/>
    <mergeCell ref="D274:H274"/>
    <mergeCell ref="I274:K274"/>
    <mergeCell ref="L274:N274"/>
    <mergeCell ref="O274:Q274"/>
    <mergeCell ref="R274:T274"/>
    <mergeCell ref="U274:W274"/>
    <mergeCell ref="D273:H273"/>
    <mergeCell ref="I273:K273"/>
    <mergeCell ref="L273:N273"/>
    <mergeCell ref="O273:Q273"/>
    <mergeCell ref="R273:T273"/>
    <mergeCell ref="U273:W273"/>
    <mergeCell ref="X273:Z273"/>
    <mergeCell ref="AA273:AC273"/>
    <mergeCell ref="AD273:AF273"/>
    <mergeCell ref="D272:H272"/>
    <mergeCell ref="I272:K272"/>
    <mergeCell ref="L272:N272"/>
    <mergeCell ref="O272:Q272"/>
    <mergeCell ref="R272:T272"/>
    <mergeCell ref="U272:W272"/>
    <mergeCell ref="X272:Z272"/>
    <mergeCell ref="AA272:AC272"/>
    <mergeCell ref="AD272:AF272"/>
    <mergeCell ref="D271:H271"/>
    <mergeCell ref="I271:K271"/>
    <mergeCell ref="L271:N271"/>
    <mergeCell ref="O271:Q271"/>
    <mergeCell ref="R271:T271"/>
    <mergeCell ref="U271:W271"/>
    <mergeCell ref="X271:Z271"/>
    <mergeCell ref="AA271:AC271"/>
    <mergeCell ref="AD271:AF271"/>
    <mergeCell ref="AI269:AM269"/>
    <mergeCell ref="D270:H270"/>
    <mergeCell ref="I270:K270"/>
    <mergeCell ref="L270:N270"/>
    <mergeCell ref="O270:Q270"/>
    <mergeCell ref="R270:T270"/>
    <mergeCell ref="U270:W270"/>
    <mergeCell ref="X270:Z270"/>
    <mergeCell ref="AA270:AC270"/>
    <mergeCell ref="AD270:AF270"/>
    <mergeCell ref="D269:H269"/>
    <mergeCell ref="I269:K269"/>
    <mergeCell ref="L269:N269"/>
    <mergeCell ref="O269:Q269"/>
    <mergeCell ref="R269:T269"/>
    <mergeCell ref="U269:W269"/>
    <mergeCell ref="X269:Z269"/>
    <mergeCell ref="AA269:AC269"/>
    <mergeCell ref="AD269:AF269"/>
    <mergeCell ref="O261:P261"/>
    <mergeCell ref="Q261:Z261"/>
    <mergeCell ref="O262:P262"/>
    <mergeCell ref="AA267:AC267"/>
    <mergeCell ref="AD267:AF267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O258:P258"/>
    <mergeCell ref="Q258:Z258"/>
    <mergeCell ref="AA258:AB258"/>
    <mergeCell ref="O259:P259"/>
    <mergeCell ref="Q259:Z259"/>
    <mergeCell ref="O260:P260"/>
    <mergeCell ref="Q260:Z260"/>
    <mergeCell ref="O253:P253"/>
    <mergeCell ref="Q253:Z253"/>
    <mergeCell ref="AF253:AJ253"/>
    <mergeCell ref="O254:P254"/>
    <mergeCell ref="O256:Z256"/>
    <mergeCell ref="O257:P257"/>
    <mergeCell ref="Q257:Z257"/>
    <mergeCell ref="O250:P250"/>
    <mergeCell ref="Q250:Z250"/>
    <mergeCell ref="AA250:AB250"/>
    <mergeCell ref="O251:P251"/>
    <mergeCell ref="Q251:Z251"/>
    <mergeCell ref="O252:P252"/>
    <mergeCell ref="Q252:Z252"/>
    <mergeCell ref="D242:F242"/>
    <mergeCell ref="D243:F243"/>
    <mergeCell ref="M243:O243"/>
    <mergeCell ref="AD243:AF243"/>
    <mergeCell ref="O248:Z248"/>
    <mergeCell ref="O249:P249"/>
    <mergeCell ref="Q249:Z249"/>
    <mergeCell ref="X240:Z240"/>
    <mergeCell ref="AA240:AC240"/>
    <mergeCell ref="AD240:AF240"/>
    <mergeCell ref="S241:U241"/>
    <mergeCell ref="X241:Z241"/>
    <mergeCell ref="AD241:AF241"/>
    <mergeCell ref="D240:H240"/>
    <mergeCell ref="I240:K240"/>
    <mergeCell ref="L240:N240"/>
    <mergeCell ref="O240:Q240"/>
    <mergeCell ref="R240:T240"/>
    <mergeCell ref="U240:W240"/>
    <mergeCell ref="D239:H239"/>
    <mergeCell ref="I239:K239"/>
    <mergeCell ref="L239:N239"/>
    <mergeCell ref="O239:Q239"/>
    <mergeCell ref="R239:T239"/>
    <mergeCell ref="U239:W239"/>
    <mergeCell ref="X239:Z239"/>
    <mergeCell ref="AA239:AC239"/>
    <mergeCell ref="AD239:AF239"/>
    <mergeCell ref="D238:H238"/>
    <mergeCell ref="I238:K238"/>
    <mergeCell ref="L238:N238"/>
    <mergeCell ref="O238:Q238"/>
    <mergeCell ref="R238:T238"/>
    <mergeCell ref="U238:W238"/>
    <mergeCell ref="X238:Z238"/>
    <mergeCell ref="AA238:AC238"/>
    <mergeCell ref="AD238:AF238"/>
    <mergeCell ref="X236:Z236"/>
    <mergeCell ref="AA236:AC236"/>
    <mergeCell ref="AD236:AF236"/>
    <mergeCell ref="D237:H237"/>
    <mergeCell ref="I237:K237"/>
    <mergeCell ref="L237:N237"/>
    <mergeCell ref="O237:Q237"/>
    <mergeCell ref="R237:T237"/>
    <mergeCell ref="U237:W237"/>
    <mergeCell ref="X237:Z237"/>
    <mergeCell ref="D236:H236"/>
    <mergeCell ref="I236:K236"/>
    <mergeCell ref="L236:N236"/>
    <mergeCell ref="O236:Q236"/>
    <mergeCell ref="R236:T236"/>
    <mergeCell ref="U236:W236"/>
    <mergeCell ref="AA237:AC237"/>
    <mergeCell ref="AD237:AF237"/>
    <mergeCell ref="D235:H235"/>
    <mergeCell ref="I235:K235"/>
    <mergeCell ref="L235:N235"/>
    <mergeCell ref="O235:Q235"/>
    <mergeCell ref="R235:T235"/>
    <mergeCell ref="U235:W235"/>
    <mergeCell ref="X235:Z235"/>
    <mergeCell ref="AA235:AC235"/>
    <mergeCell ref="AD235:AF235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AD234:AF234"/>
    <mergeCell ref="AI232:AK232"/>
    <mergeCell ref="D233:H233"/>
    <mergeCell ref="I233:K233"/>
    <mergeCell ref="L233:N233"/>
    <mergeCell ref="O233:Q233"/>
    <mergeCell ref="R233:T233"/>
    <mergeCell ref="U233:W233"/>
    <mergeCell ref="X233:Z233"/>
    <mergeCell ref="AA233:AC233"/>
    <mergeCell ref="AD233:AF233"/>
    <mergeCell ref="AI233:AK233"/>
    <mergeCell ref="D232:H232"/>
    <mergeCell ref="I232:K232"/>
    <mergeCell ref="L232:N232"/>
    <mergeCell ref="O232:Q232"/>
    <mergeCell ref="R232:T232"/>
    <mergeCell ref="U232:W232"/>
    <mergeCell ref="X232:Z232"/>
    <mergeCell ref="AA232:AC232"/>
    <mergeCell ref="AD232:AF232"/>
    <mergeCell ref="Q225:R225"/>
    <mergeCell ref="AA230:AC230"/>
    <mergeCell ref="AD230:AF230"/>
    <mergeCell ref="D231:H231"/>
    <mergeCell ref="I231:K231"/>
    <mergeCell ref="L231:N231"/>
    <mergeCell ref="O231:Q231"/>
    <mergeCell ref="R231:T231"/>
    <mergeCell ref="U231:W231"/>
    <mergeCell ref="X231:Z231"/>
    <mergeCell ref="C225:D225"/>
    <mergeCell ref="E225:F225"/>
    <mergeCell ref="G225:H225"/>
    <mergeCell ref="I225:J225"/>
    <mergeCell ref="K225:L225"/>
    <mergeCell ref="N225:O225"/>
    <mergeCell ref="AA231:AC231"/>
    <mergeCell ref="AD231:AF231"/>
    <mergeCell ref="AF223:AH223"/>
    <mergeCell ref="C224:D224"/>
    <mergeCell ref="E224:F224"/>
    <mergeCell ref="G224:H224"/>
    <mergeCell ref="I224:J224"/>
    <mergeCell ref="K224:L224"/>
    <mergeCell ref="N224:O224"/>
    <mergeCell ref="Q224:R224"/>
    <mergeCell ref="Q222:R222"/>
    <mergeCell ref="C223:D223"/>
    <mergeCell ref="E223:F223"/>
    <mergeCell ref="G223:H223"/>
    <mergeCell ref="I223:J223"/>
    <mergeCell ref="K223:L223"/>
    <mergeCell ref="N223:O223"/>
    <mergeCell ref="Q223:R223"/>
    <mergeCell ref="C222:D222"/>
    <mergeCell ref="E222:F222"/>
    <mergeCell ref="G222:H222"/>
    <mergeCell ref="I222:J222"/>
    <mergeCell ref="K222:L222"/>
    <mergeCell ref="N222:O222"/>
    <mergeCell ref="Z220:AC220"/>
    <mergeCell ref="C221:D221"/>
    <mergeCell ref="E221:F221"/>
    <mergeCell ref="G221:H221"/>
    <mergeCell ref="I221:J221"/>
    <mergeCell ref="K221:L221"/>
    <mergeCell ref="N221:O221"/>
    <mergeCell ref="Q221:R221"/>
    <mergeCell ref="C220:D220"/>
    <mergeCell ref="E220:F220"/>
    <mergeCell ref="I220:J220"/>
    <mergeCell ref="K220:L220"/>
    <mergeCell ref="N220:O220"/>
    <mergeCell ref="Q220:R220"/>
    <mergeCell ref="Q218:R218"/>
    <mergeCell ref="C219:D219"/>
    <mergeCell ref="E219:F219"/>
    <mergeCell ref="G219:H219"/>
    <mergeCell ref="I219:J219"/>
    <mergeCell ref="K219:L219"/>
    <mergeCell ref="N219:O219"/>
    <mergeCell ref="Q219:R219"/>
    <mergeCell ref="C218:D218"/>
    <mergeCell ref="E218:F218"/>
    <mergeCell ref="G218:H218"/>
    <mergeCell ref="I218:J218"/>
    <mergeCell ref="K218:L218"/>
    <mergeCell ref="N218:O218"/>
    <mergeCell ref="Q216:R216"/>
    <mergeCell ref="AB216:AK216"/>
    <mergeCell ref="C217:D217"/>
    <mergeCell ref="E217:F217"/>
    <mergeCell ref="G217:H217"/>
    <mergeCell ref="I217:J217"/>
    <mergeCell ref="K217:L217"/>
    <mergeCell ref="N217:O217"/>
    <mergeCell ref="Q217:R217"/>
    <mergeCell ref="S217:T217"/>
    <mergeCell ref="C216:D216"/>
    <mergeCell ref="E216:F216"/>
    <mergeCell ref="G216:H216"/>
    <mergeCell ref="I216:J216"/>
    <mergeCell ref="K216:L216"/>
    <mergeCell ref="N216:O216"/>
    <mergeCell ref="S214:T214"/>
    <mergeCell ref="Z214:AC214"/>
    <mergeCell ref="C215:D215"/>
    <mergeCell ref="E215:F215"/>
    <mergeCell ref="I215:J215"/>
    <mergeCell ref="K215:L215"/>
    <mergeCell ref="N215:O215"/>
    <mergeCell ref="Q215:R215"/>
    <mergeCell ref="C214:D214"/>
    <mergeCell ref="E214:F214"/>
    <mergeCell ref="I214:J214"/>
    <mergeCell ref="K214:L214"/>
    <mergeCell ref="N214:O214"/>
    <mergeCell ref="Q214:R214"/>
    <mergeCell ref="C213:D213"/>
    <mergeCell ref="E213:F213"/>
    <mergeCell ref="I213:J213"/>
    <mergeCell ref="K213:L213"/>
    <mergeCell ref="N213:O213"/>
    <mergeCell ref="Q213:R213"/>
    <mergeCell ref="C212:D212"/>
    <mergeCell ref="E212:F212"/>
    <mergeCell ref="I212:J212"/>
    <mergeCell ref="K212:L212"/>
    <mergeCell ref="N212:O212"/>
    <mergeCell ref="Q212:R212"/>
    <mergeCell ref="C211:D211"/>
    <mergeCell ref="E211:F211"/>
    <mergeCell ref="I211:J211"/>
    <mergeCell ref="K211:L211"/>
    <mergeCell ref="N211:O211"/>
    <mergeCell ref="Q211:R211"/>
    <mergeCell ref="Q208:R208"/>
    <mergeCell ref="C209:D209"/>
    <mergeCell ref="E209:F209"/>
    <mergeCell ref="I209:J209"/>
    <mergeCell ref="K209:L209"/>
    <mergeCell ref="N209:O209"/>
    <mergeCell ref="Q209:R209"/>
    <mergeCell ref="O202:P202"/>
    <mergeCell ref="C205:D207"/>
    <mergeCell ref="E205:F207"/>
    <mergeCell ref="G205:H209"/>
    <mergeCell ref="I205:J207"/>
    <mergeCell ref="K205:L207"/>
    <mergeCell ref="N205:O207"/>
    <mergeCell ref="AA198:AB198"/>
    <mergeCell ref="O199:P199"/>
    <mergeCell ref="Q199:Z199"/>
    <mergeCell ref="O200:P200"/>
    <mergeCell ref="Q200:Z200"/>
    <mergeCell ref="O201:P201"/>
    <mergeCell ref="Q201:Z201"/>
    <mergeCell ref="Q205:R207"/>
    <mergeCell ref="U205:U210"/>
    <mergeCell ref="V205:V210"/>
    <mergeCell ref="W205:W210"/>
    <mergeCell ref="X205:X210"/>
    <mergeCell ref="C208:D208"/>
    <mergeCell ref="E208:F208"/>
    <mergeCell ref="I208:J208"/>
    <mergeCell ref="K208:L208"/>
    <mergeCell ref="N208:O208"/>
    <mergeCell ref="O194:P194"/>
    <mergeCell ref="O196:Z196"/>
    <mergeCell ref="O197:P197"/>
    <mergeCell ref="Q197:Z197"/>
    <mergeCell ref="O198:P198"/>
    <mergeCell ref="Q198:Z198"/>
    <mergeCell ref="AA190:AB190"/>
    <mergeCell ref="O191:P191"/>
    <mergeCell ref="Q191:Z191"/>
    <mergeCell ref="O192:P192"/>
    <mergeCell ref="Q192:Z192"/>
    <mergeCell ref="O193:P193"/>
    <mergeCell ref="Q193:Z193"/>
    <mergeCell ref="O183:P183"/>
    <mergeCell ref="O188:Z188"/>
    <mergeCell ref="O189:P189"/>
    <mergeCell ref="Q189:Z189"/>
    <mergeCell ref="O190:P190"/>
    <mergeCell ref="Q190:Z190"/>
    <mergeCell ref="O180:P180"/>
    <mergeCell ref="Q180:Z180"/>
    <mergeCell ref="O181:P181"/>
    <mergeCell ref="Q181:Z181"/>
    <mergeCell ref="O182:P182"/>
    <mergeCell ref="Q182:Z182"/>
    <mergeCell ref="O177:Z177"/>
    <mergeCell ref="O178:P178"/>
    <mergeCell ref="Q178:Z178"/>
    <mergeCell ref="O179:P179"/>
    <mergeCell ref="Q179:Z179"/>
    <mergeCell ref="AA179:AB179"/>
    <mergeCell ref="O174:P174"/>
    <mergeCell ref="Q174:Z174"/>
    <mergeCell ref="AG174:AH174"/>
    <mergeCell ref="AJ174:AK174"/>
    <mergeCell ref="O175:P175"/>
    <mergeCell ref="AK175:AL175"/>
    <mergeCell ref="O172:P172"/>
    <mergeCell ref="Q172:Z172"/>
    <mergeCell ref="AG172:AH172"/>
    <mergeCell ref="AJ172:AK172"/>
    <mergeCell ref="O173:P173"/>
    <mergeCell ref="Q173:Z173"/>
    <mergeCell ref="AG173:AH173"/>
    <mergeCell ref="AJ173:AK173"/>
    <mergeCell ref="AG170:AH170"/>
    <mergeCell ref="AJ170:AK170"/>
    <mergeCell ref="O171:P171"/>
    <mergeCell ref="Q171:Z171"/>
    <mergeCell ref="AA171:AB171"/>
    <mergeCell ref="AG171:AH171"/>
    <mergeCell ref="AJ171:AK171"/>
    <mergeCell ref="O162:P162"/>
    <mergeCell ref="Q162:Z162"/>
    <mergeCell ref="O163:P163"/>
    <mergeCell ref="H167:N167"/>
    <mergeCell ref="O169:Z169"/>
    <mergeCell ref="O170:P170"/>
    <mergeCell ref="Q170:Z170"/>
    <mergeCell ref="O159:P159"/>
    <mergeCell ref="Q159:Z159"/>
    <mergeCell ref="AA159:AB159"/>
    <mergeCell ref="O160:P160"/>
    <mergeCell ref="Q160:Z160"/>
    <mergeCell ref="O161:P161"/>
    <mergeCell ref="Q161:Z161"/>
    <mergeCell ref="O154:P154"/>
    <mergeCell ref="Q154:Z154"/>
    <mergeCell ref="AF154:AJ154"/>
    <mergeCell ref="O155:P155"/>
    <mergeCell ref="O157:Z157"/>
    <mergeCell ref="O158:P158"/>
    <mergeCell ref="Q158:Z158"/>
    <mergeCell ref="O151:P151"/>
    <mergeCell ref="Q151:Z151"/>
    <mergeCell ref="AA151:AB151"/>
    <mergeCell ref="O152:P152"/>
    <mergeCell ref="Q152:Z152"/>
    <mergeCell ref="O153:P153"/>
    <mergeCell ref="Q153:Z153"/>
    <mergeCell ref="O144:P144"/>
    <mergeCell ref="Q144:Z144"/>
    <mergeCell ref="O145:P145"/>
    <mergeCell ref="H147:N147"/>
    <mergeCell ref="O149:Z149"/>
    <mergeCell ref="O150:P150"/>
    <mergeCell ref="Q150:Z150"/>
    <mergeCell ref="O141:P141"/>
    <mergeCell ref="Q141:Z141"/>
    <mergeCell ref="AA141:AB141"/>
    <mergeCell ref="O142:P142"/>
    <mergeCell ref="Q142:Z142"/>
    <mergeCell ref="O143:P143"/>
    <mergeCell ref="Q143:Z143"/>
    <mergeCell ref="O136:P136"/>
    <mergeCell ref="Q136:Z136"/>
    <mergeCell ref="O137:P137"/>
    <mergeCell ref="O139:Z139"/>
    <mergeCell ref="O140:P140"/>
    <mergeCell ref="Q140:Z140"/>
    <mergeCell ref="O133:P133"/>
    <mergeCell ref="Q133:Z133"/>
    <mergeCell ref="AA133:AB133"/>
    <mergeCell ref="O134:P134"/>
    <mergeCell ref="Q134:Z134"/>
    <mergeCell ref="O135:P135"/>
    <mergeCell ref="Q135:Z135"/>
    <mergeCell ref="O125:P125"/>
    <mergeCell ref="Q125:Z125"/>
    <mergeCell ref="O126:P126"/>
    <mergeCell ref="H129:N129"/>
    <mergeCell ref="O131:Z131"/>
    <mergeCell ref="O132:P132"/>
    <mergeCell ref="Q132:Z132"/>
    <mergeCell ref="O122:P122"/>
    <mergeCell ref="Q122:Z122"/>
    <mergeCell ref="AA122:AB122"/>
    <mergeCell ref="O123:P123"/>
    <mergeCell ref="Q123:Z123"/>
    <mergeCell ref="O124:P124"/>
    <mergeCell ref="Q124:Z124"/>
    <mergeCell ref="O118:P118"/>
    <mergeCell ref="AE118:AG118"/>
    <mergeCell ref="AI118:AK118"/>
    <mergeCell ref="O120:Z120"/>
    <mergeCell ref="O121:P121"/>
    <mergeCell ref="Q121:Z121"/>
    <mergeCell ref="O116:P116"/>
    <mergeCell ref="Q116:Z116"/>
    <mergeCell ref="AE116:AG116"/>
    <mergeCell ref="AI116:AK116"/>
    <mergeCell ref="O117:P117"/>
    <mergeCell ref="Q117:Z117"/>
    <mergeCell ref="AE117:AG117"/>
    <mergeCell ref="AI117:AK117"/>
    <mergeCell ref="O115:P115"/>
    <mergeCell ref="Q115:Z115"/>
    <mergeCell ref="AE115:AG115"/>
    <mergeCell ref="AI115:AK115"/>
    <mergeCell ref="AL115:AN115"/>
    <mergeCell ref="AO115:AQ115"/>
    <mergeCell ref="AI113:AK113"/>
    <mergeCell ref="AL113:AN113"/>
    <mergeCell ref="AO113:AQ113"/>
    <mergeCell ref="O114:P114"/>
    <mergeCell ref="Q114:Z114"/>
    <mergeCell ref="AA114:AB114"/>
    <mergeCell ref="AE114:AG114"/>
    <mergeCell ref="AI114:AK114"/>
    <mergeCell ref="AL114:AN114"/>
    <mergeCell ref="AO114:AQ114"/>
    <mergeCell ref="O108:P108"/>
    <mergeCell ref="H110:N110"/>
    <mergeCell ref="O112:Z112"/>
    <mergeCell ref="O113:P113"/>
    <mergeCell ref="Q113:Z113"/>
    <mergeCell ref="AE113:AG113"/>
    <mergeCell ref="AA104:AB104"/>
    <mergeCell ref="O105:P105"/>
    <mergeCell ref="Q105:Z105"/>
    <mergeCell ref="O106:P106"/>
    <mergeCell ref="Q106:Z106"/>
    <mergeCell ref="O107:P107"/>
    <mergeCell ref="Q107:Z107"/>
    <mergeCell ref="O100:P100"/>
    <mergeCell ref="O102:Z102"/>
    <mergeCell ref="O103:P103"/>
    <mergeCell ref="Q103:Z103"/>
    <mergeCell ref="O104:P104"/>
    <mergeCell ref="Q104:Z104"/>
    <mergeCell ref="AA96:AB96"/>
    <mergeCell ref="O97:P97"/>
    <mergeCell ref="Q97:Z97"/>
    <mergeCell ref="O98:P98"/>
    <mergeCell ref="Q98:Z98"/>
    <mergeCell ref="O99:P99"/>
    <mergeCell ref="Q99:Z99"/>
    <mergeCell ref="H92:N92"/>
    <mergeCell ref="O94:Z94"/>
    <mergeCell ref="O95:P95"/>
    <mergeCell ref="Q95:Z95"/>
    <mergeCell ref="O96:P96"/>
    <mergeCell ref="Q96:Z96"/>
    <mergeCell ref="Q89:R89"/>
    <mergeCell ref="C90:D90"/>
    <mergeCell ref="E90:F90"/>
    <mergeCell ref="G90:H90"/>
    <mergeCell ref="I90:J90"/>
    <mergeCell ref="K90:L90"/>
    <mergeCell ref="N90:O90"/>
    <mergeCell ref="Q90:R90"/>
    <mergeCell ref="C89:D89"/>
    <mergeCell ref="E89:F89"/>
    <mergeCell ref="G89:H89"/>
    <mergeCell ref="I89:J89"/>
    <mergeCell ref="K89:L89"/>
    <mergeCell ref="N89:O89"/>
    <mergeCell ref="Q87:R87"/>
    <mergeCell ref="C88:D88"/>
    <mergeCell ref="E88:F88"/>
    <mergeCell ref="G88:H88"/>
    <mergeCell ref="I88:J88"/>
    <mergeCell ref="K88:L88"/>
    <mergeCell ref="N88:O88"/>
    <mergeCell ref="Q88:R88"/>
    <mergeCell ref="C87:D87"/>
    <mergeCell ref="E87:F87"/>
    <mergeCell ref="G87:H87"/>
    <mergeCell ref="I87:J87"/>
    <mergeCell ref="K87:L87"/>
    <mergeCell ref="N87:O87"/>
    <mergeCell ref="C86:D86"/>
    <mergeCell ref="E86:F86"/>
    <mergeCell ref="I86:J86"/>
    <mergeCell ref="K86:L86"/>
    <mergeCell ref="N86:O86"/>
    <mergeCell ref="Q86:R86"/>
    <mergeCell ref="Q84:R84"/>
    <mergeCell ref="C85:D85"/>
    <mergeCell ref="E85:F85"/>
    <mergeCell ref="G85:H85"/>
    <mergeCell ref="I85:J85"/>
    <mergeCell ref="K85:L85"/>
    <mergeCell ref="N85:O85"/>
    <mergeCell ref="Q85:R85"/>
    <mergeCell ref="C84:D84"/>
    <mergeCell ref="E84:F84"/>
    <mergeCell ref="G84:H84"/>
    <mergeCell ref="I84:J84"/>
    <mergeCell ref="K84:L84"/>
    <mergeCell ref="N84:O84"/>
    <mergeCell ref="Q82:R82"/>
    <mergeCell ref="Y82:Z82"/>
    <mergeCell ref="C83:D83"/>
    <mergeCell ref="E83:F83"/>
    <mergeCell ref="G83:H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Q80:R80"/>
    <mergeCell ref="Y80:Z80"/>
    <mergeCell ref="C81:D81"/>
    <mergeCell ref="E81:F81"/>
    <mergeCell ref="G81:H81"/>
    <mergeCell ref="I81:J81"/>
    <mergeCell ref="K81:L81"/>
    <mergeCell ref="N81:O81"/>
    <mergeCell ref="Q81:R81"/>
    <mergeCell ref="Y81:Z81"/>
    <mergeCell ref="C80:D80"/>
    <mergeCell ref="E80:F80"/>
    <mergeCell ref="G80:H80"/>
    <mergeCell ref="I80:J80"/>
    <mergeCell ref="K80:L80"/>
    <mergeCell ref="N80:O80"/>
    <mergeCell ref="C79:D79"/>
    <mergeCell ref="E79:F79"/>
    <mergeCell ref="G79:H79"/>
    <mergeCell ref="I79:J79"/>
    <mergeCell ref="K79:L79"/>
    <mergeCell ref="N79:O79"/>
    <mergeCell ref="Q79:R79"/>
    <mergeCell ref="Q77:R77"/>
    <mergeCell ref="C78:D78"/>
    <mergeCell ref="E78:F78"/>
    <mergeCell ref="G78:H78"/>
    <mergeCell ref="I78:J78"/>
    <mergeCell ref="K78:L78"/>
    <mergeCell ref="N78:O78"/>
    <mergeCell ref="Q78:R78"/>
    <mergeCell ref="C77:D77"/>
    <mergeCell ref="E77:F77"/>
    <mergeCell ref="G77:H77"/>
    <mergeCell ref="I77:J77"/>
    <mergeCell ref="K77:L77"/>
    <mergeCell ref="N77:O77"/>
    <mergeCell ref="Y73:Z73"/>
    <mergeCell ref="C74:D74"/>
    <mergeCell ref="E74:F74"/>
    <mergeCell ref="I74:J74"/>
    <mergeCell ref="K74:L74"/>
    <mergeCell ref="N74:O74"/>
    <mergeCell ref="Q74:R74"/>
    <mergeCell ref="Y74:Z74"/>
    <mergeCell ref="S78:T78"/>
    <mergeCell ref="S75:T75"/>
    <mergeCell ref="Y75:Z75"/>
    <mergeCell ref="C76:D76"/>
    <mergeCell ref="E76:F76"/>
    <mergeCell ref="I76:J76"/>
    <mergeCell ref="K76:L76"/>
    <mergeCell ref="N76:O76"/>
    <mergeCell ref="Q76:R76"/>
    <mergeCell ref="C75:D75"/>
    <mergeCell ref="E75:F75"/>
    <mergeCell ref="I75:J75"/>
    <mergeCell ref="K75:L75"/>
    <mergeCell ref="N75:O75"/>
    <mergeCell ref="Q75:R75"/>
    <mergeCell ref="C73:D73"/>
    <mergeCell ref="E73:F73"/>
    <mergeCell ref="I73:J73"/>
    <mergeCell ref="K73:L73"/>
    <mergeCell ref="N73:O73"/>
    <mergeCell ref="Q73:R73"/>
    <mergeCell ref="AR62:AS62"/>
    <mergeCell ref="AW62:AX62"/>
    <mergeCell ref="AK63:AL63"/>
    <mergeCell ref="C67:D69"/>
    <mergeCell ref="E67:F69"/>
    <mergeCell ref="G67:H71"/>
    <mergeCell ref="I67:J69"/>
    <mergeCell ref="K67:L69"/>
    <mergeCell ref="N67:O69"/>
    <mergeCell ref="Q67:R69"/>
    <mergeCell ref="C71:D71"/>
    <mergeCell ref="E71:F71"/>
    <mergeCell ref="I71:J71"/>
    <mergeCell ref="K71:L71"/>
    <mergeCell ref="N71:O71"/>
    <mergeCell ref="Q71:R71"/>
    <mergeCell ref="U67:U72"/>
    <mergeCell ref="V67:V72"/>
    <mergeCell ref="W67:W72"/>
    <mergeCell ref="X67:X72"/>
    <mergeCell ref="C70:D70"/>
    <mergeCell ref="E70:F70"/>
    <mergeCell ref="I70:J70"/>
    <mergeCell ref="K70:L70"/>
    <mergeCell ref="AP58:AQ58"/>
    <mergeCell ref="AR58:AS58"/>
    <mergeCell ref="C60:J61"/>
    <mergeCell ref="K60:L61"/>
    <mergeCell ref="M60:T61"/>
    <mergeCell ref="U60:V61"/>
    <mergeCell ref="W60:AD61"/>
    <mergeCell ref="AE60:AF61"/>
    <mergeCell ref="N70:O70"/>
    <mergeCell ref="Q70:R70"/>
    <mergeCell ref="AR48:AS48"/>
    <mergeCell ref="AW49:AX50"/>
    <mergeCell ref="C56:J57"/>
    <mergeCell ref="K56:L57"/>
    <mergeCell ref="M56:T57"/>
    <mergeCell ref="U56:V57"/>
    <mergeCell ref="W56:AD57"/>
    <mergeCell ref="AE56:AF57"/>
    <mergeCell ref="AG56:AN57"/>
    <mergeCell ref="AO56:AO57"/>
    <mergeCell ref="AR45:AS45"/>
    <mergeCell ref="AW45:AX45"/>
    <mergeCell ref="AR46:AS46"/>
    <mergeCell ref="AW46:AX46"/>
    <mergeCell ref="AR47:AS47"/>
    <mergeCell ref="AW47:AX47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5:AS35"/>
    <mergeCell ref="AW35:AX35"/>
    <mergeCell ref="Z29:Z32"/>
    <mergeCell ref="AA29:AB32"/>
    <mergeCell ref="AC29:AC32"/>
    <mergeCell ref="AD29:AD32"/>
    <mergeCell ref="AE29:AE32"/>
    <mergeCell ref="AF29:AF32"/>
    <mergeCell ref="AT27:AT32"/>
    <mergeCell ref="AW27:AX32"/>
    <mergeCell ref="AE27:AF28"/>
    <mergeCell ref="K29:K32"/>
    <mergeCell ref="L29:L32"/>
    <mergeCell ref="M29:N32"/>
    <mergeCell ref="O29:O32"/>
    <mergeCell ref="P29:P32"/>
    <mergeCell ref="Q29:R32"/>
    <mergeCell ref="AR33:AS33"/>
    <mergeCell ref="AW33:AX33"/>
    <mergeCell ref="AR34:AS34"/>
    <mergeCell ref="AW34:AX34"/>
    <mergeCell ref="AH27:AH32"/>
    <mergeCell ref="AI27:AI32"/>
    <mergeCell ref="AJ27:AJ32"/>
    <mergeCell ref="AK27:AK32"/>
    <mergeCell ref="AL27:AL32"/>
    <mergeCell ref="S29:S32"/>
    <mergeCell ref="T29:T32"/>
    <mergeCell ref="U29:U32"/>
    <mergeCell ref="V29:V32"/>
    <mergeCell ref="W29:X32"/>
    <mergeCell ref="Y29:Y32"/>
    <mergeCell ref="AP25:AQ25"/>
    <mergeCell ref="AR25:AS25"/>
    <mergeCell ref="BE26:BE27"/>
    <mergeCell ref="BF26:BF27"/>
    <mergeCell ref="B27:B32"/>
    <mergeCell ref="C27:J28"/>
    <mergeCell ref="K27:L28"/>
    <mergeCell ref="M27:T28"/>
    <mergeCell ref="U27:V28"/>
    <mergeCell ref="W27:AD28"/>
    <mergeCell ref="AZ27:BC27"/>
    <mergeCell ref="AZ28:BB29"/>
    <mergeCell ref="C29:D32"/>
    <mergeCell ref="E29:E32"/>
    <mergeCell ref="F29:F32"/>
    <mergeCell ref="G29:H32"/>
    <mergeCell ref="I29:I32"/>
    <mergeCell ref="J29:J32"/>
    <mergeCell ref="AM27:AM32"/>
    <mergeCell ref="AN27:AN32"/>
    <mergeCell ref="AO27:AO32"/>
    <mergeCell ref="AP27:AP32"/>
    <mergeCell ref="AQ27:AQ32"/>
    <mergeCell ref="AR27:AS32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</mergeCells>
  <conditionalFormatting sqref="AP204:AP207 AH62 AP62 AH33:AH50 AP33:AP50">
    <cfRule type="cellIs" dxfId="31" priority="16" stopIfTrue="1" operator="lessThanOrEqual">
      <formula>0</formula>
    </cfRule>
  </conditionalFormatting>
  <conditionalFormatting sqref="L292:L293 K263:L263 K292:K295 L295 K163:L164 K280:L283 K184:L184 K90:L146 K203:L245 K80:K83 K86:K89 K84:L85">
    <cfRule type="cellIs" dxfId="30" priority="15" stopIfTrue="1" operator="greaterThanOrEqual">
      <formula>$K$74</formula>
    </cfRule>
  </conditionalFormatting>
  <conditionalFormatting sqref="AR50:AT50 AR48:AT48 AP58:AT59 AR62:AS62 AR47:AS47 AR33:AS33 AS39 AS41 AR34:AR46 AP11:AT27 AT5">
    <cfRule type="cellIs" dxfId="29" priority="14" stopIfTrue="1" operator="lessThan">
      <formula>0</formula>
    </cfRule>
  </conditionalFormatting>
  <conditionalFormatting sqref="P204:P206 AJ58:AJ59 F62 Z62 F58:F60 P62:P68 P58:P60 Z58:Z60 P33:P55 F33:F50 Z33:Z50 F11:F26 AJ11:AJ27 P11:P27 Z11:Z27">
    <cfRule type="cellIs" dxfId="28" priority="13" stopIfTrue="1" operator="lessThanOrEqual">
      <formula>0</formula>
    </cfRule>
  </conditionalFormatting>
  <conditionalFormatting sqref="S204:S206 AM58:AM59 AC62 I62 AC58:AC60 S62:S68 S58:S60 I58:I60 S33:S55 I33:I50 AC33:AC50 AM11:AM27 I11:I26 S11:S27 AC11:AC27">
    <cfRule type="cellIs" dxfId="27" priority="12" stopIfTrue="1" operator="lessThanOrEqual">
      <formula>0</formula>
    </cfRule>
  </conditionalFormatting>
  <conditionalFormatting sqref="U204:V206 K58:L60 AO58:AO59 AE58:AE59 K62:L62 AE62:AF62 U62:V68 AE60:AF60 U58:V60 K48:L50 AE48:AF50 U48:V56 AF46 L46 V46 U43:V43 AE43:AF43 U44:U47 AE44:AE47 V39:V42 U33:V33 K26:L27 AE26:AF27 K33:L33 U26:V27 AE33:AF33 L24 V24 L40:L42 AE34:AE42 U34:U42 AF40:AF42 K34:K47 K16:L19 L20 V16:V20 AE13:AF13 K11:L11 AE11:AE12 U11:V11 K12:K15 K20:K25 AO11:AO27 U12:U25 AE14:AE25">
    <cfRule type="cellIs" dxfId="26" priority="11" stopIfTrue="1" operator="lessThanOrEqual">
      <formula>0</formula>
    </cfRule>
  </conditionalFormatting>
  <conditionalFormatting sqref="W214:X223 Z204:AA206 W225:X225 Z63:AA63 AA68:AB70 AA73:AB75 Z51:AA55 W88:X90 W75:X86">
    <cfRule type="cellIs" dxfId="25" priority="10" stopIfTrue="1" operator="lessThan">
      <formula>0</formula>
    </cfRule>
  </conditionalFormatting>
  <conditionalFormatting sqref="X204:X206 U225 U214:U223 X63:X68 X51 X53:X55 U88:U90 U75:U86">
    <cfRule type="cellIs" dxfId="24" priority="9" stopIfTrue="1" operator="greaterThan">
      <formula>48</formula>
    </cfRule>
  </conditionalFormatting>
  <conditionalFormatting sqref="C280:C284 C292:D295 C163:D163 D280:D291 C91:D146 C245:D245 C226:D226">
    <cfRule type="cellIs" dxfId="23" priority="8" stopIfTrue="1" operator="lessThan">
      <formula>$C$73</formula>
    </cfRule>
  </conditionalFormatting>
  <conditionalFormatting sqref="AI62:AO62 AI33:AO50">
    <cfRule type="cellIs" dxfId="22" priority="6" stopIfTrue="1" operator="equal">
      <formula>0</formula>
    </cfRule>
    <cfRule type="cellIs" dxfId="21" priority="7" stopIfTrue="1" operator="lessThan">
      <formula>0</formula>
    </cfRule>
  </conditionalFormatting>
  <conditionalFormatting sqref="AT62 AT33:AT47">
    <cfRule type="cellIs" dxfId="20" priority="4" stopIfTrue="1" operator="greaterThan">
      <formula>0</formula>
    </cfRule>
    <cfRule type="cellIs" dxfId="19" priority="5" stopIfTrue="1" operator="lessThan">
      <formula>1</formula>
    </cfRule>
  </conditionalFormatting>
  <conditionalFormatting sqref="K211:L221 K224:L224 K73:L89">
    <cfRule type="cellIs" dxfId="18" priority="3" stopIfTrue="1" operator="greaterThanOrEqual">
      <formula>$K$71</formula>
    </cfRule>
  </conditionalFormatting>
  <conditionalFormatting sqref="AF58:AF59 V33:V47 L33:L47 AF33:AF47 L12:L25 AF11:AF25 V12:V25">
    <cfRule type="cellIs" dxfId="17" priority="1" stopIfTrue="1" operator="equal">
      <formula>0</formula>
    </cfRule>
    <cfRule type="cellIs" dxfId="16" priority="2" stopIfTrue="1" operator="lessThan">
      <formula>0</formula>
    </cfRule>
  </conditionalFormatting>
  <hyperlinks>
    <hyperlink ref="AB216" r:id="rId1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P19:AT23 AF15 AK37" formula="1"/>
  </ignoredErrors>
  <drawing r:id="rId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H282"/>
  <sheetViews>
    <sheetView zoomScale="95" zoomScaleNormal="95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Z37" sqref="Z37"/>
    </sheetView>
  </sheetViews>
  <sheetFormatPr baseColWidth="10" defaultRowHeight="15"/>
  <cols>
    <col min="1" max="1" width="2.28515625" style="1" customWidth="1"/>
    <col min="2" max="2" width="13.7109375" style="7" customWidth="1"/>
    <col min="3" max="4" width="4.28515625" style="3" customWidth="1"/>
    <col min="5" max="5" width="4.28515625" style="4" customWidth="1"/>
    <col min="6" max="6" width="4.28515625" style="5" customWidth="1"/>
    <col min="7" max="8" width="4.28515625" style="3" customWidth="1"/>
    <col min="9" max="9" width="4.28515625" style="5" customWidth="1"/>
    <col min="10" max="10" width="4.28515625" style="3" customWidth="1"/>
    <col min="11" max="12" width="4.28515625" style="6" customWidth="1"/>
    <col min="13" max="26" width="4.28515625" style="3" customWidth="1"/>
    <col min="27" max="39" width="4.28515625" style="7" customWidth="1"/>
    <col min="40" max="40" width="4.7109375" style="7" customWidth="1"/>
    <col min="41" max="41" width="4.28515625" style="7" customWidth="1"/>
    <col min="42" max="42" width="4.7109375" style="7" customWidth="1"/>
    <col min="43" max="43" width="0.5703125" style="7" customWidth="1"/>
    <col min="44" max="45" width="4.140625" style="7" customWidth="1"/>
    <col min="46" max="46" width="7.7109375" style="7" customWidth="1"/>
    <col min="47" max="47" width="0.85546875" style="7" customWidth="1"/>
    <col min="48" max="54" width="2.7109375" style="7" customWidth="1"/>
    <col min="55" max="55" width="0.85546875" style="7" customWidth="1"/>
    <col min="56" max="56" width="8.42578125" style="7" bestFit="1" customWidth="1"/>
    <col min="57" max="57" width="10.28515625" style="7" customWidth="1"/>
    <col min="58" max="59" width="11.42578125" style="7"/>
    <col min="60" max="62" width="12.7109375" style="7" customWidth="1"/>
    <col min="63" max="16384" width="11.42578125" style="7"/>
  </cols>
  <sheetData>
    <row r="1" spans="1:58" ht="6" customHeight="1">
      <c r="B1" s="2">
        <f>+W27</f>
        <v>43831</v>
      </c>
      <c r="C1" s="3" t="s">
        <v>0</v>
      </c>
      <c r="AN1" s="8"/>
      <c r="AO1" s="8"/>
      <c r="AR1" s="1198">
        <f>+AR48+AT48</f>
        <v>141.9999999999998</v>
      </c>
      <c r="AS1" s="1199"/>
      <c r="AT1" s="1199"/>
      <c r="AU1" s="1200"/>
    </row>
    <row r="2" spans="1:58" ht="6" customHeight="1">
      <c r="AJ2" s="8"/>
      <c r="AK2" s="8"/>
      <c r="AL2" s="8"/>
      <c r="AM2" s="8"/>
      <c r="AN2" s="8"/>
      <c r="AO2" s="8"/>
      <c r="AR2" s="1201"/>
      <c r="AS2" s="1202"/>
      <c r="AT2" s="1202"/>
      <c r="AU2" s="1203"/>
    </row>
    <row r="3" spans="1:58" s="10" customFormat="1" ht="20.100000000000001" customHeight="1">
      <c r="A3" s="1"/>
      <c r="B3" s="740">
        <f>+B1+1</f>
        <v>43832</v>
      </c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740"/>
      <c r="AB3" s="740"/>
      <c r="AC3" s="740"/>
      <c r="AD3" s="740"/>
      <c r="AE3" s="740"/>
      <c r="AF3" s="740"/>
      <c r="AG3" s="740"/>
      <c r="AH3" s="740"/>
      <c r="AI3" s="740"/>
      <c r="AJ3" s="740"/>
      <c r="AK3" s="740"/>
      <c r="AL3" s="740"/>
      <c r="AM3" s="740"/>
      <c r="AN3" s="740"/>
      <c r="AO3" s="740"/>
      <c r="AP3" s="9"/>
      <c r="AT3" s="11"/>
    </row>
    <row r="4" spans="1:58" ht="3" customHeight="1" thickBot="1">
      <c r="B4" s="12"/>
      <c r="C4" s="3">
        <v>0</v>
      </c>
    </row>
    <row r="5" spans="1:58" ht="9.9499999999999993" customHeight="1">
      <c r="B5" s="741" t="s">
        <v>1</v>
      </c>
      <c r="C5" s="744">
        <v>43825</v>
      </c>
      <c r="D5" s="744"/>
      <c r="E5" s="744"/>
      <c r="F5" s="744"/>
      <c r="G5" s="744"/>
      <c r="H5" s="744"/>
      <c r="I5" s="744"/>
      <c r="J5" s="744"/>
      <c r="K5" s="746"/>
      <c r="L5" s="747"/>
      <c r="M5" s="744">
        <f>1+C5</f>
        <v>43826</v>
      </c>
      <c r="N5" s="744"/>
      <c r="O5" s="744"/>
      <c r="P5" s="744"/>
      <c r="Q5" s="744"/>
      <c r="R5" s="744"/>
      <c r="S5" s="744"/>
      <c r="T5" s="744"/>
      <c r="U5" s="746"/>
      <c r="V5" s="747"/>
      <c r="W5" s="750">
        <f>1+M5</f>
        <v>43827</v>
      </c>
      <c r="X5" s="750"/>
      <c r="Y5" s="750"/>
      <c r="Z5" s="750"/>
      <c r="AA5" s="750"/>
      <c r="AB5" s="750"/>
      <c r="AC5" s="750"/>
      <c r="AD5" s="750"/>
      <c r="AE5" s="752"/>
      <c r="AF5" s="753"/>
      <c r="AG5" s="756">
        <f>1+W5</f>
        <v>43828</v>
      </c>
      <c r="AH5" s="757"/>
      <c r="AI5" s="757"/>
      <c r="AJ5" s="757"/>
      <c r="AK5" s="757"/>
      <c r="AL5" s="757"/>
      <c r="AM5" s="757"/>
      <c r="AN5" s="757"/>
      <c r="AO5" s="791" t="s">
        <v>2</v>
      </c>
      <c r="AP5" s="793" t="s">
        <v>3</v>
      </c>
      <c r="AQ5" s="794"/>
      <c r="AR5" s="794"/>
      <c r="AS5" s="795"/>
      <c r="AT5" s="802" t="s">
        <v>4</v>
      </c>
      <c r="AV5" s="779" t="s">
        <v>5</v>
      </c>
      <c r="AW5" s="779"/>
      <c r="AX5" s="779"/>
      <c r="AY5" s="779"/>
      <c r="AZ5" s="779"/>
      <c r="BA5" s="779"/>
      <c r="BB5" s="779"/>
      <c r="BC5" s="13"/>
      <c r="BD5" s="804" t="s">
        <v>6</v>
      </c>
      <c r="BE5" s="805" t="s">
        <v>7</v>
      </c>
      <c r="BF5" s="776" t="s">
        <v>8</v>
      </c>
    </row>
    <row r="6" spans="1:58" ht="9.9499999999999993" customHeight="1">
      <c r="B6" s="742"/>
      <c r="C6" s="745"/>
      <c r="D6" s="745"/>
      <c r="E6" s="745"/>
      <c r="F6" s="745"/>
      <c r="G6" s="745"/>
      <c r="H6" s="745"/>
      <c r="I6" s="745"/>
      <c r="J6" s="745"/>
      <c r="K6" s="748"/>
      <c r="L6" s="749"/>
      <c r="M6" s="745"/>
      <c r="N6" s="745"/>
      <c r="O6" s="745"/>
      <c r="P6" s="745"/>
      <c r="Q6" s="745"/>
      <c r="R6" s="745"/>
      <c r="S6" s="745"/>
      <c r="T6" s="745"/>
      <c r="U6" s="748"/>
      <c r="V6" s="749"/>
      <c r="W6" s="751"/>
      <c r="X6" s="751"/>
      <c r="Y6" s="751"/>
      <c r="Z6" s="751"/>
      <c r="AA6" s="751"/>
      <c r="AB6" s="751"/>
      <c r="AC6" s="751"/>
      <c r="AD6" s="751"/>
      <c r="AE6" s="754"/>
      <c r="AF6" s="755"/>
      <c r="AG6" s="758"/>
      <c r="AH6" s="759"/>
      <c r="AI6" s="759"/>
      <c r="AJ6" s="759"/>
      <c r="AK6" s="759"/>
      <c r="AL6" s="759"/>
      <c r="AM6" s="759"/>
      <c r="AN6" s="759"/>
      <c r="AO6" s="792"/>
      <c r="AP6" s="796"/>
      <c r="AQ6" s="797"/>
      <c r="AR6" s="797"/>
      <c r="AS6" s="798"/>
      <c r="AT6" s="803"/>
      <c r="AV6" s="779" t="s">
        <v>9</v>
      </c>
      <c r="AW6" s="779"/>
      <c r="AX6" s="779"/>
      <c r="AY6" s="779"/>
      <c r="AZ6" s="779"/>
      <c r="BA6" s="779"/>
      <c r="BB6" s="779"/>
      <c r="BC6" s="13"/>
      <c r="BD6" s="804"/>
      <c r="BE6" s="805"/>
      <c r="BF6" s="777"/>
    </row>
    <row r="7" spans="1:58" ht="15.2" customHeight="1">
      <c r="B7" s="742"/>
      <c r="C7" s="780" t="s">
        <v>10</v>
      </c>
      <c r="D7" s="781"/>
      <c r="E7" s="766" t="s">
        <v>11</v>
      </c>
      <c r="F7" s="769" t="s">
        <v>12</v>
      </c>
      <c r="G7" s="772" t="s">
        <v>10</v>
      </c>
      <c r="H7" s="761"/>
      <c r="I7" s="769" t="s">
        <v>12</v>
      </c>
      <c r="J7" s="773" t="s">
        <v>13</v>
      </c>
      <c r="K7" s="786" t="s">
        <v>14</v>
      </c>
      <c r="L7" s="789" t="s">
        <v>15</v>
      </c>
      <c r="M7" s="760" t="s">
        <v>10</v>
      </c>
      <c r="N7" s="761"/>
      <c r="O7" s="766" t="s">
        <v>11</v>
      </c>
      <c r="P7" s="769" t="s">
        <v>12</v>
      </c>
      <c r="Q7" s="772" t="s">
        <v>10</v>
      </c>
      <c r="R7" s="761"/>
      <c r="S7" s="769" t="s">
        <v>12</v>
      </c>
      <c r="T7" s="773" t="s">
        <v>13</v>
      </c>
      <c r="U7" s="786" t="s">
        <v>14</v>
      </c>
      <c r="V7" s="789" t="s">
        <v>15</v>
      </c>
      <c r="W7" s="814" t="s">
        <v>10</v>
      </c>
      <c r="X7" s="810"/>
      <c r="Y7" s="766" t="s">
        <v>11</v>
      </c>
      <c r="Z7" s="769" t="s">
        <v>12</v>
      </c>
      <c r="AA7" s="809" t="s">
        <v>10</v>
      </c>
      <c r="AB7" s="810"/>
      <c r="AC7" s="769" t="s">
        <v>12</v>
      </c>
      <c r="AD7" s="773" t="s">
        <v>13</v>
      </c>
      <c r="AE7" s="807" t="s">
        <v>14</v>
      </c>
      <c r="AF7" s="789" t="s">
        <v>15</v>
      </c>
      <c r="AG7" s="809" t="s">
        <v>10</v>
      </c>
      <c r="AH7" s="810"/>
      <c r="AI7" s="766" t="s">
        <v>11</v>
      </c>
      <c r="AJ7" s="825" t="s">
        <v>12</v>
      </c>
      <c r="AK7" s="809" t="s">
        <v>10</v>
      </c>
      <c r="AL7" s="810"/>
      <c r="AM7" s="769" t="s">
        <v>12</v>
      </c>
      <c r="AN7" s="828" t="s">
        <v>16</v>
      </c>
      <c r="AO7" s="830" t="s">
        <v>14</v>
      </c>
      <c r="AP7" s="796"/>
      <c r="AQ7" s="797"/>
      <c r="AR7" s="797"/>
      <c r="AS7" s="798"/>
      <c r="AT7" s="803"/>
      <c r="AV7" s="806">
        <f>+C5</f>
        <v>43825</v>
      </c>
      <c r="AW7" s="806">
        <f>+M5</f>
        <v>43826</v>
      </c>
      <c r="AX7" s="806">
        <f>+W5</f>
        <v>43827</v>
      </c>
      <c r="AY7" s="832">
        <f>+AG5</f>
        <v>43828</v>
      </c>
      <c r="AZ7" s="806">
        <f>+C27</f>
        <v>43829</v>
      </c>
      <c r="BA7" s="806">
        <f>+M27</f>
        <v>43830</v>
      </c>
      <c r="BB7" s="806">
        <f>+W27</f>
        <v>43831</v>
      </c>
      <c r="BC7" s="14"/>
      <c r="BD7" s="804"/>
      <c r="BE7" s="805"/>
      <c r="BF7" s="777"/>
    </row>
    <row r="8" spans="1:58" ht="15.2" customHeight="1">
      <c r="B8" s="742"/>
      <c r="C8" s="782"/>
      <c r="D8" s="783"/>
      <c r="E8" s="767"/>
      <c r="F8" s="770"/>
      <c r="G8" s="763"/>
      <c r="H8" s="763"/>
      <c r="I8" s="770"/>
      <c r="J8" s="774"/>
      <c r="K8" s="787"/>
      <c r="L8" s="789"/>
      <c r="M8" s="762"/>
      <c r="N8" s="763"/>
      <c r="O8" s="767"/>
      <c r="P8" s="770"/>
      <c r="Q8" s="763"/>
      <c r="R8" s="763"/>
      <c r="S8" s="770"/>
      <c r="T8" s="774"/>
      <c r="U8" s="787"/>
      <c r="V8" s="789"/>
      <c r="W8" s="815"/>
      <c r="X8" s="810"/>
      <c r="Y8" s="767"/>
      <c r="Z8" s="770"/>
      <c r="AA8" s="811"/>
      <c r="AB8" s="810"/>
      <c r="AC8" s="770"/>
      <c r="AD8" s="774"/>
      <c r="AE8" s="807"/>
      <c r="AF8" s="789"/>
      <c r="AG8" s="811"/>
      <c r="AH8" s="810"/>
      <c r="AI8" s="767"/>
      <c r="AJ8" s="826"/>
      <c r="AK8" s="811"/>
      <c r="AL8" s="810"/>
      <c r="AM8" s="770"/>
      <c r="AN8" s="828"/>
      <c r="AO8" s="830"/>
      <c r="AP8" s="796"/>
      <c r="AQ8" s="797"/>
      <c r="AR8" s="797"/>
      <c r="AS8" s="798"/>
      <c r="AT8" s="803"/>
      <c r="AV8" s="806"/>
      <c r="AW8" s="806"/>
      <c r="AX8" s="806"/>
      <c r="AY8" s="832"/>
      <c r="AZ8" s="806"/>
      <c r="BA8" s="806"/>
      <c r="BB8" s="806"/>
      <c r="BC8" s="14"/>
      <c r="BD8" s="804"/>
      <c r="BE8" s="805"/>
      <c r="BF8" s="777"/>
    </row>
    <row r="9" spans="1:58" ht="15.2" customHeight="1">
      <c r="B9" s="742"/>
      <c r="C9" s="782"/>
      <c r="D9" s="783"/>
      <c r="E9" s="767"/>
      <c r="F9" s="770"/>
      <c r="G9" s="763"/>
      <c r="H9" s="763"/>
      <c r="I9" s="770"/>
      <c r="J9" s="774"/>
      <c r="K9" s="787"/>
      <c r="L9" s="789"/>
      <c r="M9" s="762"/>
      <c r="N9" s="763"/>
      <c r="O9" s="767"/>
      <c r="P9" s="770"/>
      <c r="Q9" s="763"/>
      <c r="R9" s="763"/>
      <c r="S9" s="770"/>
      <c r="T9" s="774"/>
      <c r="U9" s="787"/>
      <c r="V9" s="789"/>
      <c r="W9" s="815"/>
      <c r="X9" s="810"/>
      <c r="Y9" s="767"/>
      <c r="Z9" s="770"/>
      <c r="AA9" s="811"/>
      <c r="AB9" s="810"/>
      <c r="AC9" s="770"/>
      <c r="AD9" s="774"/>
      <c r="AE9" s="807"/>
      <c r="AF9" s="789"/>
      <c r="AG9" s="811"/>
      <c r="AH9" s="810"/>
      <c r="AI9" s="767"/>
      <c r="AJ9" s="826"/>
      <c r="AK9" s="811"/>
      <c r="AL9" s="810"/>
      <c r="AM9" s="770"/>
      <c r="AN9" s="828"/>
      <c r="AO9" s="830"/>
      <c r="AP9" s="796"/>
      <c r="AQ9" s="797"/>
      <c r="AR9" s="797"/>
      <c r="AS9" s="798"/>
      <c r="AT9" s="803"/>
      <c r="AV9" s="806"/>
      <c r="AW9" s="806"/>
      <c r="AX9" s="806"/>
      <c r="AY9" s="832"/>
      <c r="AZ9" s="806"/>
      <c r="BA9" s="806"/>
      <c r="BB9" s="806"/>
      <c r="BC9" s="14"/>
      <c r="BD9" s="804"/>
      <c r="BE9" s="805"/>
      <c r="BF9" s="777"/>
    </row>
    <row r="10" spans="1:58" ht="15.2" customHeight="1" thickBot="1">
      <c r="B10" s="743"/>
      <c r="C10" s="784"/>
      <c r="D10" s="785"/>
      <c r="E10" s="768"/>
      <c r="F10" s="771"/>
      <c r="G10" s="765"/>
      <c r="H10" s="765"/>
      <c r="I10" s="771"/>
      <c r="J10" s="775"/>
      <c r="K10" s="788"/>
      <c r="L10" s="790"/>
      <c r="M10" s="764"/>
      <c r="N10" s="765"/>
      <c r="O10" s="768"/>
      <c r="P10" s="771"/>
      <c r="Q10" s="765"/>
      <c r="R10" s="765"/>
      <c r="S10" s="771"/>
      <c r="T10" s="775"/>
      <c r="U10" s="788"/>
      <c r="V10" s="790"/>
      <c r="W10" s="816"/>
      <c r="X10" s="813"/>
      <c r="Y10" s="768"/>
      <c r="Z10" s="771"/>
      <c r="AA10" s="812"/>
      <c r="AB10" s="813"/>
      <c r="AC10" s="771"/>
      <c r="AD10" s="775"/>
      <c r="AE10" s="808"/>
      <c r="AF10" s="790"/>
      <c r="AG10" s="812"/>
      <c r="AH10" s="813"/>
      <c r="AI10" s="768"/>
      <c r="AJ10" s="827"/>
      <c r="AK10" s="812"/>
      <c r="AL10" s="813"/>
      <c r="AM10" s="771"/>
      <c r="AN10" s="829"/>
      <c r="AO10" s="831"/>
      <c r="AP10" s="799"/>
      <c r="AQ10" s="800"/>
      <c r="AR10" s="800"/>
      <c r="AS10" s="801"/>
      <c r="AT10" s="15">
        <v>4</v>
      </c>
      <c r="AV10" s="806"/>
      <c r="AW10" s="806"/>
      <c r="AX10" s="806"/>
      <c r="AY10" s="832"/>
      <c r="AZ10" s="806"/>
      <c r="BA10" s="806"/>
      <c r="BB10" s="806"/>
      <c r="BC10" s="14"/>
      <c r="BD10" s="804"/>
      <c r="BE10" s="805"/>
      <c r="BF10" s="778"/>
    </row>
    <row r="11" spans="1:58" ht="14.1" customHeight="1">
      <c r="A11" s="1">
        <v>1</v>
      </c>
      <c r="B11" s="16" t="str">
        <f t="shared" ref="B11:B16" si="0">+B73</f>
        <v>Eduardo Segura D.</v>
      </c>
      <c r="C11" s="17"/>
      <c r="D11" s="18"/>
      <c r="E11" s="19"/>
      <c r="F11" s="20">
        <f t="shared" ref="F11:F21" si="1">+D11-C11-E11</f>
        <v>0</v>
      </c>
      <c r="G11" s="21"/>
      <c r="H11" s="22"/>
      <c r="I11" s="20">
        <f t="shared" ref="I11:I21" si="2">+H11-G11</f>
        <v>0</v>
      </c>
      <c r="J11" s="23"/>
      <c r="K11" s="24">
        <f t="shared" ref="K11:K21" si="3">+I11+F11-L11</f>
        <v>0</v>
      </c>
      <c r="L11" s="25">
        <f t="shared" ref="L11:L25" si="4">IF(C11&gt;0,(F11+I11)+IF(K$5&gt;0,F11,-8),0)+IF(U$5&gt;0,I11,0)</f>
        <v>0</v>
      </c>
      <c r="M11" s="26">
        <v>8</v>
      </c>
      <c r="N11" s="21">
        <v>16</v>
      </c>
      <c r="O11" s="23">
        <v>1</v>
      </c>
      <c r="P11" s="20">
        <f t="shared" ref="P11:P21" si="5">+N11-M11-O11</f>
        <v>7</v>
      </c>
      <c r="Q11" s="22"/>
      <c r="R11" s="22"/>
      <c r="S11" s="20">
        <f t="shared" ref="S11:S21" si="6">+R11-Q11</f>
        <v>0</v>
      </c>
      <c r="T11" s="23"/>
      <c r="U11" s="24">
        <f t="shared" ref="U11:U21" si="7">+S11+P11-V11</f>
        <v>8</v>
      </c>
      <c r="V11" s="25">
        <f t="shared" ref="V11:V21" si="8">IF(M11&gt;0,(P11+S11)+IF(U$5&gt;0,P11,-8),0)+IF(AE$5&gt;0,S11,0)</f>
        <v>-1</v>
      </c>
      <c r="W11" s="26">
        <v>7</v>
      </c>
      <c r="X11" s="22">
        <v>15</v>
      </c>
      <c r="Y11" s="27">
        <v>1</v>
      </c>
      <c r="Z11" s="20">
        <f t="shared" ref="Z11:Z21" si="9">+X11-W11-Y11</f>
        <v>7</v>
      </c>
      <c r="AA11" s="22"/>
      <c r="AB11" s="28">
        <v>0.5</v>
      </c>
      <c r="AC11" s="20">
        <f t="shared" ref="AC11:AC21" si="10">+AB11-AA11</f>
        <v>0.5</v>
      </c>
      <c r="AD11" s="23"/>
      <c r="AE11" s="24">
        <f t="shared" ref="AE11:AE25" si="11">+AC11+Z11-IF(AE$5&gt;0,AF11/2,AF11)</f>
        <v>8.5</v>
      </c>
      <c r="AF11" s="25">
        <f>IF(W11&gt;0,IF(AE$5&gt;0,(Z11+AC11)*2,(Z11+AC11-8)),0)*IF(Z11&lt;9,IF(AE$5&gt;0,1,2),1)+IF(Z11&gt;8,AC11,0)</f>
        <v>-1</v>
      </c>
      <c r="AG11" s="22"/>
      <c r="AH11" s="22"/>
      <c r="AI11" s="27"/>
      <c r="AJ11" s="29">
        <f t="shared" ref="AJ11:AJ25" si="12">+AH11-AG11-AI11</f>
        <v>0</v>
      </c>
      <c r="AK11" s="21"/>
      <c r="AL11" s="21"/>
      <c r="AM11" s="20">
        <f t="shared" ref="AM11:AM21" si="13">+AL11-AK11</f>
        <v>0</v>
      </c>
      <c r="AN11" s="30"/>
      <c r="AO11" s="31">
        <f t="shared" ref="AO11:AO21" si="14">(AJ11*2+AM11)</f>
        <v>0</v>
      </c>
      <c r="AP11" s="817">
        <f t="shared" ref="AP11:AP18" si="15">+L11+V11+AF11+AO11+L33+V33+AF33-AN11</f>
        <v>-3</v>
      </c>
      <c r="AQ11" s="818"/>
      <c r="AR11" s="819">
        <f t="shared" ref="AR11:AR21" si="16">ROUND(BD11*AP11,1)</f>
        <v>-13.6</v>
      </c>
      <c r="AS11" s="820"/>
      <c r="AT11" s="32">
        <f t="shared" ref="AT11:AT18" si="17">IF(AT33&gt;0,AT33*$AT$10,0)</f>
        <v>16</v>
      </c>
      <c r="AV11" s="33">
        <f t="shared" ref="AV11:AV21" si="18">+L11</f>
        <v>0</v>
      </c>
      <c r="AW11" s="33">
        <f t="shared" ref="AW11:AW21" si="19">+V11</f>
        <v>-1</v>
      </c>
      <c r="AX11" s="33">
        <f t="shared" ref="AX11:AX21" si="20">+AF11</f>
        <v>-1</v>
      </c>
      <c r="AY11" s="34">
        <f t="shared" ref="AY11:AY21" si="21">+AO11</f>
        <v>0</v>
      </c>
      <c r="AZ11" s="33">
        <f t="shared" ref="AZ11:AZ18" si="22">+L33</f>
        <v>-1</v>
      </c>
      <c r="BA11" s="33">
        <f t="shared" ref="BA11:BA18" si="23">+V33</f>
        <v>0</v>
      </c>
      <c r="BB11" s="33">
        <f t="shared" ref="BB11:BB18" si="24">+AF33</f>
        <v>0</v>
      </c>
      <c r="BC11" s="35"/>
      <c r="BD11" s="36">
        <f t="shared" ref="BD11:BD16" si="25">+I73</f>
        <v>4.5464285714285708</v>
      </c>
      <c r="BE11" s="37">
        <f t="shared" ref="BE11:BE21" si="26">+BD11*AP11</f>
        <v>-13.639285714285712</v>
      </c>
      <c r="BF11" s="38">
        <f t="shared" ref="BF11:BF21" si="27">+BD11*AY11</f>
        <v>0</v>
      </c>
    </row>
    <row r="12" spans="1:58" ht="14.1" customHeight="1">
      <c r="A12" s="1">
        <v>2</v>
      </c>
      <c r="B12" s="39" t="str">
        <f t="shared" si="0"/>
        <v>Cesar Mendez M.</v>
      </c>
      <c r="C12" s="17">
        <v>7</v>
      </c>
      <c r="D12" s="18">
        <v>17</v>
      </c>
      <c r="E12" s="19">
        <v>1</v>
      </c>
      <c r="F12" s="40">
        <f t="shared" si="1"/>
        <v>9</v>
      </c>
      <c r="G12" s="18"/>
      <c r="H12" s="18"/>
      <c r="I12" s="40">
        <f t="shared" si="2"/>
        <v>0</v>
      </c>
      <c r="J12" s="19"/>
      <c r="K12" s="41">
        <f t="shared" si="3"/>
        <v>8</v>
      </c>
      <c r="L12" s="25">
        <f t="shared" si="4"/>
        <v>1</v>
      </c>
      <c r="M12" s="42">
        <v>7</v>
      </c>
      <c r="N12" s="18">
        <v>17</v>
      </c>
      <c r="O12" s="19">
        <v>1</v>
      </c>
      <c r="P12" s="40">
        <f t="shared" si="5"/>
        <v>9</v>
      </c>
      <c r="Q12" s="43"/>
      <c r="R12" s="43"/>
      <c r="S12" s="40">
        <f t="shared" si="6"/>
        <v>0</v>
      </c>
      <c r="T12" s="19"/>
      <c r="U12" s="41">
        <f t="shared" si="7"/>
        <v>8</v>
      </c>
      <c r="V12" s="25">
        <f t="shared" si="8"/>
        <v>1</v>
      </c>
      <c r="W12" s="18">
        <v>7</v>
      </c>
      <c r="X12" s="18">
        <v>17</v>
      </c>
      <c r="Y12" s="19">
        <v>1</v>
      </c>
      <c r="Z12" s="40">
        <f t="shared" si="9"/>
        <v>9</v>
      </c>
      <c r="AA12" s="44"/>
      <c r="AB12" s="28"/>
      <c r="AC12" s="40">
        <f t="shared" si="10"/>
        <v>0</v>
      </c>
      <c r="AD12" s="19"/>
      <c r="AE12" s="41">
        <f t="shared" si="11"/>
        <v>8</v>
      </c>
      <c r="AF12" s="25">
        <f>IF(W12&gt;0,IF(AE$5&gt;0,(Z12+AC12)*2,(Z12+AC12-8)),0)*IF(Z12&lt;9,IF(AE$5&gt;0,1,2),1)+IF(Z12&gt;8,AC12,0)</f>
        <v>1</v>
      </c>
      <c r="AG12" s="45"/>
      <c r="AH12" s="18"/>
      <c r="AI12" s="19"/>
      <c r="AJ12" s="46">
        <f>+AH12-AG12-AI12</f>
        <v>0</v>
      </c>
      <c r="AK12" s="18"/>
      <c r="AL12" s="18"/>
      <c r="AM12" s="40">
        <f t="shared" si="13"/>
        <v>0</v>
      </c>
      <c r="AN12" s="47"/>
      <c r="AO12" s="48">
        <f t="shared" si="14"/>
        <v>0</v>
      </c>
      <c r="AP12" s="821">
        <f t="shared" si="15"/>
        <v>3</v>
      </c>
      <c r="AQ12" s="822"/>
      <c r="AR12" s="823">
        <f t="shared" si="16"/>
        <v>15.4</v>
      </c>
      <c r="AS12" s="824"/>
      <c r="AT12" s="49">
        <f t="shared" si="17"/>
        <v>12</v>
      </c>
      <c r="AV12" s="33">
        <f t="shared" si="18"/>
        <v>1</v>
      </c>
      <c r="AW12" s="33">
        <f t="shared" si="19"/>
        <v>1</v>
      </c>
      <c r="AX12" s="33">
        <f t="shared" si="20"/>
        <v>1</v>
      </c>
      <c r="AY12" s="34">
        <f t="shared" si="21"/>
        <v>0</v>
      </c>
      <c r="AZ12" s="33">
        <f t="shared" si="22"/>
        <v>0</v>
      </c>
      <c r="BA12" s="33">
        <f t="shared" si="23"/>
        <v>0</v>
      </c>
      <c r="BB12" s="33">
        <f t="shared" si="24"/>
        <v>0</v>
      </c>
      <c r="BC12" s="35"/>
      <c r="BD12" s="36">
        <f t="shared" si="25"/>
        <v>5.1339285714285712</v>
      </c>
      <c r="BE12" s="37">
        <f t="shared" si="26"/>
        <v>15.401785714285714</v>
      </c>
      <c r="BF12" s="38">
        <f t="shared" si="27"/>
        <v>0</v>
      </c>
    </row>
    <row r="13" spans="1:58" ht="14.1" customHeight="1">
      <c r="A13" s="1">
        <v>3</v>
      </c>
      <c r="B13" s="39" t="str">
        <f t="shared" si="0"/>
        <v>Alejandro Dueñas</v>
      </c>
      <c r="C13" s="50">
        <v>7</v>
      </c>
      <c r="D13" s="51">
        <v>18</v>
      </c>
      <c r="E13" s="52">
        <v>1</v>
      </c>
      <c r="F13" s="53">
        <f t="shared" si="1"/>
        <v>10</v>
      </c>
      <c r="G13" s="43"/>
      <c r="H13" s="43"/>
      <c r="I13" s="53">
        <f t="shared" si="2"/>
        <v>0</v>
      </c>
      <c r="J13" s="54"/>
      <c r="K13" s="55">
        <f t="shared" si="3"/>
        <v>8</v>
      </c>
      <c r="L13" s="25">
        <f t="shared" si="4"/>
        <v>2</v>
      </c>
      <c r="M13" s="56">
        <v>7</v>
      </c>
      <c r="N13" s="43">
        <v>16</v>
      </c>
      <c r="O13" s="54">
        <v>1</v>
      </c>
      <c r="P13" s="53">
        <f t="shared" si="5"/>
        <v>8</v>
      </c>
      <c r="Q13" s="43"/>
      <c r="R13" s="43"/>
      <c r="S13" s="53">
        <f t="shared" si="6"/>
        <v>0</v>
      </c>
      <c r="T13" s="54"/>
      <c r="U13" s="55">
        <f t="shared" si="7"/>
        <v>8</v>
      </c>
      <c r="V13" s="25">
        <f t="shared" si="8"/>
        <v>0</v>
      </c>
      <c r="W13" s="56">
        <v>7</v>
      </c>
      <c r="X13" s="43">
        <v>16</v>
      </c>
      <c r="Y13" s="54">
        <v>1</v>
      </c>
      <c r="Z13" s="53">
        <f t="shared" si="9"/>
        <v>8</v>
      </c>
      <c r="AA13" s="44"/>
      <c r="AB13" s="28"/>
      <c r="AC13" s="40">
        <f t="shared" si="10"/>
        <v>0</v>
      </c>
      <c r="AD13" s="54"/>
      <c r="AE13" s="55">
        <f t="shared" si="11"/>
        <v>8</v>
      </c>
      <c r="AF13" s="25">
        <f>IF(W13&gt;0,IF(AE$5&gt;0,(Z13+AC13)*2,(Z13+AC13-8)),0)*IF(Z13&lt;9,IF(AE$5&gt;0,1,2),1)+IF(Z13&gt;8,AC13,0)</f>
        <v>0</v>
      </c>
      <c r="AG13" s="45"/>
      <c r="AH13" s="18"/>
      <c r="AI13" s="19"/>
      <c r="AJ13" s="46">
        <f t="shared" si="12"/>
        <v>0</v>
      </c>
      <c r="AK13" s="18"/>
      <c r="AL13" s="18"/>
      <c r="AM13" s="40">
        <f t="shared" si="13"/>
        <v>0</v>
      </c>
      <c r="AN13" s="57"/>
      <c r="AO13" s="48">
        <f t="shared" si="14"/>
        <v>0</v>
      </c>
      <c r="AP13" s="821">
        <f t="shared" si="15"/>
        <v>2</v>
      </c>
      <c r="AQ13" s="822"/>
      <c r="AR13" s="823">
        <f t="shared" si="16"/>
        <v>8.3000000000000007</v>
      </c>
      <c r="AS13" s="824"/>
      <c r="AT13" s="49">
        <f t="shared" si="17"/>
        <v>12</v>
      </c>
      <c r="AV13" s="33">
        <f t="shared" si="18"/>
        <v>2</v>
      </c>
      <c r="AW13" s="33">
        <f t="shared" si="19"/>
        <v>0</v>
      </c>
      <c r="AX13" s="33">
        <f t="shared" si="20"/>
        <v>0</v>
      </c>
      <c r="AY13" s="34">
        <f t="shared" si="21"/>
        <v>0</v>
      </c>
      <c r="AZ13" s="33">
        <f t="shared" si="22"/>
        <v>0</v>
      </c>
      <c r="BA13" s="33">
        <f t="shared" si="23"/>
        <v>0</v>
      </c>
      <c r="BB13" s="33">
        <f t="shared" si="24"/>
        <v>0</v>
      </c>
      <c r="BC13" s="35"/>
      <c r="BD13" s="36">
        <f t="shared" si="25"/>
        <v>4.1666785714285712</v>
      </c>
      <c r="BE13" s="37">
        <f t="shared" si="26"/>
        <v>8.3333571428571425</v>
      </c>
      <c r="BF13" s="38">
        <f t="shared" si="27"/>
        <v>0</v>
      </c>
    </row>
    <row r="14" spans="1:58" ht="14.1" customHeight="1">
      <c r="A14" s="1">
        <v>4</v>
      </c>
      <c r="B14" s="58" t="str">
        <f t="shared" si="0"/>
        <v>Juan Manrique V.</v>
      </c>
      <c r="C14" s="17">
        <v>7</v>
      </c>
      <c r="D14" s="18">
        <v>18</v>
      </c>
      <c r="E14" s="19">
        <v>1</v>
      </c>
      <c r="F14" s="40">
        <f t="shared" si="1"/>
        <v>10</v>
      </c>
      <c r="G14" s="18"/>
      <c r="H14" s="43"/>
      <c r="I14" s="40">
        <f t="shared" si="2"/>
        <v>0</v>
      </c>
      <c r="J14" s="19"/>
      <c r="K14" s="41">
        <f t="shared" si="3"/>
        <v>8</v>
      </c>
      <c r="L14" s="25">
        <f t="shared" si="4"/>
        <v>2</v>
      </c>
      <c r="M14" s="42">
        <v>7</v>
      </c>
      <c r="N14" s="18">
        <v>16</v>
      </c>
      <c r="O14" s="19">
        <v>1</v>
      </c>
      <c r="P14" s="40">
        <f t="shared" si="5"/>
        <v>8</v>
      </c>
      <c r="Q14" s="43"/>
      <c r="R14" s="43"/>
      <c r="S14" s="40">
        <f t="shared" si="6"/>
        <v>0</v>
      </c>
      <c r="T14" s="19"/>
      <c r="U14" s="41">
        <f t="shared" si="7"/>
        <v>8</v>
      </c>
      <c r="V14" s="25">
        <f t="shared" si="8"/>
        <v>0</v>
      </c>
      <c r="W14" s="18">
        <v>7</v>
      </c>
      <c r="X14" s="18">
        <v>16</v>
      </c>
      <c r="Y14" s="19">
        <v>1</v>
      </c>
      <c r="Z14" s="40">
        <f t="shared" si="9"/>
        <v>8</v>
      </c>
      <c r="AA14" s="43"/>
      <c r="AB14" s="28"/>
      <c r="AC14" s="40">
        <f t="shared" si="10"/>
        <v>0</v>
      </c>
      <c r="AD14" s="19"/>
      <c r="AE14" s="41">
        <f t="shared" si="11"/>
        <v>8</v>
      </c>
      <c r="AF14" s="25">
        <f>IF(W14&gt;0,IF(AE$5&gt;0,(Z14+AC14)*2,(Z14+AC14-8)),0)*IF(Z14&lt;9,IF(AE$5&gt;0,1,2),1)+IF(Z14&gt;8,AC14,0)</f>
        <v>0</v>
      </c>
      <c r="AG14" s="45">
        <v>7</v>
      </c>
      <c r="AH14" s="18">
        <v>16</v>
      </c>
      <c r="AI14" s="19">
        <v>1</v>
      </c>
      <c r="AJ14" s="46">
        <f t="shared" si="12"/>
        <v>8</v>
      </c>
      <c r="AK14" s="18"/>
      <c r="AL14" s="18"/>
      <c r="AM14" s="40">
        <f t="shared" si="13"/>
        <v>0</v>
      </c>
      <c r="AN14" s="47"/>
      <c r="AO14" s="48">
        <f t="shared" si="14"/>
        <v>16</v>
      </c>
      <c r="AP14" s="845">
        <f t="shared" si="15"/>
        <v>18</v>
      </c>
      <c r="AQ14" s="846"/>
      <c r="AR14" s="823">
        <f t="shared" si="16"/>
        <v>92.4</v>
      </c>
      <c r="AS14" s="824"/>
      <c r="AT14" s="49">
        <f t="shared" si="17"/>
        <v>24</v>
      </c>
      <c r="AV14" s="33">
        <f t="shared" si="18"/>
        <v>2</v>
      </c>
      <c r="AW14" s="33">
        <f t="shared" si="19"/>
        <v>0</v>
      </c>
      <c r="AX14" s="33">
        <f t="shared" si="20"/>
        <v>0</v>
      </c>
      <c r="AY14" s="34">
        <f t="shared" si="21"/>
        <v>16</v>
      </c>
      <c r="AZ14" s="33">
        <f t="shared" si="22"/>
        <v>0</v>
      </c>
      <c r="BA14" s="33">
        <f t="shared" si="23"/>
        <v>0</v>
      </c>
      <c r="BB14" s="33">
        <f t="shared" si="24"/>
        <v>0</v>
      </c>
      <c r="BC14" s="35"/>
      <c r="BD14" s="36">
        <f t="shared" si="25"/>
        <v>5.1339285714285712</v>
      </c>
      <c r="BE14" s="60">
        <f t="shared" si="26"/>
        <v>92.410714285714278</v>
      </c>
      <c r="BF14" s="61">
        <f t="shared" si="27"/>
        <v>82.142857142857139</v>
      </c>
    </row>
    <row r="15" spans="1:58" s="69" customFormat="1" ht="14.1" customHeight="1">
      <c r="A15" s="62">
        <v>5</v>
      </c>
      <c r="B15" s="63" t="str">
        <f t="shared" si="0"/>
        <v xml:space="preserve"> Irving Huaringa B.</v>
      </c>
      <c r="C15" s="17">
        <v>8</v>
      </c>
      <c r="D15" s="18">
        <v>16</v>
      </c>
      <c r="E15" s="19">
        <v>1</v>
      </c>
      <c r="F15" s="40">
        <f t="shared" si="1"/>
        <v>7</v>
      </c>
      <c r="G15" s="18"/>
      <c r="H15" s="43"/>
      <c r="I15" s="40">
        <f t="shared" si="2"/>
        <v>0</v>
      </c>
      <c r="J15" s="19"/>
      <c r="K15" s="41">
        <f t="shared" si="3"/>
        <v>8</v>
      </c>
      <c r="L15" s="25">
        <f t="shared" si="4"/>
        <v>-1</v>
      </c>
      <c r="M15" s="18">
        <v>7</v>
      </c>
      <c r="N15" s="18">
        <v>16</v>
      </c>
      <c r="O15" s="19">
        <v>1</v>
      </c>
      <c r="P15" s="40">
        <f t="shared" si="5"/>
        <v>8</v>
      </c>
      <c r="Q15" s="43"/>
      <c r="R15" s="43"/>
      <c r="S15" s="40">
        <f t="shared" si="6"/>
        <v>0</v>
      </c>
      <c r="T15" s="19"/>
      <c r="U15" s="41">
        <f t="shared" si="7"/>
        <v>8</v>
      </c>
      <c r="V15" s="25">
        <f t="shared" si="8"/>
        <v>0</v>
      </c>
      <c r="W15" s="18">
        <v>8</v>
      </c>
      <c r="X15" s="43">
        <v>16</v>
      </c>
      <c r="Y15" s="54">
        <v>1</v>
      </c>
      <c r="Z15" s="53">
        <f t="shared" si="9"/>
        <v>7</v>
      </c>
      <c r="AA15" s="64"/>
      <c r="AB15" s="28"/>
      <c r="AC15" s="40">
        <f t="shared" si="10"/>
        <v>0</v>
      </c>
      <c r="AD15" s="19"/>
      <c r="AE15" s="41">
        <f t="shared" si="11"/>
        <v>5</v>
      </c>
      <c r="AF15" s="25">
        <f>IF(W15&gt;0,IF(AE$5&gt;0,(Z15+AC15)*2,(Z15+AC15-5)),0)*IF(Z15&lt;6,IF(AE$5&gt;0,1,2),1)+IF(Z15&gt;5,AC15,0)</f>
        <v>2</v>
      </c>
      <c r="AG15" s="45"/>
      <c r="AH15" s="18"/>
      <c r="AI15" s="19"/>
      <c r="AJ15" s="46">
        <f>+AH15-AG15-AI15</f>
        <v>0</v>
      </c>
      <c r="AK15" s="18"/>
      <c r="AL15" s="18"/>
      <c r="AM15" s="40">
        <f>+AL15-AK15</f>
        <v>0</v>
      </c>
      <c r="AN15" s="65"/>
      <c r="AO15" s="48">
        <f>(AJ15*2+AM15)</f>
        <v>0</v>
      </c>
      <c r="AP15" s="821">
        <f t="shared" si="15"/>
        <v>0</v>
      </c>
      <c r="AQ15" s="822"/>
      <c r="AR15" s="823">
        <f>ROUND(BD15*AP15,1)</f>
        <v>0</v>
      </c>
      <c r="AS15" s="824"/>
      <c r="AT15" s="49">
        <f t="shared" si="17"/>
        <v>20</v>
      </c>
      <c r="AU15" s="7"/>
      <c r="AV15" s="33">
        <f>+L15</f>
        <v>-1</v>
      </c>
      <c r="AW15" s="33">
        <f>+V15</f>
        <v>0</v>
      </c>
      <c r="AX15" s="33">
        <f>+AF15</f>
        <v>2</v>
      </c>
      <c r="AY15" s="34">
        <f>+AO15</f>
        <v>0</v>
      </c>
      <c r="AZ15" s="33">
        <f t="shared" si="22"/>
        <v>0</v>
      </c>
      <c r="BA15" s="33">
        <f t="shared" si="23"/>
        <v>-1</v>
      </c>
      <c r="BB15" s="33">
        <f t="shared" si="24"/>
        <v>0</v>
      </c>
      <c r="BC15" s="66"/>
      <c r="BD15" s="36">
        <f t="shared" si="25"/>
        <v>5.1339285714285712</v>
      </c>
      <c r="BE15" s="67">
        <f>+BD15*AP15</f>
        <v>0</v>
      </c>
      <c r="BF15" s="68">
        <f>+BD15*AY15</f>
        <v>0</v>
      </c>
    </row>
    <row r="16" spans="1:58" s="84" customFormat="1" ht="6.75" customHeight="1">
      <c r="A16" s="70"/>
      <c r="B16" s="71" t="str">
        <f t="shared" si="0"/>
        <v xml:space="preserve">  -  .  -  </v>
      </c>
      <c r="C16" s="72"/>
      <c r="D16" s="73"/>
      <c r="E16" s="74"/>
      <c r="F16" s="75">
        <f t="shared" si="1"/>
        <v>0</v>
      </c>
      <c r="G16" s="73"/>
      <c r="H16" s="43"/>
      <c r="I16" s="75">
        <f t="shared" si="2"/>
        <v>0</v>
      </c>
      <c r="J16" s="74"/>
      <c r="K16" s="76">
        <f t="shared" si="3"/>
        <v>0</v>
      </c>
      <c r="L16" s="77">
        <f t="shared" si="4"/>
        <v>0</v>
      </c>
      <c r="M16" s="72"/>
      <c r="N16" s="73"/>
      <c r="O16" s="74"/>
      <c r="P16" s="75">
        <f t="shared" si="5"/>
        <v>0</v>
      </c>
      <c r="Q16" s="78"/>
      <c r="R16" s="78"/>
      <c r="S16" s="75">
        <f t="shared" si="6"/>
        <v>0</v>
      </c>
      <c r="T16" s="74"/>
      <c r="U16" s="76">
        <f t="shared" si="7"/>
        <v>0</v>
      </c>
      <c r="V16" s="77">
        <f t="shared" si="8"/>
        <v>0</v>
      </c>
      <c r="W16" s="73"/>
      <c r="X16" s="73"/>
      <c r="Y16" s="74"/>
      <c r="Z16" s="79">
        <f t="shared" si="9"/>
        <v>0</v>
      </c>
      <c r="AA16" s="78"/>
      <c r="AB16" s="80"/>
      <c r="AC16" s="75">
        <f t="shared" si="10"/>
        <v>0</v>
      </c>
      <c r="AD16" s="74"/>
      <c r="AE16" s="76">
        <f t="shared" si="11"/>
        <v>0</v>
      </c>
      <c r="AF16" s="77">
        <f t="shared" ref="AF16:AF21" si="28">IF(W16&gt;0,IF(AE$5&gt;0,(Z16+AC16)*2,(Z16+AC16-8)),0)*IF(Z16&lt;9,IF(AE$5&gt;0,1,2),1)+IF(Z16&gt;8,AC16,0)</f>
        <v>0</v>
      </c>
      <c r="AG16" s="73"/>
      <c r="AH16" s="73"/>
      <c r="AI16" s="74"/>
      <c r="AJ16" s="46">
        <f t="shared" si="12"/>
        <v>0</v>
      </c>
      <c r="AK16" s="73"/>
      <c r="AL16" s="73"/>
      <c r="AM16" s="75">
        <f t="shared" si="13"/>
        <v>0</v>
      </c>
      <c r="AN16" s="81"/>
      <c r="AO16" s="82">
        <f t="shared" si="14"/>
        <v>0</v>
      </c>
      <c r="AP16" s="1186">
        <f t="shared" si="15"/>
        <v>0</v>
      </c>
      <c r="AQ16" s="1187"/>
      <c r="AR16" s="1188">
        <f t="shared" si="16"/>
        <v>0</v>
      </c>
      <c r="AS16" s="1189"/>
      <c r="AT16" s="83">
        <f t="shared" si="17"/>
        <v>0</v>
      </c>
      <c r="AV16" s="85">
        <f t="shared" si="18"/>
        <v>0</v>
      </c>
      <c r="AW16" s="85">
        <f t="shared" si="19"/>
        <v>0</v>
      </c>
      <c r="AX16" s="85">
        <f t="shared" si="20"/>
        <v>0</v>
      </c>
      <c r="AY16" s="86">
        <f t="shared" si="21"/>
        <v>0</v>
      </c>
      <c r="AZ16" s="85">
        <f t="shared" si="22"/>
        <v>0</v>
      </c>
      <c r="BA16" s="85">
        <f t="shared" si="23"/>
        <v>0</v>
      </c>
      <c r="BB16" s="85">
        <f t="shared" si="24"/>
        <v>0</v>
      </c>
      <c r="BC16" s="87"/>
      <c r="BD16" s="88">
        <f t="shared" si="25"/>
        <v>3.6964285714285716</v>
      </c>
      <c r="BE16" s="89">
        <f t="shared" si="26"/>
        <v>0</v>
      </c>
      <c r="BF16" s="90">
        <f t="shared" si="27"/>
        <v>0</v>
      </c>
    </row>
    <row r="17" spans="1:60" s="69" customFormat="1" ht="14.1" customHeight="1">
      <c r="A17" s="62">
        <v>6</v>
      </c>
      <c r="B17" s="91" t="str">
        <f>+B80</f>
        <v>Jose Cortez P.</v>
      </c>
      <c r="C17" s="92">
        <v>7</v>
      </c>
      <c r="D17" s="92">
        <v>16</v>
      </c>
      <c r="E17" s="92">
        <v>1</v>
      </c>
      <c r="F17" s="93">
        <f>+D17-C17-E17</f>
        <v>8</v>
      </c>
      <c r="G17" s="43"/>
      <c r="H17" s="43"/>
      <c r="I17" s="93">
        <f>+H17-G17</f>
        <v>0</v>
      </c>
      <c r="J17" s="92"/>
      <c r="K17" s="41">
        <f>+I17+F17-L17</f>
        <v>8</v>
      </c>
      <c r="L17" s="94">
        <f>IF(C17&gt;0,(F17+I17)+IF(K$5&gt;0,F17,-8),0)+IF(U$5&gt;0,I17,0)</f>
        <v>0</v>
      </c>
      <c r="M17" s="95">
        <v>7</v>
      </c>
      <c r="N17" s="92">
        <v>16</v>
      </c>
      <c r="O17" s="92">
        <v>1</v>
      </c>
      <c r="P17" s="93">
        <f>+N17-M17-O17</f>
        <v>8</v>
      </c>
      <c r="Q17" s="43"/>
      <c r="R17" s="43"/>
      <c r="S17" s="93">
        <f>+R17-Q17</f>
        <v>0</v>
      </c>
      <c r="T17" s="19"/>
      <c r="U17" s="41">
        <f>+S17+P17-V17</f>
        <v>8</v>
      </c>
      <c r="V17" s="94">
        <f>IF(M17&gt;0,(P17+S17)+IF(U$5&gt;0,P17,-8),0)+IF(AE$5&gt;0,S17,0)</f>
        <v>0</v>
      </c>
      <c r="W17" s="92">
        <v>7</v>
      </c>
      <c r="X17" s="92">
        <v>17</v>
      </c>
      <c r="Y17" s="92">
        <v>1</v>
      </c>
      <c r="Z17" s="93">
        <f>+X17-W17-Y17</f>
        <v>9</v>
      </c>
      <c r="AA17" s="92"/>
      <c r="AB17" s="28"/>
      <c r="AC17" s="93">
        <f>+AB17-AA17</f>
        <v>0</v>
      </c>
      <c r="AD17" s="92"/>
      <c r="AE17" s="41">
        <f t="shared" si="11"/>
        <v>8</v>
      </c>
      <c r="AF17" s="94">
        <f t="shared" si="28"/>
        <v>1</v>
      </c>
      <c r="AG17" s="92"/>
      <c r="AH17" s="92"/>
      <c r="AI17" s="92"/>
      <c r="AJ17" s="46">
        <f>+AH17-AG17-AI17</f>
        <v>0</v>
      </c>
      <c r="AK17" s="92"/>
      <c r="AL17" s="92"/>
      <c r="AM17" s="93">
        <f>+AL17-AK17</f>
        <v>0</v>
      </c>
      <c r="AN17" s="96"/>
      <c r="AO17" s="97">
        <f>(AJ17*2+AM17)</f>
        <v>0</v>
      </c>
      <c r="AP17" s="833">
        <f t="shared" si="15"/>
        <v>2</v>
      </c>
      <c r="AQ17" s="834"/>
      <c r="AR17" s="835">
        <f>ROUND(BD17*AP17,1)</f>
        <v>7.8</v>
      </c>
      <c r="AS17" s="836"/>
      <c r="AT17" s="99">
        <f t="shared" si="17"/>
        <v>20</v>
      </c>
      <c r="AV17" s="100">
        <f>+L17</f>
        <v>0</v>
      </c>
      <c r="AW17" s="100">
        <f>+V17</f>
        <v>0</v>
      </c>
      <c r="AX17" s="100">
        <f>+AF17</f>
        <v>1</v>
      </c>
      <c r="AY17" s="101">
        <f>+AO17</f>
        <v>0</v>
      </c>
      <c r="AZ17" s="100">
        <f t="shared" si="22"/>
        <v>1</v>
      </c>
      <c r="BA17" s="100">
        <f t="shared" si="23"/>
        <v>0</v>
      </c>
      <c r="BB17" s="100">
        <f t="shared" si="24"/>
        <v>0</v>
      </c>
      <c r="BC17" s="35"/>
      <c r="BD17" s="36">
        <f>+I80</f>
        <v>3.8750035714285715</v>
      </c>
      <c r="BE17" s="67">
        <f>+BD17*AP17</f>
        <v>7.7500071428571431</v>
      </c>
      <c r="BF17" s="68">
        <f>+BD17*AY17</f>
        <v>0</v>
      </c>
    </row>
    <row r="18" spans="1:60" s="69" customFormat="1" ht="14.1" customHeight="1">
      <c r="A18" s="62">
        <v>7</v>
      </c>
      <c r="B18" s="91" t="str">
        <f>+B81</f>
        <v>Rafael Armas R.</v>
      </c>
      <c r="C18" s="102">
        <v>7</v>
      </c>
      <c r="D18" s="102">
        <v>17</v>
      </c>
      <c r="E18" s="102">
        <v>1</v>
      </c>
      <c r="F18" s="93">
        <f>+D18-C18-E18</f>
        <v>9</v>
      </c>
      <c r="G18" s="43"/>
      <c r="H18" s="43"/>
      <c r="I18" s="93">
        <f>+H18-G18</f>
        <v>0</v>
      </c>
      <c r="J18" s="92"/>
      <c r="K18" s="41">
        <f>+I18+F18-L18</f>
        <v>8</v>
      </c>
      <c r="L18" s="94">
        <f>IF(C18&gt;0,(F18+I18)+IF(K$5&gt;0,F18,-8),0)+IF(U$5&gt;0,I18,0)</f>
        <v>1</v>
      </c>
      <c r="M18" s="95">
        <v>7</v>
      </c>
      <c r="N18" s="92">
        <v>17</v>
      </c>
      <c r="O18" s="92">
        <v>1</v>
      </c>
      <c r="P18" s="93">
        <f>+N18-M18-O18</f>
        <v>9</v>
      </c>
      <c r="Q18" s="43"/>
      <c r="R18" s="43"/>
      <c r="S18" s="93">
        <f>+R18-Q18</f>
        <v>0</v>
      </c>
      <c r="T18" s="92"/>
      <c r="U18" s="41">
        <f>+S18+P18-V18</f>
        <v>8</v>
      </c>
      <c r="V18" s="94">
        <f>IF(M18&gt;0,(P18+S18)+IF(U$5&gt;0,P18,-8),0)+IF(AE$5&gt;0,S18,0)</f>
        <v>1</v>
      </c>
      <c r="W18" s="92">
        <v>8</v>
      </c>
      <c r="X18" s="92">
        <v>16</v>
      </c>
      <c r="Y18" s="92">
        <v>1</v>
      </c>
      <c r="Z18" s="93">
        <f>+X18-W18-Y18</f>
        <v>7</v>
      </c>
      <c r="AA18" s="92"/>
      <c r="AB18" s="28">
        <v>0.5</v>
      </c>
      <c r="AC18" s="93">
        <f>+AB18-AA18</f>
        <v>0.5</v>
      </c>
      <c r="AD18" s="92"/>
      <c r="AE18" s="41">
        <f t="shared" si="11"/>
        <v>8.5</v>
      </c>
      <c r="AF18" s="94">
        <f t="shared" si="28"/>
        <v>-1</v>
      </c>
      <c r="AG18" s="92"/>
      <c r="AH18" s="92"/>
      <c r="AI18" s="92"/>
      <c r="AJ18" s="46">
        <f>+AH18-AG18-AI18</f>
        <v>0</v>
      </c>
      <c r="AK18" s="92"/>
      <c r="AL18" s="92"/>
      <c r="AM18" s="93">
        <f>+AL18-AK18</f>
        <v>0</v>
      </c>
      <c r="AN18" s="96"/>
      <c r="AO18" s="97">
        <f>(AJ18*2+AM18)</f>
        <v>0</v>
      </c>
      <c r="AP18" s="837">
        <f t="shared" si="15"/>
        <v>3</v>
      </c>
      <c r="AQ18" s="838"/>
      <c r="AR18" s="839">
        <f>ROUND(BD18*AP18,1)</f>
        <v>11.6</v>
      </c>
      <c r="AS18" s="840"/>
      <c r="AT18" s="103">
        <f t="shared" si="17"/>
        <v>20</v>
      </c>
      <c r="AV18" s="100">
        <f>+L18</f>
        <v>1</v>
      </c>
      <c r="AW18" s="100">
        <f>+V18</f>
        <v>1</v>
      </c>
      <c r="AX18" s="100">
        <f>+AF18</f>
        <v>-1</v>
      </c>
      <c r="AY18" s="101">
        <f>+AO18</f>
        <v>0</v>
      </c>
      <c r="AZ18" s="100">
        <f t="shared" si="22"/>
        <v>0</v>
      </c>
      <c r="BA18" s="100">
        <f t="shared" si="23"/>
        <v>2</v>
      </c>
      <c r="BB18" s="100">
        <f t="shared" si="24"/>
        <v>0</v>
      </c>
      <c r="BC18" s="66"/>
      <c r="BD18" s="36">
        <f>+I81</f>
        <v>3.8750035714285715</v>
      </c>
      <c r="BE18" s="67">
        <f>+BD18*AP18</f>
        <v>11.625010714285715</v>
      </c>
      <c r="BF18" s="68">
        <f>+BD18*AY18</f>
        <v>0</v>
      </c>
    </row>
    <row r="19" spans="1:60" s="116" customFormat="1" ht="14.1" customHeight="1">
      <c r="A19" s="62">
        <v>8</v>
      </c>
      <c r="B19" s="91" t="str">
        <f>+B82</f>
        <v>Jose Ochoa I.</v>
      </c>
      <c r="C19" s="102">
        <v>7</v>
      </c>
      <c r="D19" s="102">
        <v>16</v>
      </c>
      <c r="E19" s="102">
        <v>1</v>
      </c>
      <c r="F19" s="104">
        <f>+D19-C19-E19</f>
        <v>8</v>
      </c>
      <c r="G19" s="51"/>
      <c r="H19" s="43"/>
      <c r="I19" s="104">
        <f>+H19-G19</f>
        <v>0</v>
      </c>
      <c r="J19" s="105"/>
      <c r="K19" s="106">
        <f>+I19+F19-L19</f>
        <v>8</v>
      </c>
      <c r="L19" s="107">
        <f>IF(C19&gt;0,(F19+I19)+IF(K$5&gt;0,F19,-8),0)+IF(U$5&gt;0,I19,0)</f>
        <v>0</v>
      </c>
      <c r="M19" s="108">
        <v>7</v>
      </c>
      <c r="N19" s="105">
        <v>16</v>
      </c>
      <c r="O19" s="105">
        <v>1</v>
      </c>
      <c r="P19" s="104">
        <f>+N19-M19-O19</f>
        <v>8</v>
      </c>
      <c r="Q19" s="43"/>
      <c r="R19" s="43"/>
      <c r="S19" s="104">
        <f>+R19-Q19</f>
        <v>0</v>
      </c>
      <c r="T19" s="105"/>
      <c r="U19" s="106">
        <f>+S19+P19-V19</f>
        <v>8</v>
      </c>
      <c r="V19" s="107">
        <f>IF(M19&gt;0,(P19+S19)+IF(U$5&gt;0,P19,-8),0)+IF(AE$5&gt;0,S19,0)</f>
        <v>0</v>
      </c>
      <c r="W19" s="105">
        <v>7</v>
      </c>
      <c r="X19" s="105">
        <v>12</v>
      </c>
      <c r="Y19" s="105">
        <v>1</v>
      </c>
      <c r="Z19" s="104">
        <f>+X19-W19-Y19</f>
        <v>4</v>
      </c>
      <c r="AA19" s="105"/>
      <c r="AB19" s="109">
        <v>4</v>
      </c>
      <c r="AC19" s="104">
        <f>+AB19-AA19</f>
        <v>4</v>
      </c>
      <c r="AD19" s="105"/>
      <c r="AE19" s="106">
        <f t="shared" si="11"/>
        <v>8</v>
      </c>
      <c r="AF19" s="107">
        <f t="shared" si="28"/>
        <v>0</v>
      </c>
      <c r="AG19" s="105"/>
      <c r="AH19" s="105"/>
      <c r="AI19" s="105"/>
      <c r="AJ19" s="110">
        <f>+AH19-AG19-AI19</f>
        <v>0</v>
      </c>
      <c r="AK19" s="105"/>
      <c r="AL19" s="105"/>
      <c r="AM19" s="104">
        <f>+AL19-AK19</f>
        <v>0</v>
      </c>
      <c r="AN19" s="111"/>
      <c r="AO19" s="112">
        <f>(AJ19*2+AM19)</f>
        <v>0</v>
      </c>
      <c r="AP19" s="841">
        <f>+L19+V19+AF19+AO19+L42+V42+AF41-AN19</f>
        <v>16.999999999999801</v>
      </c>
      <c r="AQ19" s="842"/>
      <c r="AR19" s="843">
        <f>ROUND(BD19*AP19,1)</f>
        <v>65.900000000000006</v>
      </c>
      <c r="AS19" s="844"/>
      <c r="AT19" s="113">
        <f>IF(AT42&gt;0,AT42*$AT$10,0)</f>
        <v>24</v>
      </c>
      <c r="AU19" s="69"/>
      <c r="AV19" s="114">
        <f>+L19</f>
        <v>0</v>
      </c>
      <c r="AW19" s="114">
        <f>+V19</f>
        <v>0</v>
      </c>
      <c r="AX19" s="114">
        <f>+AF19</f>
        <v>0</v>
      </c>
      <c r="AY19" s="114">
        <f>+AO19</f>
        <v>0</v>
      </c>
      <c r="AZ19" s="114">
        <f>+L42</f>
        <v>0</v>
      </c>
      <c r="BA19" s="114">
        <f>+V42</f>
        <v>0</v>
      </c>
      <c r="BB19" s="114">
        <f>+AF42</f>
        <v>0</v>
      </c>
      <c r="BC19" s="35"/>
      <c r="BD19" s="115">
        <f>+I82</f>
        <v>3.8750035714285715</v>
      </c>
      <c r="BE19" s="115">
        <f>+BD19*AP19</f>
        <v>65.875060714284942</v>
      </c>
      <c r="BF19" s="115">
        <f>+BD19*AY19</f>
        <v>0</v>
      </c>
    </row>
    <row r="20" spans="1:60" s="116" customFormat="1" ht="14.1" customHeight="1">
      <c r="A20" s="62">
        <v>9</v>
      </c>
      <c r="B20" s="91" t="str">
        <f>+B83</f>
        <v>Jairo Mirabal</v>
      </c>
      <c r="C20" s="102">
        <v>7</v>
      </c>
      <c r="D20" s="102">
        <v>16</v>
      </c>
      <c r="E20" s="102">
        <v>1</v>
      </c>
      <c r="F20" s="104">
        <f>+D20-C20-E20</f>
        <v>8</v>
      </c>
      <c r="G20" s="51"/>
      <c r="H20" s="43"/>
      <c r="I20" s="104">
        <f>+H20-G20</f>
        <v>0</v>
      </c>
      <c r="J20" s="105"/>
      <c r="K20" s="106">
        <f>+I20+F20-L20</f>
        <v>8</v>
      </c>
      <c r="L20" s="107">
        <f>IF(C20&gt;0,(F20+I20)+IF(K$5&gt;0,F20,-8),0)+IF(U$5&gt;0,I20,0)</f>
        <v>0</v>
      </c>
      <c r="M20" s="108">
        <v>7</v>
      </c>
      <c r="N20" s="105">
        <v>16</v>
      </c>
      <c r="O20" s="105">
        <v>1</v>
      </c>
      <c r="P20" s="104">
        <f>+N20-M20-O20</f>
        <v>8</v>
      </c>
      <c r="Q20" s="43"/>
      <c r="R20" s="117"/>
      <c r="S20" s="104">
        <f>+R20-Q20</f>
        <v>0</v>
      </c>
      <c r="T20" s="105"/>
      <c r="U20" s="106">
        <f>+S20+P20-V20</f>
        <v>8</v>
      </c>
      <c r="V20" s="107">
        <f>IF(M20&gt;0,(P20+S20)+IF(U$5&gt;0,P20,-8),0)+IF(AE$5&gt;0,S20,0)</f>
        <v>0</v>
      </c>
      <c r="W20" s="105">
        <v>7</v>
      </c>
      <c r="X20" s="105">
        <v>16</v>
      </c>
      <c r="Y20" s="105">
        <v>1</v>
      </c>
      <c r="Z20" s="104">
        <f>+X20-W20-Y20</f>
        <v>8</v>
      </c>
      <c r="AA20" s="105"/>
      <c r="AB20" s="28"/>
      <c r="AC20" s="104">
        <f>+AB20-AA20</f>
        <v>0</v>
      </c>
      <c r="AD20" s="105"/>
      <c r="AE20" s="106">
        <f t="shared" si="11"/>
        <v>8</v>
      </c>
      <c r="AF20" s="107">
        <f t="shared" si="28"/>
        <v>0</v>
      </c>
      <c r="AG20" s="105">
        <v>7</v>
      </c>
      <c r="AH20" s="105">
        <v>16</v>
      </c>
      <c r="AI20" s="105">
        <v>1</v>
      </c>
      <c r="AJ20" s="110">
        <f>+AH20-AG20-AI20</f>
        <v>8</v>
      </c>
      <c r="AK20" s="105"/>
      <c r="AL20" s="105"/>
      <c r="AM20" s="104">
        <f>+AL20-AK20</f>
        <v>0</v>
      </c>
      <c r="AN20" s="111"/>
      <c r="AO20" s="112">
        <f>(AJ20*2+AM20)</f>
        <v>16</v>
      </c>
      <c r="AP20" s="841">
        <f t="shared" ref="AP20:AP25" si="29">+L20+V20+AF20+AO20+L42+V42+AF42-AN20</f>
        <v>16</v>
      </c>
      <c r="AQ20" s="842"/>
      <c r="AR20" s="843">
        <f>ROUND(BD20*AP20,1)</f>
        <v>62</v>
      </c>
      <c r="AS20" s="844"/>
      <c r="AT20" s="113">
        <f>IF(AT42&gt;0,AT42*$AT$10,0)</f>
        <v>24</v>
      </c>
      <c r="AU20" s="69"/>
      <c r="AV20" s="114">
        <f>+L20</f>
        <v>0</v>
      </c>
      <c r="AW20" s="114">
        <f>+V20</f>
        <v>0</v>
      </c>
      <c r="AX20" s="114">
        <f>+AF20</f>
        <v>0</v>
      </c>
      <c r="AY20" s="114">
        <f>+AO20</f>
        <v>16</v>
      </c>
      <c r="AZ20" s="114">
        <f>+L42</f>
        <v>0</v>
      </c>
      <c r="BA20" s="114">
        <f>+V42</f>
        <v>0</v>
      </c>
      <c r="BB20" s="114">
        <f>+AF42</f>
        <v>0</v>
      </c>
      <c r="BC20" s="35"/>
      <c r="BD20" s="115">
        <f>+I83</f>
        <v>3.8750035714285715</v>
      </c>
      <c r="BE20" s="115">
        <f>+BD20*AP20</f>
        <v>62.000057142857145</v>
      </c>
      <c r="BF20" s="115">
        <f>+BD20*AY20</f>
        <v>62.000057142857145</v>
      </c>
    </row>
    <row r="21" spans="1:60" s="69" customFormat="1" ht="14.1" customHeight="1" thickBot="1">
      <c r="A21" s="62">
        <v>10</v>
      </c>
      <c r="B21" s="118" t="str">
        <f>+B84</f>
        <v>Pedro Hostos S.</v>
      </c>
      <c r="C21" s="119">
        <v>7</v>
      </c>
      <c r="D21" s="119">
        <v>16</v>
      </c>
      <c r="E21" s="119">
        <v>1</v>
      </c>
      <c r="F21" s="120">
        <f t="shared" si="1"/>
        <v>8</v>
      </c>
      <c r="G21" s="121"/>
      <c r="H21" s="121"/>
      <c r="I21" s="120">
        <f t="shared" si="2"/>
        <v>0</v>
      </c>
      <c r="J21" s="119"/>
      <c r="K21" s="120">
        <f t="shared" si="3"/>
        <v>8</v>
      </c>
      <c r="L21" s="122">
        <f t="shared" si="4"/>
        <v>0</v>
      </c>
      <c r="M21" s="123"/>
      <c r="N21" s="119"/>
      <c r="O21" s="119"/>
      <c r="P21" s="120">
        <f t="shared" si="5"/>
        <v>0</v>
      </c>
      <c r="Q21" s="121"/>
      <c r="R21" s="121"/>
      <c r="S21" s="120">
        <f t="shared" si="6"/>
        <v>0</v>
      </c>
      <c r="T21" s="119"/>
      <c r="U21" s="120">
        <f t="shared" si="7"/>
        <v>0</v>
      </c>
      <c r="V21" s="122">
        <f t="shared" si="8"/>
        <v>0</v>
      </c>
      <c r="W21" s="119">
        <v>7</v>
      </c>
      <c r="X21" s="119">
        <v>16</v>
      </c>
      <c r="Y21" s="119">
        <v>1</v>
      </c>
      <c r="Z21" s="120">
        <f t="shared" si="9"/>
        <v>8</v>
      </c>
      <c r="AA21" s="119"/>
      <c r="AB21" s="124"/>
      <c r="AC21" s="120">
        <f t="shared" si="10"/>
        <v>0</v>
      </c>
      <c r="AD21" s="119"/>
      <c r="AE21" s="125">
        <f t="shared" si="11"/>
        <v>8</v>
      </c>
      <c r="AF21" s="122">
        <f t="shared" si="28"/>
        <v>0</v>
      </c>
      <c r="AG21" s="119"/>
      <c r="AH21" s="119"/>
      <c r="AI21" s="119"/>
      <c r="AJ21" s="126">
        <f t="shared" si="12"/>
        <v>0</v>
      </c>
      <c r="AK21" s="119"/>
      <c r="AL21" s="119"/>
      <c r="AM21" s="120">
        <f t="shared" si="13"/>
        <v>0</v>
      </c>
      <c r="AN21" s="127"/>
      <c r="AO21" s="128">
        <f t="shared" si="14"/>
        <v>0</v>
      </c>
      <c r="AP21" s="847">
        <f t="shared" si="29"/>
        <v>0</v>
      </c>
      <c r="AQ21" s="848"/>
      <c r="AR21" s="849">
        <f t="shared" si="16"/>
        <v>0</v>
      </c>
      <c r="AS21" s="850"/>
      <c r="AT21" s="130">
        <f>IF(AT43&gt;0,AT43*$AT$10,0)</f>
        <v>16</v>
      </c>
      <c r="AV21" s="131">
        <f t="shared" si="18"/>
        <v>0</v>
      </c>
      <c r="AW21" s="131">
        <f t="shared" si="19"/>
        <v>0</v>
      </c>
      <c r="AX21" s="131">
        <f t="shared" si="20"/>
        <v>0</v>
      </c>
      <c r="AY21" s="132">
        <f t="shared" si="21"/>
        <v>0</v>
      </c>
      <c r="AZ21" s="131">
        <f>+L43</f>
        <v>0</v>
      </c>
      <c r="BA21" s="131">
        <f>+V43</f>
        <v>0</v>
      </c>
      <c r="BB21" s="131">
        <f>+AF43</f>
        <v>0</v>
      </c>
      <c r="BC21" s="35"/>
      <c r="BD21" s="115">
        <f>+I84</f>
        <v>3.8750035714285715</v>
      </c>
      <c r="BE21" s="133">
        <f t="shared" si="26"/>
        <v>0</v>
      </c>
      <c r="BF21" s="134">
        <f t="shared" si="27"/>
        <v>0</v>
      </c>
    </row>
    <row r="22" spans="1:60" ht="14.1" customHeight="1" thickTop="1">
      <c r="A22" s="1">
        <v>11</v>
      </c>
      <c r="B22" s="39" t="str">
        <f>+B86</f>
        <v>Miguel Tejada Ll.</v>
      </c>
      <c r="C22" s="56">
        <v>7</v>
      </c>
      <c r="D22" s="43">
        <v>16</v>
      </c>
      <c r="E22" s="54">
        <v>1</v>
      </c>
      <c r="F22" s="53">
        <f>+D22-C22-E22</f>
        <v>8</v>
      </c>
      <c r="G22" s="43"/>
      <c r="H22" s="117"/>
      <c r="I22" s="53">
        <f>+H22-G22</f>
        <v>0</v>
      </c>
      <c r="J22" s="54"/>
      <c r="K22" s="55">
        <f>+I22+F22-L22</f>
        <v>8</v>
      </c>
      <c r="L22" s="135">
        <f>IF(C22&gt;0,(F22+I22)+IF(K$5&gt;0,F22,-8),0)+IF(U$5&gt;0,I22,0)</f>
        <v>0</v>
      </c>
      <c r="M22" s="136">
        <v>7</v>
      </c>
      <c r="N22" s="43">
        <v>16</v>
      </c>
      <c r="O22" s="54">
        <v>1</v>
      </c>
      <c r="P22" s="53">
        <f>+N22-M22-O22</f>
        <v>8</v>
      </c>
      <c r="Q22" s="43"/>
      <c r="R22" s="43"/>
      <c r="S22" s="53">
        <f>+R22-Q22</f>
        <v>0</v>
      </c>
      <c r="T22" s="54"/>
      <c r="U22" s="55">
        <f>+S22+P22-V22</f>
        <v>8</v>
      </c>
      <c r="V22" s="135">
        <f>IF(M22&gt;0,(P22+S22)+IF(U$5&gt;0,P22,-8),0)+IF(AE$5&gt;0,S22,0)</f>
        <v>0</v>
      </c>
      <c r="W22" s="43">
        <v>7</v>
      </c>
      <c r="X22" s="43">
        <v>16</v>
      </c>
      <c r="Y22" s="54">
        <v>1</v>
      </c>
      <c r="Z22" s="53">
        <f>+X22-W22-Y22</f>
        <v>8</v>
      </c>
      <c r="AA22" s="44"/>
      <c r="AB22" s="28"/>
      <c r="AC22" s="53">
        <f>+AB22-AA22</f>
        <v>0</v>
      </c>
      <c r="AD22" s="54"/>
      <c r="AE22" s="137">
        <f t="shared" si="11"/>
        <v>8</v>
      </c>
      <c r="AF22" s="135">
        <f>IF(W22&gt;0,IF(AE$5&gt;0,(Z22+AC22)*2,(Z22+AC22-8)),0)*IF(Z22&lt;9,IF(AE$5&gt;0,1,2),1)+IF(Z22&gt;8,AC22,0)</f>
        <v>0</v>
      </c>
      <c r="AG22" s="138">
        <v>7</v>
      </c>
      <c r="AH22" s="43">
        <v>16</v>
      </c>
      <c r="AI22" s="54">
        <v>1</v>
      </c>
      <c r="AJ22" s="139">
        <f>+AH22-AG22-AI22</f>
        <v>8</v>
      </c>
      <c r="AK22" s="43"/>
      <c r="AL22" s="43"/>
      <c r="AM22" s="53">
        <f>+AL22-AK22</f>
        <v>0</v>
      </c>
      <c r="AN22" s="57"/>
      <c r="AO22" s="140">
        <f>(AJ22*2+AM22)</f>
        <v>16</v>
      </c>
      <c r="AP22" s="821">
        <f t="shared" si="29"/>
        <v>13</v>
      </c>
      <c r="AQ22" s="822"/>
      <c r="AR22" s="823">
        <f>ROUND(BD22*AP22,1)</f>
        <v>70.599999999999994</v>
      </c>
      <c r="AS22" s="824"/>
      <c r="AT22" s="49">
        <f>IF(AT44&gt;0,AT44*$AT$10,0)</f>
        <v>24</v>
      </c>
      <c r="AV22" s="33">
        <f>+L22</f>
        <v>0</v>
      </c>
      <c r="AW22" s="33">
        <f>+V22</f>
        <v>0</v>
      </c>
      <c r="AX22" s="33">
        <f>+AF22</f>
        <v>0</v>
      </c>
      <c r="AY22" s="34">
        <f>+AO22</f>
        <v>16</v>
      </c>
      <c r="AZ22" s="33">
        <f>+L44</f>
        <v>-3</v>
      </c>
      <c r="BA22" s="33">
        <f>+V44</f>
        <v>0</v>
      </c>
      <c r="BB22" s="33">
        <f>+AF44</f>
        <v>0</v>
      </c>
      <c r="BC22" s="35"/>
      <c r="BD22" s="36">
        <f>+I86</f>
        <v>5.4333333333333327</v>
      </c>
      <c r="BE22" s="37">
        <f>+BD22*AP22</f>
        <v>70.633333333333326</v>
      </c>
      <c r="BF22" s="38">
        <f>+BD22*AY22</f>
        <v>86.933333333333323</v>
      </c>
      <c r="BH22" s="141"/>
    </row>
    <row r="23" spans="1:60" ht="14.1" customHeight="1">
      <c r="A23" s="1">
        <v>12</v>
      </c>
      <c r="B23" s="39" t="str">
        <f>+B87</f>
        <v>Pier Alejos A.</v>
      </c>
      <c r="C23" s="56">
        <v>8</v>
      </c>
      <c r="D23" s="43">
        <v>17</v>
      </c>
      <c r="E23" s="54">
        <v>1</v>
      </c>
      <c r="F23" s="53">
        <f>+D23-C23-E23</f>
        <v>8</v>
      </c>
      <c r="G23" s="43"/>
      <c r="H23" s="117"/>
      <c r="I23" s="53">
        <f>+H23-G23</f>
        <v>0</v>
      </c>
      <c r="J23" s="54"/>
      <c r="K23" s="55">
        <f>+I23+F23-L23</f>
        <v>8</v>
      </c>
      <c r="L23" s="135">
        <f>IF(C23&gt;0,(F23+I23)+IF(K$5&gt;0,F23,-8),0)+IF(U$5&gt;0,I23,0)</f>
        <v>0</v>
      </c>
      <c r="M23" s="136">
        <v>7</v>
      </c>
      <c r="N23" s="43">
        <v>17</v>
      </c>
      <c r="O23" s="54">
        <v>1</v>
      </c>
      <c r="P23" s="53">
        <f>+N23-M23-O23</f>
        <v>9</v>
      </c>
      <c r="Q23" s="43"/>
      <c r="R23" s="43"/>
      <c r="S23" s="53">
        <f>+R23-Q23</f>
        <v>0</v>
      </c>
      <c r="T23" s="54"/>
      <c r="U23" s="55">
        <f>+S23+P23-V23</f>
        <v>8</v>
      </c>
      <c r="V23" s="135">
        <f>IF(M23&gt;0,(P23+S23)+IF(U$5&gt;0,P23,-8),0)+IF(AE$5&gt;0,S23,0)</f>
        <v>1</v>
      </c>
      <c r="W23" s="43">
        <v>7</v>
      </c>
      <c r="X23" s="43">
        <v>16</v>
      </c>
      <c r="Y23" s="54">
        <v>1</v>
      </c>
      <c r="Z23" s="53">
        <f>+X23-W23-Y23</f>
        <v>8</v>
      </c>
      <c r="AA23" s="44"/>
      <c r="AB23" s="28"/>
      <c r="AC23" s="53">
        <f>+AB23-AA23</f>
        <v>0</v>
      </c>
      <c r="AD23" s="54"/>
      <c r="AE23" s="137">
        <f t="shared" si="11"/>
        <v>8</v>
      </c>
      <c r="AF23" s="135">
        <f>IF(W23&gt;0,IF(AE$5&gt;0,(Z23+AC23)*2,(Z23+AC23-8)),0)*IF(Z23&lt;9,IF(AE$5&gt;0,1,2),1)+IF(Z23&gt;8,AC23,0)</f>
        <v>0</v>
      </c>
      <c r="AG23" s="138"/>
      <c r="AH23" s="43"/>
      <c r="AI23" s="54"/>
      <c r="AJ23" s="139">
        <f>+AH23-AG23-AI23</f>
        <v>0</v>
      </c>
      <c r="AK23" s="43"/>
      <c r="AL23" s="43"/>
      <c r="AM23" s="53">
        <f>+AL23-AK23</f>
        <v>0</v>
      </c>
      <c r="AN23" s="57"/>
      <c r="AO23" s="140">
        <f>(AJ23*2+AM23)</f>
        <v>0</v>
      </c>
      <c r="AP23" s="821">
        <f t="shared" si="29"/>
        <v>4</v>
      </c>
      <c r="AQ23" s="822"/>
      <c r="AR23" s="823">
        <f>ROUND(BD23*AP23,1)</f>
        <v>15.5</v>
      </c>
      <c r="AS23" s="824"/>
      <c r="AT23" s="49">
        <f>IF(AT46&gt;0,AT46*$AT$10,0)</f>
        <v>16</v>
      </c>
      <c r="AV23" s="33">
        <f>+L23</f>
        <v>0</v>
      </c>
      <c r="AW23" s="33">
        <f>+V23</f>
        <v>1</v>
      </c>
      <c r="AX23" s="33">
        <f>+AF23</f>
        <v>0</v>
      </c>
      <c r="AY23" s="34">
        <f>+AO23</f>
        <v>0</v>
      </c>
      <c r="AZ23" s="33">
        <f>+L45</f>
        <v>0</v>
      </c>
      <c r="BA23" s="33">
        <f>+V45</f>
        <v>3</v>
      </c>
      <c r="BB23" s="33">
        <f>+AF45</f>
        <v>0</v>
      </c>
      <c r="BC23" s="35"/>
      <c r="BD23" s="36">
        <f>+I87</f>
        <v>3.8750035714285715</v>
      </c>
      <c r="BE23" s="37">
        <f>+BD23*AP23</f>
        <v>15.500014285714286</v>
      </c>
      <c r="BF23" s="38">
        <f>+BD23*AY23</f>
        <v>0</v>
      </c>
      <c r="BH23" s="141"/>
    </row>
    <row r="24" spans="1:60" s="116" customFormat="1" ht="14.1" customHeight="1">
      <c r="A24" s="62">
        <v>13</v>
      </c>
      <c r="B24" s="142" t="str">
        <f t="shared" ref="B24:B25" si="30">+B88</f>
        <v>Angel Colina N.</v>
      </c>
      <c r="C24" s="102">
        <v>7</v>
      </c>
      <c r="D24" s="102">
        <v>16</v>
      </c>
      <c r="E24" s="102">
        <v>1</v>
      </c>
      <c r="F24" s="143">
        <f>+D24-C24-E24</f>
        <v>8</v>
      </c>
      <c r="G24" s="144"/>
      <c r="H24" s="145"/>
      <c r="I24" s="143">
        <f>+H24-G24</f>
        <v>0</v>
      </c>
      <c r="J24" s="102"/>
      <c r="K24" s="146">
        <f>+I24+F24-L24</f>
        <v>8</v>
      </c>
      <c r="L24" s="147">
        <f>IF(C24&gt;0,(F24+I24)+IF(K$5&gt;0,F24,-8),0)+IF(U$5&gt;0,I24,0)</f>
        <v>0</v>
      </c>
      <c r="M24" s="148">
        <v>7</v>
      </c>
      <c r="N24" s="102">
        <v>16</v>
      </c>
      <c r="O24" s="102">
        <v>1</v>
      </c>
      <c r="P24" s="143">
        <f>+N24-M24-O24</f>
        <v>8</v>
      </c>
      <c r="Q24" s="43"/>
      <c r="R24" s="43"/>
      <c r="S24" s="143">
        <f>+R24-Q24</f>
        <v>0</v>
      </c>
      <c r="T24" s="102"/>
      <c r="U24" s="146">
        <f>+S24+P24-V24</f>
        <v>8</v>
      </c>
      <c r="V24" s="147">
        <f>IF(M24&gt;0,(P24+S24)+IF(U$5&gt;0,P24,-8),0)+IF(AE$5&gt;0,S24,0)</f>
        <v>0</v>
      </c>
      <c r="W24" s="102">
        <v>7</v>
      </c>
      <c r="X24" s="102">
        <v>16</v>
      </c>
      <c r="Y24" s="102">
        <v>1</v>
      </c>
      <c r="Z24" s="143">
        <f>+X24-W24-Y24</f>
        <v>8</v>
      </c>
      <c r="AA24" s="102"/>
      <c r="AB24" s="28"/>
      <c r="AC24" s="143">
        <f>+AB24-AA24</f>
        <v>0</v>
      </c>
      <c r="AD24" s="102"/>
      <c r="AE24" s="146">
        <f t="shared" si="11"/>
        <v>8</v>
      </c>
      <c r="AF24" s="147">
        <f>IF(W24&gt;0,IF(AE$5&gt;0,(Z24+AC24)*2,(Z24+AC24-8)),0)*IF(Z24&lt;9,IF(AE$5&gt;0,1,2),1)+IF(Z24&gt;8,AC24,0)</f>
        <v>0</v>
      </c>
      <c r="AG24" s="102"/>
      <c r="AH24" s="102"/>
      <c r="AI24" s="102"/>
      <c r="AJ24" s="149">
        <f>+AH24-AG24-AI24</f>
        <v>0</v>
      </c>
      <c r="AK24" s="102"/>
      <c r="AL24" s="102"/>
      <c r="AM24" s="143">
        <f>+AL24-AK24</f>
        <v>0</v>
      </c>
      <c r="AN24" s="150"/>
      <c r="AO24" s="151">
        <f>(AJ24*2+AM24)</f>
        <v>0</v>
      </c>
      <c r="AP24" s="841">
        <f t="shared" si="29"/>
        <v>0</v>
      </c>
      <c r="AQ24" s="842"/>
      <c r="AR24" s="843">
        <f>ROUND(BD24*AP24,1)</f>
        <v>0</v>
      </c>
      <c r="AS24" s="844"/>
      <c r="AT24" s="113">
        <f t="shared" ref="AT24:AT25" si="31">IF(AT46&gt;0,AT46*$AT$10,0)</f>
        <v>16</v>
      </c>
      <c r="AU24" s="69"/>
      <c r="AV24" s="114">
        <f>+L24</f>
        <v>0</v>
      </c>
      <c r="AW24" s="114">
        <f>+V24</f>
        <v>0</v>
      </c>
      <c r="AX24" s="114">
        <f>+AF24</f>
        <v>0</v>
      </c>
      <c r="AY24" s="114">
        <f>+AO24</f>
        <v>0</v>
      </c>
      <c r="AZ24" s="114">
        <f t="shared" ref="AZ24:AZ25" si="32">+L46</f>
        <v>0</v>
      </c>
      <c r="BA24" s="114">
        <f t="shared" ref="BA24:BA25" si="33">+V46</f>
        <v>0</v>
      </c>
      <c r="BB24" s="114">
        <f t="shared" ref="BB24:BB25" si="34">+AF46</f>
        <v>0</v>
      </c>
      <c r="BC24" s="35"/>
      <c r="BD24" s="115">
        <f t="shared" ref="BD24:BD25" si="35">+I88</f>
        <v>3.8750035714285715</v>
      </c>
      <c r="BE24" s="115">
        <f>+BD24*AP24</f>
        <v>0</v>
      </c>
      <c r="BF24" s="115">
        <f>+BD24*AY24</f>
        <v>0</v>
      </c>
    </row>
    <row r="25" spans="1:60" ht="14.1" customHeight="1" thickBot="1">
      <c r="A25" s="1">
        <v>14</v>
      </c>
      <c r="B25" s="152" t="str">
        <f t="shared" si="30"/>
        <v>Jose Lares P.</v>
      </c>
      <c r="C25" s="153">
        <v>7</v>
      </c>
      <c r="D25" s="154">
        <v>16</v>
      </c>
      <c r="E25" s="155">
        <v>1</v>
      </c>
      <c r="F25" s="156">
        <f>+D25-C25-E25</f>
        <v>8</v>
      </c>
      <c r="G25" s="154"/>
      <c r="H25" s="154"/>
      <c r="I25" s="156">
        <f>+H25-G25</f>
        <v>0</v>
      </c>
      <c r="J25" s="155"/>
      <c r="K25" s="157">
        <f>+I25+F25-L25</f>
        <v>8</v>
      </c>
      <c r="L25" s="158">
        <f t="shared" si="4"/>
        <v>0</v>
      </c>
      <c r="M25" s="159">
        <v>7</v>
      </c>
      <c r="N25" s="154">
        <v>16</v>
      </c>
      <c r="O25" s="155">
        <v>1</v>
      </c>
      <c r="P25" s="156">
        <f>+N25-M25-O25</f>
        <v>8</v>
      </c>
      <c r="Q25" s="160"/>
      <c r="R25" s="160"/>
      <c r="S25" s="156">
        <f>+R25-Q25</f>
        <v>0</v>
      </c>
      <c r="T25" s="155"/>
      <c r="U25" s="157">
        <f>+S25+P25-V25</f>
        <v>8</v>
      </c>
      <c r="V25" s="158">
        <f>IF(M25&gt;0,(P25+S25)+IF(U$5&gt;0,P25,-8),0)+IF(AE$5&gt;0,S25,0)</f>
        <v>0</v>
      </c>
      <c r="W25" s="154">
        <v>7</v>
      </c>
      <c r="X25" s="154">
        <v>16</v>
      </c>
      <c r="Y25" s="155">
        <v>1</v>
      </c>
      <c r="Z25" s="156">
        <f>+X25-W25-Y25</f>
        <v>8</v>
      </c>
      <c r="AA25" s="154"/>
      <c r="AB25" s="161"/>
      <c r="AC25" s="156">
        <f>+AB25-AA25</f>
        <v>0</v>
      </c>
      <c r="AD25" s="155"/>
      <c r="AE25" s="157">
        <f t="shared" si="11"/>
        <v>8</v>
      </c>
      <c r="AF25" s="158">
        <f>IF(W25&gt;0,IF(AE$5&gt;0,(Z25+AC25)*2,(Z25+AC25-8)),0)*IF(Z25&lt;9,IF(AE$5&gt;0,1,2),1)+IF(Z25&gt;8,AC25,0)</f>
        <v>0</v>
      </c>
      <c r="AG25" s="162"/>
      <c r="AH25" s="154"/>
      <c r="AI25" s="155"/>
      <c r="AJ25" s="163">
        <f t="shared" si="12"/>
        <v>0</v>
      </c>
      <c r="AK25" s="154"/>
      <c r="AL25" s="154"/>
      <c r="AM25" s="156">
        <f>+AL25-AK25</f>
        <v>0</v>
      </c>
      <c r="AN25" s="164"/>
      <c r="AO25" s="165">
        <f>(AJ25*2+AM25)</f>
        <v>0</v>
      </c>
      <c r="AP25" s="1190">
        <f t="shared" si="29"/>
        <v>0</v>
      </c>
      <c r="AQ25" s="1191"/>
      <c r="AR25" s="1192">
        <f>ROUND(BD25*AP25,1)</f>
        <v>0</v>
      </c>
      <c r="AS25" s="1193"/>
      <c r="AT25" s="166">
        <f t="shared" si="31"/>
        <v>20</v>
      </c>
      <c r="AV25" s="114">
        <f>+L25</f>
        <v>0</v>
      </c>
      <c r="AW25" s="114">
        <f>+V25</f>
        <v>0</v>
      </c>
      <c r="AX25" s="114">
        <f>+AF25</f>
        <v>0</v>
      </c>
      <c r="AY25" s="114">
        <f>+AO25</f>
        <v>0</v>
      </c>
      <c r="AZ25" s="114">
        <f t="shared" si="32"/>
        <v>0</v>
      </c>
      <c r="BA25" s="114">
        <f t="shared" si="33"/>
        <v>0</v>
      </c>
      <c r="BB25" s="114">
        <f t="shared" si="34"/>
        <v>0</v>
      </c>
      <c r="BC25" s="35"/>
      <c r="BD25" s="36">
        <f t="shared" si="35"/>
        <v>3.8750035714285715</v>
      </c>
      <c r="BE25" s="37">
        <f>+BD25*AP25</f>
        <v>0</v>
      </c>
      <c r="BF25" s="38">
        <f>+BD25*AY25</f>
        <v>0</v>
      </c>
    </row>
    <row r="26" spans="1:60" ht="5.0999999999999996" customHeight="1" thickBot="1">
      <c r="BC26" s="167"/>
      <c r="BD26" s="168"/>
      <c r="BE26" s="855">
        <f>SUM(BE11:BE25)</f>
        <v>335.89005476190403</v>
      </c>
      <c r="BF26" s="856">
        <f>SUM(BF11:BF25)</f>
        <v>231.07624761904759</v>
      </c>
    </row>
    <row r="27" spans="1:60" ht="9.9499999999999993" customHeight="1">
      <c r="B27" s="741" t="s">
        <v>1</v>
      </c>
      <c r="C27" s="858">
        <f>1+AG5</f>
        <v>43829</v>
      </c>
      <c r="D27" s="858"/>
      <c r="E27" s="858"/>
      <c r="F27" s="858"/>
      <c r="G27" s="858"/>
      <c r="H27" s="858"/>
      <c r="I27" s="858"/>
      <c r="J27" s="858"/>
      <c r="K27" s="860"/>
      <c r="L27" s="861"/>
      <c r="M27" s="864">
        <f>1+C27</f>
        <v>43830</v>
      </c>
      <c r="N27" s="865"/>
      <c r="O27" s="865"/>
      <c r="P27" s="865"/>
      <c r="Q27" s="865"/>
      <c r="R27" s="865"/>
      <c r="S27" s="865"/>
      <c r="T27" s="866"/>
      <c r="U27" s="870"/>
      <c r="V27" s="871"/>
      <c r="W27" s="1204">
        <f>1+M27</f>
        <v>43831</v>
      </c>
      <c r="X27" s="1204"/>
      <c r="Y27" s="1204"/>
      <c r="Z27" s="1204"/>
      <c r="AA27" s="1204"/>
      <c r="AB27" s="1204"/>
      <c r="AC27" s="1204"/>
      <c r="AD27" s="1204"/>
      <c r="AE27" s="880" t="s">
        <v>17</v>
      </c>
      <c r="AF27" s="881"/>
      <c r="AH27" s="884" t="s">
        <v>18</v>
      </c>
      <c r="AI27" s="879">
        <f>+C5</f>
        <v>43825</v>
      </c>
      <c r="AJ27" s="885">
        <f t="shared" ref="AJ27:AO27" si="36">1+AI27</f>
        <v>43826</v>
      </c>
      <c r="AK27" s="885">
        <f t="shared" si="36"/>
        <v>43827</v>
      </c>
      <c r="AL27" s="878">
        <f t="shared" si="36"/>
        <v>43828</v>
      </c>
      <c r="AM27" s="878">
        <f t="shared" si="36"/>
        <v>43829</v>
      </c>
      <c r="AN27" s="879">
        <f t="shared" si="36"/>
        <v>43830</v>
      </c>
      <c r="AO27" s="879">
        <f t="shared" si="36"/>
        <v>43831</v>
      </c>
      <c r="AP27" s="911" t="s">
        <v>19</v>
      </c>
      <c r="AQ27" s="912"/>
      <c r="AR27" s="913" t="s">
        <v>20</v>
      </c>
      <c r="AS27" s="914"/>
      <c r="AT27" s="898" t="s">
        <v>21</v>
      </c>
      <c r="AW27" s="901">
        <f>+AL27</f>
        <v>43828</v>
      </c>
      <c r="AX27" s="902"/>
      <c r="AZ27" s="907" t="s">
        <v>22</v>
      </c>
      <c r="BA27" s="907"/>
      <c r="BB27" s="907"/>
      <c r="BC27" s="907"/>
      <c r="BD27" s="168"/>
      <c r="BE27" s="855"/>
      <c r="BF27" s="857"/>
    </row>
    <row r="28" spans="1:60" ht="9.9499999999999993" customHeight="1">
      <c r="B28" s="742"/>
      <c r="C28" s="859"/>
      <c r="D28" s="859"/>
      <c r="E28" s="859"/>
      <c r="F28" s="859"/>
      <c r="G28" s="859"/>
      <c r="H28" s="859"/>
      <c r="I28" s="859"/>
      <c r="J28" s="859"/>
      <c r="K28" s="862"/>
      <c r="L28" s="863"/>
      <c r="M28" s="867"/>
      <c r="N28" s="868"/>
      <c r="O28" s="868"/>
      <c r="P28" s="868"/>
      <c r="Q28" s="868"/>
      <c r="R28" s="868"/>
      <c r="S28" s="868"/>
      <c r="T28" s="869"/>
      <c r="U28" s="872"/>
      <c r="V28" s="873"/>
      <c r="W28" s="1205"/>
      <c r="X28" s="1205"/>
      <c r="Y28" s="1205"/>
      <c r="Z28" s="1205"/>
      <c r="AA28" s="1205"/>
      <c r="AB28" s="1205"/>
      <c r="AC28" s="1205"/>
      <c r="AD28" s="1205"/>
      <c r="AE28" s="882"/>
      <c r="AF28" s="883"/>
      <c r="AH28" s="884"/>
      <c r="AI28" s="879"/>
      <c r="AJ28" s="885"/>
      <c r="AK28" s="885"/>
      <c r="AL28" s="878"/>
      <c r="AM28" s="878"/>
      <c r="AN28" s="879"/>
      <c r="AO28" s="879"/>
      <c r="AP28" s="911"/>
      <c r="AQ28" s="912"/>
      <c r="AR28" s="915"/>
      <c r="AS28" s="916"/>
      <c r="AT28" s="899"/>
      <c r="AW28" s="903"/>
      <c r="AX28" s="904"/>
      <c r="AZ28" s="908">
        <f>SUM(AV11:BB25)</f>
        <v>58</v>
      </c>
      <c r="BA28" s="909"/>
      <c r="BB28" s="909"/>
      <c r="BC28" s="169"/>
      <c r="BD28" s="168"/>
      <c r="BE28" s="170"/>
    </row>
    <row r="29" spans="1:60" ht="15.2" customHeight="1">
      <c r="B29" s="742"/>
      <c r="C29" s="780" t="s">
        <v>10</v>
      </c>
      <c r="D29" s="874"/>
      <c r="E29" s="766" t="s">
        <v>11</v>
      </c>
      <c r="F29" s="769" t="s">
        <v>12</v>
      </c>
      <c r="G29" s="877" t="s">
        <v>10</v>
      </c>
      <c r="H29" s="874"/>
      <c r="I29" s="769" t="s">
        <v>12</v>
      </c>
      <c r="J29" s="773" t="s">
        <v>13</v>
      </c>
      <c r="K29" s="786" t="s">
        <v>14</v>
      </c>
      <c r="L29" s="886" t="s">
        <v>15</v>
      </c>
      <c r="M29" s="780" t="s">
        <v>10</v>
      </c>
      <c r="N29" s="888"/>
      <c r="O29" s="767" t="s">
        <v>11</v>
      </c>
      <c r="P29" s="770" t="s">
        <v>12</v>
      </c>
      <c r="Q29" s="877" t="s">
        <v>10</v>
      </c>
      <c r="R29" s="893"/>
      <c r="S29" s="770" t="s">
        <v>12</v>
      </c>
      <c r="T29" s="774" t="s">
        <v>13</v>
      </c>
      <c r="U29" s="787" t="s">
        <v>14</v>
      </c>
      <c r="V29" s="886" t="s">
        <v>15</v>
      </c>
      <c r="W29" s="780" t="s">
        <v>10</v>
      </c>
      <c r="X29" s="888"/>
      <c r="Y29" s="767" t="s">
        <v>11</v>
      </c>
      <c r="Z29" s="770" t="s">
        <v>12</v>
      </c>
      <c r="AA29" s="877" t="s">
        <v>10</v>
      </c>
      <c r="AB29" s="893"/>
      <c r="AC29" s="770" t="s">
        <v>12</v>
      </c>
      <c r="AD29" s="774" t="s">
        <v>13</v>
      </c>
      <c r="AE29" s="787" t="s">
        <v>14</v>
      </c>
      <c r="AF29" s="886"/>
      <c r="AH29" s="884"/>
      <c r="AI29" s="879"/>
      <c r="AJ29" s="885"/>
      <c r="AK29" s="885"/>
      <c r="AL29" s="878"/>
      <c r="AM29" s="878"/>
      <c r="AN29" s="879"/>
      <c r="AO29" s="879"/>
      <c r="AP29" s="911"/>
      <c r="AQ29" s="912"/>
      <c r="AR29" s="915"/>
      <c r="AS29" s="916"/>
      <c r="AT29" s="899"/>
      <c r="AW29" s="903"/>
      <c r="AX29" s="904"/>
      <c r="AZ29" s="910"/>
      <c r="BA29" s="910"/>
      <c r="BB29" s="910"/>
      <c r="BC29" s="169"/>
      <c r="BD29" s="168"/>
      <c r="BE29" s="168"/>
    </row>
    <row r="30" spans="1:60" ht="15.2" customHeight="1">
      <c r="B30" s="742"/>
      <c r="C30" s="875"/>
      <c r="D30" s="810"/>
      <c r="E30" s="767"/>
      <c r="F30" s="770"/>
      <c r="G30" s="811"/>
      <c r="H30" s="810"/>
      <c r="I30" s="770"/>
      <c r="J30" s="774"/>
      <c r="K30" s="787"/>
      <c r="L30" s="886"/>
      <c r="M30" s="889"/>
      <c r="N30" s="890"/>
      <c r="O30" s="767"/>
      <c r="P30" s="770"/>
      <c r="Q30" s="894"/>
      <c r="R30" s="895"/>
      <c r="S30" s="770"/>
      <c r="T30" s="774"/>
      <c r="U30" s="787"/>
      <c r="V30" s="886"/>
      <c r="W30" s="889"/>
      <c r="X30" s="890"/>
      <c r="Y30" s="767"/>
      <c r="Z30" s="770"/>
      <c r="AA30" s="894"/>
      <c r="AB30" s="895"/>
      <c r="AC30" s="770"/>
      <c r="AD30" s="774"/>
      <c r="AE30" s="787"/>
      <c r="AF30" s="886"/>
      <c r="AH30" s="884"/>
      <c r="AI30" s="879"/>
      <c r="AJ30" s="885"/>
      <c r="AK30" s="885"/>
      <c r="AL30" s="878"/>
      <c r="AM30" s="878"/>
      <c r="AN30" s="879"/>
      <c r="AO30" s="879"/>
      <c r="AP30" s="911"/>
      <c r="AQ30" s="912"/>
      <c r="AR30" s="915"/>
      <c r="AS30" s="916"/>
      <c r="AT30" s="899"/>
      <c r="AW30" s="903"/>
      <c r="AX30" s="904"/>
      <c r="AY30" s="7" t="s">
        <v>23</v>
      </c>
      <c r="BD30" s="171">
        <f>+AZ28-AW49</f>
        <v>10</v>
      </c>
      <c r="BE30" s="172" t="s">
        <v>24</v>
      </c>
    </row>
    <row r="31" spans="1:60" ht="15.2" customHeight="1">
      <c r="B31" s="742"/>
      <c r="C31" s="875"/>
      <c r="D31" s="810"/>
      <c r="E31" s="767"/>
      <c r="F31" s="770"/>
      <c r="G31" s="811"/>
      <c r="H31" s="810"/>
      <c r="I31" s="770"/>
      <c r="J31" s="774"/>
      <c r="K31" s="787"/>
      <c r="L31" s="886"/>
      <c r="M31" s="889"/>
      <c r="N31" s="890"/>
      <c r="O31" s="767"/>
      <c r="P31" s="770"/>
      <c r="Q31" s="894"/>
      <c r="R31" s="895"/>
      <c r="S31" s="770"/>
      <c r="T31" s="774"/>
      <c r="U31" s="787"/>
      <c r="V31" s="886"/>
      <c r="W31" s="889"/>
      <c r="X31" s="890"/>
      <c r="Y31" s="767"/>
      <c r="Z31" s="770"/>
      <c r="AA31" s="894"/>
      <c r="AB31" s="895"/>
      <c r="AC31" s="770"/>
      <c r="AD31" s="774"/>
      <c r="AE31" s="787"/>
      <c r="AF31" s="886"/>
      <c r="AH31" s="884"/>
      <c r="AI31" s="879"/>
      <c r="AJ31" s="885"/>
      <c r="AK31" s="885"/>
      <c r="AL31" s="878"/>
      <c r="AM31" s="878"/>
      <c r="AN31" s="879"/>
      <c r="AO31" s="879"/>
      <c r="AP31" s="911"/>
      <c r="AQ31" s="912"/>
      <c r="AR31" s="915"/>
      <c r="AS31" s="916"/>
      <c r="AT31" s="899"/>
      <c r="AW31" s="903"/>
      <c r="AX31" s="904"/>
    </row>
    <row r="32" spans="1:60" ht="15.2" customHeight="1" thickBot="1">
      <c r="B32" s="743"/>
      <c r="C32" s="876"/>
      <c r="D32" s="813"/>
      <c r="E32" s="768"/>
      <c r="F32" s="771"/>
      <c r="G32" s="812"/>
      <c r="H32" s="813"/>
      <c r="I32" s="771"/>
      <c r="J32" s="775"/>
      <c r="K32" s="788"/>
      <c r="L32" s="887"/>
      <c r="M32" s="891"/>
      <c r="N32" s="892"/>
      <c r="O32" s="768"/>
      <c r="P32" s="771"/>
      <c r="Q32" s="896"/>
      <c r="R32" s="897"/>
      <c r="S32" s="771"/>
      <c r="T32" s="775"/>
      <c r="U32" s="788"/>
      <c r="V32" s="887"/>
      <c r="W32" s="891"/>
      <c r="X32" s="892"/>
      <c r="Y32" s="768"/>
      <c r="Z32" s="771"/>
      <c r="AA32" s="896"/>
      <c r="AB32" s="897"/>
      <c r="AC32" s="771"/>
      <c r="AD32" s="775"/>
      <c r="AE32" s="788"/>
      <c r="AF32" s="887"/>
      <c r="AH32" s="884"/>
      <c r="AI32" s="879"/>
      <c r="AJ32" s="885"/>
      <c r="AK32" s="885"/>
      <c r="AL32" s="878"/>
      <c r="AM32" s="878"/>
      <c r="AN32" s="879"/>
      <c r="AO32" s="879"/>
      <c r="AP32" s="911"/>
      <c r="AQ32" s="912"/>
      <c r="AR32" s="917"/>
      <c r="AS32" s="918"/>
      <c r="AT32" s="900"/>
      <c r="AW32" s="905"/>
      <c r="AX32" s="906"/>
      <c r="BE32" s="173"/>
    </row>
    <row r="33" spans="1:57" ht="14.1" customHeight="1">
      <c r="B33" s="16" t="str">
        <f t="shared" ref="B33:B47" si="37">+B11</f>
        <v>Eduardo Segura D.</v>
      </c>
      <c r="C33" s="17">
        <v>8</v>
      </c>
      <c r="D33" s="18">
        <v>16</v>
      </c>
      <c r="E33" s="19">
        <v>1</v>
      </c>
      <c r="F33" s="40">
        <f t="shared" ref="F33:F47" si="38">+D33-C33-E33</f>
        <v>7</v>
      </c>
      <c r="G33" s="43"/>
      <c r="H33" s="43"/>
      <c r="I33" s="40">
        <f t="shared" ref="I33:I47" si="39">+H33-G33</f>
        <v>0</v>
      </c>
      <c r="J33" s="19"/>
      <c r="K33" s="41">
        <f t="shared" ref="K33:K47" si="40">+I33+F33-L33</f>
        <v>8</v>
      </c>
      <c r="L33" s="25">
        <f t="shared" ref="L33:L47" si="41">IF(C33&gt;0,(F33+I33)+IF(K$27&gt;0,F33,-8),0)+IF(U$27&gt;0,I33,0)</f>
        <v>-1</v>
      </c>
      <c r="M33" s="43">
        <v>7</v>
      </c>
      <c r="N33" s="18">
        <v>13</v>
      </c>
      <c r="O33" s="19">
        <v>1</v>
      </c>
      <c r="P33" s="40">
        <f t="shared" ref="P33:P47" si="42">+N33-M33-O33</f>
        <v>5</v>
      </c>
      <c r="Q33" s="138"/>
      <c r="R33" s="174">
        <v>1.5</v>
      </c>
      <c r="S33" s="40">
        <f t="shared" ref="S33:S47" si="43">+R33-Q33</f>
        <v>1.5</v>
      </c>
      <c r="T33" s="19"/>
      <c r="U33" s="41">
        <f t="shared" ref="U33:U47" si="44">+S33+P33-V33</f>
        <v>6.5</v>
      </c>
      <c r="V33" s="25">
        <f t="shared" ref="V33:V47" si="45">IF(M33&gt;0,(P33+S33)+IF(U$27&gt;0,P33,-8),0)+IF(AE$27&gt;0,S33,0)</f>
        <v>0</v>
      </c>
      <c r="W33" s="18"/>
      <c r="X33" s="18"/>
      <c r="Y33" s="175"/>
      <c r="Z33" s="176">
        <f t="shared" ref="Z33:Z47" si="46">+X33-W33-Y33</f>
        <v>0</v>
      </c>
      <c r="AA33" s="138"/>
      <c r="AB33" s="22"/>
      <c r="AC33" s="176">
        <f t="shared" ref="AC33:AC47" si="47">+AB33-AA33</f>
        <v>0</v>
      </c>
      <c r="AD33" s="175"/>
      <c r="AE33" s="177">
        <f t="shared" ref="AE33:AE47" si="48">+AC33+Z33-AF33</f>
        <v>0</v>
      </c>
      <c r="AF33" s="25">
        <f t="shared" ref="AF33:AF47" si="49">IF(W33&gt;0,(Z33+AC33)+IF(AE$27&gt;0,0+Z33,-8),0)</f>
        <v>0</v>
      </c>
      <c r="AG33" s="69"/>
      <c r="AH33" s="178">
        <v>0</v>
      </c>
      <c r="AI33" s="179">
        <f t="shared" ref="AI33:AI40" si="50">+K11+(IF(ISBLANK($K$5),-8,0))</f>
        <v>-8</v>
      </c>
      <c r="AJ33" s="179">
        <f t="shared" ref="AJ33:AJ40" si="51">IF(ISBLANK($U$5),-8,0)+U11</f>
        <v>0</v>
      </c>
      <c r="AK33" s="179">
        <f>IF(ISBLANK($AE$5),-8,0)+AE11</f>
        <v>0.5</v>
      </c>
      <c r="AL33" s="179">
        <f t="shared" ref="AL33:AL47" si="52">IF(ISBLANK($AO$5),-8,0)+AO11+AW33</f>
        <v>0</v>
      </c>
      <c r="AM33" s="179">
        <f t="shared" ref="AM33:AM47" si="53">IF(ISBLANK($K$27),-8,0)+K33</f>
        <v>0</v>
      </c>
      <c r="AN33" s="179">
        <f t="shared" ref="AN33:AN47" si="54">IF(ISBLANK($U$27),-8,0)+U33</f>
        <v>-1.5</v>
      </c>
      <c r="AO33" s="179">
        <f t="shared" ref="AO33:AO47" si="55">IF(ISBLANK($AE$27),-8,0)+AE33</f>
        <v>0</v>
      </c>
      <c r="AP33" s="180">
        <f t="shared" ref="AP33:AP47" si="56">SUM(AH33:AO33)</f>
        <v>-9</v>
      </c>
      <c r="AQ33" s="69"/>
      <c r="AR33" s="919">
        <f t="shared" ref="AR33:AR38" si="57">+X73*Q73</f>
        <v>0</v>
      </c>
      <c r="AS33" s="925"/>
      <c r="AT33" s="181">
        <f t="shared" ref="AT33:AT43" si="58">IF(K11+L11&gt;0,1,0)+IF(U11+V11&gt;0,1,0)+IF(AE11+AF11&gt;0,1,0)+IF(AO11&gt;3,1,0)+IF(K33+L33&gt;0,1,0)+IF(U33+V33&gt;0,1,0)+IF(AE33+AF33&gt;0,1,0)</f>
        <v>4</v>
      </c>
      <c r="AU33" s="69"/>
      <c r="AV33" s="69"/>
      <c r="AW33" s="921"/>
      <c r="AX33" s="922"/>
      <c r="BD33" s="182"/>
      <c r="BE33" s="183"/>
    </row>
    <row r="34" spans="1:57" ht="14.1" customHeight="1">
      <c r="B34" s="39" t="str">
        <f t="shared" si="37"/>
        <v>Cesar Mendez M.</v>
      </c>
      <c r="C34" s="17"/>
      <c r="D34" s="18"/>
      <c r="E34" s="19"/>
      <c r="F34" s="40">
        <f t="shared" si="38"/>
        <v>0</v>
      </c>
      <c r="G34" s="43"/>
      <c r="H34" s="43"/>
      <c r="I34" s="40">
        <f t="shared" si="39"/>
        <v>0</v>
      </c>
      <c r="J34" s="19"/>
      <c r="K34" s="41">
        <f t="shared" si="40"/>
        <v>0</v>
      </c>
      <c r="L34" s="25">
        <f t="shared" si="41"/>
        <v>0</v>
      </c>
      <c r="M34" s="43"/>
      <c r="N34" s="18"/>
      <c r="O34" s="19"/>
      <c r="P34" s="40">
        <f t="shared" si="42"/>
        <v>0</v>
      </c>
      <c r="Q34" s="43"/>
      <c r="R34" s="184"/>
      <c r="S34" s="40">
        <f t="shared" si="43"/>
        <v>0</v>
      </c>
      <c r="T34" s="19"/>
      <c r="U34" s="41">
        <f t="shared" si="44"/>
        <v>0</v>
      </c>
      <c r="V34" s="25">
        <f t="shared" si="45"/>
        <v>0</v>
      </c>
      <c r="W34" s="18"/>
      <c r="X34" s="18"/>
      <c r="Y34" s="19"/>
      <c r="Z34" s="40">
        <f t="shared" si="46"/>
        <v>0</v>
      </c>
      <c r="AA34" s="18"/>
      <c r="AB34" s="43"/>
      <c r="AC34" s="40">
        <f t="shared" si="47"/>
        <v>0</v>
      </c>
      <c r="AD34" s="19"/>
      <c r="AE34" s="41">
        <f t="shared" si="48"/>
        <v>0</v>
      </c>
      <c r="AF34" s="25">
        <f t="shared" si="49"/>
        <v>0</v>
      </c>
      <c r="AG34" s="69"/>
      <c r="AH34" s="178">
        <v>0</v>
      </c>
      <c r="AI34" s="179">
        <f t="shared" si="50"/>
        <v>0</v>
      </c>
      <c r="AJ34" s="179">
        <f t="shared" si="51"/>
        <v>0</v>
      </c>
      <c r="AK34" s="179">
        <f>IF(ISBLANK($AE$5),-8,0)+AE12</f>
        <v>0</v>
      </c>
      <c r="AL34" s="179">
        <f t="shared" si="52"/>
        <v>0</v>
      </c>
      <c r="AM34" s="179">
        <f t="shared" si="53"/>
        <v>-8</v>
      </c>
      <c r="AN34" s="179">
        <f t="shared" si="54"/>
        <v>-8</v>
      </c>
      <c r="AO34" s="179">
        <f t="shared" si="55"/>
        <v>0</v>
      </c>
      <c r="AP34" s="180">
        <f t="shared" si="56"/>
        <v>-16</v>
      </c>
      <c r="AQ34" s="69"/>
      <c r="AR34" s="919">
        <f t="shared" si="57"/>
        <v>0</v>
      </c>
      <c r="AS34" s="920"/>
      <c r="AT34" s="181">
        <f t="shared" si="58"/>
        <v>3</v>
      </c>
      <c r="AU34" s="69"/>
      <c r="AV34" s="69"/>
      <c r="AW34" s="921"/>
      <c r="AX34" s="922"/>
    </row>
    <row r="35" spans="1:57" ht="14.1" customHeight="1">
      <c r="B35" s="39" t="str">
        <f t="shared" si="37"/>
        <v>Alejandro Dueñas</v>
      </c>
      <c r="C35" s="50"/>
      <c r="D35" s="51"/>
      <c r="E35" s="52"/>
      <c r="F35" s="185">
        <f t="shared" si="38"/>
        <v>0</v>
      </c>
      <c r="G35" s="43"/>
      <c r="H35" s="43"/>
      <c r="I35" s="185">
        <f t="shared" si="39"/>
        <v>0</v>
      </c>
      <c r="J35" s="54"/>
      <c r="K35" s="106">
        <f t="shared" si="40"/>
        <v>0</v>
      </c>
      <c r="L35" s="25">
        <f t="shared" si="41"/>
        <v>0</v>
      </c>
      <c r="M35" s="43"/>
      <c r="N35" s="18"/>
      <c r="O35" s="19"/>
      <c r="P35" s="40">
        <f t="shared" si="42"/>
        <v>0</v>
      </c>
      <c r="Q35" s="43"/>
      <c r="R35" s="186"/>
      <c r="S35" s="185">
        <f t="shared" si="43"/>
        <v>0</v>
      </c>
      <c r="T35" s="54"/>
      <c r="U35" s="41">
        <f t="shared" si="44"/>
        <v>0</v>
      </c>
      <c r="V35" s="25">
        <f t="shared" si="45"/>
        <v>0</v>
      </c>
      <c r="W35" s="18"/>
      <c r="X35" s="18"/>
      <c r="Y35" s="19"/>
      <c r="Z35" s="40">
        <f t="shared" si="46"/>
        <v>0</v>
      </c>
      <c r="AA35" s="18"/>
      <c r="AB35" s="18"/>
      <c r="AC35" s="40">
        <f t="shared" si="47"/>
        <v>0</v>
      </c>
      <c r="AD35" s="54"/>
      <c r="AE35" s="41">
        <f t="shared" si="48"/>
        <v>0</v>
      </c>
      <c r="AF35" s="25">
        <f t="shared" si="49"/>
        <v>0</v>
      </c>
      <c r="AG35" s="69"/>
      <c r="AH35" s="178">
        <v>0</v>
      </c>
      <c r="AI35" s="179">
        <f t="shared" si="50"/>
        <v>0</v>
      </c>
      <c r="AJ35" s="179">
        <f t="shared" si="51"/>
        <v>0</v>
      </c>
      <c r="AK35" s="179">
        <f>IF(ISBLANK($AE$5),-8,0)+AE13</f>
        <v>0</v>
      </c>
      <c r="AL35" s="179">
        <f t="shared" si="52"/>
        <v>0</v>
      </c>
      <c r="AM35" s="179">
        <f t="shared" si="53"/>
        <v>-8</v>
      </c>
      <c r="AN35" s="179">
        <f t="shared" si="54"/>
        <v>-8</v>
      </c>
      <c r="AO35" s="179">
        <f t="shared" si="55"/>
        <v>0</v>
      </c>
      <c r="AP35" s="180">
        <f t="shared" si="56"/>
        <v>-16</v>
      </c>
      <c r="AQ35" s="69"/>
      <c r="AR35" s="919">
        <f t="shared" si="57"/>
        <v>0</v>
      </c>
      <c r="AS35" s="920"/>
      <c r="AT35" s="187">
        <f t="shared" si="58"/>
        <v>3</v>
      </c>
      <c r="AU35" s="69"/>
      <c r="AV35" s="69"/>
      <c r="AW35" s="926"/>
      <c r="AX35" s="927"/>
      <c r="AY35" s="188"/>
      <c r="BD35" s="182"/>
    </row>
    <row r="36" spans="1:57" ht="14.1" customHeight="1">
      <c r="B36" s="58" t="str">
        <f t="shared" si="37"/>
        <v>Juan Manrique V.</v>
      </c>
      <c r="C36" s="17">
        <v>7</v>
      </c>
      <c r="D36" s="18">
        <v>16</v>
      </c>
      <c r="E36" s="19">
        <v>1</v>
      </c>
      <c r="F36" s="40">
        <f t="shared" si="38"/>
        <v>8</v>
      </c>
      <c r="G36" s="43"/>
      <c r="H36" s="43"/>
      <c r="I36" s="40">
        <f t="shared" si="39"/>
        <v>0</v>
      </c>
      <c r="J36" s="19"/>
      <c r="K36" s="41">
        <f t="shared" si="40"/>
        <v>8</v>
      </c>
      <c r="L36" s="25">
        <f t="shared" si="41"/>
        <v>0</v>
      </c>
      <c r="M36" s="43">
        <v>7</v>
      </c>
      <c r="N36" s="18">
        <v>13</v>
      </c>
      <c r="O36" s="19">
        <v>1</v>
      </c>
      <c r="P36" s="40">
        <f t="shared" si="42"/>
        <v>5</v>
      </c>
      <c r="Q36" s="117"/>
      <c r="R36" s="189">
        <v>1.5</v>
      </c>
      <c r="S36" s="40">
        <f t="shared" si="43"/>
        <v>1.5</v>
      </c>
      <c r="T36" s="19"/>
      <c r="U36" s="41">
        <f t="shared" si="44"/>
        <v>6.5</v>
      </c>
      <c r="V36" s="25">
        <f t="shared" si="45"/>
        <v>0</v>
      </c>
      <c r="W36" s="18"/>
      <c r="X36" s="18"/>
      <c r="Y36" s="19"/>
      <c r="Z36" s="40">
        <f t="shared" si="46"/>
        <v>0</v>
      </c>
      <c r="AA36" s="18"/>
      <c r="AB36" s="18"/>
      <c r="AC36" s="40">
        <f t="shared" si="47"/>
        <v>0</v>
      </c>
      <c r="AD36" s="19"/>
      <c r="AE36" s="41">
        <f t="shared" si="48"/>
        <v>0</v>
      </c>
      <c r="AF36" s="25">
        <f t="shared" si="49"/>
        <v>0</v>
      </c>
      <c r="AG36" s="69"/>
      <c r="AH36" s="178">
        <v>0</v>
      </c>
      <c r="AI36" s="179">
        <f t="shared" si="50"/>
        <v>0</v>
      </c>
      <c r="AJ36" s="179">
        <f t="shared" si="51"/>
        <v>0</v>
      </c>
      <c r="AK36" s="179">
        <f>IF(ISBLANK($AE$5),-8,0)+AE14</f>
        <v>0</v>
      </c>
      <c r="AL36" s="179">
        <f t="shared" si="52"/>
        <v>0</v>
      </c>
      <c r="AM36" s="179">
        <f t="shared" si="53"/>
        <v>0</v>
      </c>
      <c r="AN36" s="179">
        <f t="shared" si="54"/>
        <v>-1.5</v>
      </c>
      <c r="AO36" s="179">
        <f t="shared" si="55"/>
        <v>0</v>
      </c>
      <c r="AP36" s="180">
        <f t="shared" si="56"/>
        <v>-1.5</v>
      </c>
      <c r="AQ36" s="69"/>
      <c r="AR36" s="919">
        <f t="shared" si="57"/>
        <v>0</v>
      </c>
      <c r="AS36" s="920"/>
      <c r="AT36" s="187">
        <f t="shared" si="58"/>
        <v>6</v>
      </c>
      <c r="AU36" s="69"/>
      <c r="AV36" s="69"/>
      <c r="AW36" s="926">
        <v>-16</v>
      </c>
      <c r="AX36" s="927"/>
      <c r="AZ36" s="182"/>
      <c r="BD36" s="182"/>
    </row>
    <row r="37" spans="1:57" ht="14.1" customHeight="1">
      <c r="B37" s="190" t="str">
        <f t="shared" si="37"/>
        <v xml:space="preserve"> Irving Huaringa B.</v>
      </c>
      <c r="C37" s="17">
        <v>7</v>
      </c>
      <c r="D37" s="18">
        <v>16</v>
      </c>
      <c r="E37" s="19">
        <v>1</v>
      </c>
      <c r="F37" s="40">
        <f>+D37-C37-E37</f>
        <v>8</v>
      </c>
      <c r="G37" s="43"/>
      <c r="H37" s="43"/>
      <c r="I37" s="40">
        <f>+H37-G37</f>
        <v>0</v>
      </c>
      <c r="J37" s="19"/>
      <c r="K37" s="41">
        <f>+I37+F37-L37</f>
        <v>8</v>
      </c>
      <c r="L37" s="25">
        <f t="shared" si="41"/>
        <v>0</v>
      </c>
      <c r="M37" s="43">
        <v>8</v>
      </c>
      <c r="N37" s="18">
        <v>13</v>
      </c>
      <c r="O37" s="19">
        <v>1</v>
      </c>
      <c r="P37" s="40">
        <f>+N37-M37-O37</f>
        <v>4</v>
      </c>
      <c r="Q37" s="117"/>
      <c r="R37" s="189">
        <v>1.5</v>
      </c>
      <c r="S37" s="40">
        <f>+R37-Q37</f>
        <v>1.5</v>
      </c>
      <c r="T37" s="19"/>
      <c r="U37" s="41">
        <f>+S37+P37-V37</f>
        <v>6.5</v>
      </c>
      <c r="V37" s="25">
        <f t="shared" si="45"/>
        <v>-1</v>
      </c>
      <c r="W37" s="18"/>
      <c r="X37" s="18"/>
      <c r="Y37" s="19"/>
      <c r="Z37" s="40">
        <f>+X37-W37-Y37</f>
        <v>0</v>
      </c>
      <c r="AA37" s="18"/>
      <c r="AB37" s="18"/>
      <c r="AC37" s="40">
        <f t="shared" si="47"/>
        <v>0</v>
      </c>
      <c r="AD37" s="19"/>
      <c r="AE37" s="41">
        <f>+AC37+Z37-AF37</f>
        <v>0</v>
      </c>
      <c r="AF37" s="25">
        <f t="shared" si="49"/>
        <v>0</v>
      </c>
      <c r="AG37" s="69"/>
      <c r="AH37" s="178">
        <v>0</v>
      </c>
      <c r="AI37" s="179">
        <f t="shared" si="50"/>
        <v>0</v>
      </c>
      <c r="AJ37" s="179">
        <f t="shared" si="51"/>
        <v>0</v>
      </c>
      <c r="AK37" s="191">
        <f>IF(ISBLANK($AE$5),-5,0)+AE15</f>
        <v>0</v>
      </c>
      <c r="AL37" s="179">
        <f t="shared" si="52"/>
        <v>0</v>
      </c>
      <c r="AM37" s="192">
        <f t="shared" si="53"/>
        <v>0</v>
      </c>
      <c r="AN37" s="192">
        <f t="shared" si="54"/>
        <v>-1.5</v>
      </c>
      <c r="AO37" s="192">
        <f t="shared" si="55"/>
        <v>0</v>
      </c>
      <c r="AP37" s="180">
        <f>SUM(AH37:AO37)</f>
        <v>-1.5</v>
      </c>
      <c r="AQ37" s="69"/>
      <c r="AR37" s="919">
        <f t="shared" si="57"/>
        <v>0</v>
      </c>
      <c r="AS37" s="920"/>
      <c r="AT37" s="187">
        <f t="shared" si="58"/>
        <v>5</v>
      </c>
      <c r="AU37" s="69"/>
      <c r="AV37" s="69"/>
      <c r="AW37" s="921"/>
      <c r="AX37" s="922"/>
    </row>
    <row r="38" spans="1:57" s="84" customFormat="1" ht="9.9499999999999993" customHeight="1">
      <c r="A38" s="70"/>
      <c r="B38" s="71" t="str">
        <f t="shared" si="37"/>
        <v xml:space="preserve">  -  .  -  </v>
      </c>
      <c r="C38" s="72"/>
      <c r="D38" s="73"/>
      <c r="E38" s="74"/>
      <c r="F38" s="75">
        <f t="shared" si="38"/>
        <v>0</v>
      </c>
      <c r="G38" s="78"/>
      <c r="H38" s="43"/>
      <c r="I38" s="75">
        <f t="shared" si="39"/>
        <v>0</v>
      </c>
      <c r="J38" s="74"/>
      <c r="K38" s="76">
        <f t="shared" si="40"/>
        <v>0</v>
      </c>
      <c r="L38" s="77">
        <f t="shared" si="41"/>
        <v>0</v>
      </c>
      <c r="M38" s="78"/>
      <c r="N38" s="73"/>
      <c r="O38" s="74"/>
      <c r="P38" s="75">
        <f t="shared" si="42"/>
        <v>0</v>
      </c>
      <c r="Q38" s="193"/>
      <c r="R38" s="186"/>
      <c r="S38" s="75">
        <f t="shared" si="43"/>
        <v>0</v>
      </c>
      <c r="T38" s="74"/>
      <c r="U38" s="76">
        <f t="shared" si="44"/>
        <v>0</v>
      </c>
      <c r="V38" s="77">
        <f t="shared" si="45"/>
        <v>0</v>
      </c>
      <c r="W38" s="73"/>
      <c r="X38" s="73"/>
      <c r="Y38" s="74"/>
      <c r="Z38" s="75">
        <f t="shared" si="46"/>
        <v>0</v>
      </c>
      <c r="AA38" s="73"/>
      <c r="AB38" s="78"/>
      <c r="AC38" s="75">
        <f t="shared" si="47"/>
        <v>0</v>
      </c>
      <c r="AD38" s="74"/>
      <c r="AE38" s="76">
        <f t="shared" si="48"/>
        <v>0</v>
      </c>
      <c r="AF38" s="77">
        <f t="shared" si="49"/>
        <v>0</v>
      </c>
      <c r="AG38" s="194"/>
      <c r="AH38" s="195">
        <v>0</v>
      </c>
      <c r="AI38" s="196">
        <f t="shared" si="50"/>
        <v>-8</v>
      </c>
      <c r="AJ38" s="196">
        <f t="shared" si="51"/>
        <v>-8</v>
      </c>
      <c r="AK38" s="196">
        <f>IF(ISBLANK($AE$5),-8,0)+AE16</f>
        <v>-8</v>
      </c>
      <c r="AL38" s="196">
        <f t="shared" si="52"/>
        <v>0</v>
      </c>
      <c r="AM38" s="196">
        <f t="shared" si="53"/>
        <v>-8</v>
      </c>
      <c r="AN38" s="196">
        <f t="shared" si="54"/>
        <v>-8</v>
      </c>
      <c r="AO38" s="196">
        <f t="shared" si="55"/>
        <v>0</v>
      </c>
      <c r="AP38" s="197">
        <f t="shared" si="56"/>
        <v>-40</v>
      </c>
      <c r="AQ38" s="194"/>
      <c r="AR38" s="1194">
        <f t="shared" si="57"/>
        <v>0</v>
      </c>
      <c r="AS38" s="1195"/>
      <c r="AT38" s="198">
        <f t="shared" si="58"/>
        <v>0</v>
      </c>
      <c r="AU38" s="194"/>
      <c r="AV38" s="194"/>
      <c r="AW38" s="1196"/>
      <c r="AX38" s="1197"/>
      <c r="AZ38" s="199"/>
    </row>
    <row r="39" spans="1:57" ht="14.1" customHeight="1">
      <c r="B39" s="91" t="str">
        <f t="shared" si="37"/>
        <v>Jose Cortez P.</v>
      </c>
      <c r="C39" s="92">
        <v>7</v>
      </c>
      <c r="D39" s="92">
        <v>17</v>
      </c>
      <c r="E39" s="92">
        <v>1</v>
      </c>
      <c r="F39" s="93">
        <f>+D39-C39-E39</f>
        <v>9</v>
      </c>
      <c r="G39" s="43"/>
      <c r="H39" s="43"/>
      <c r="I39" s="93">
        <f>+H39-G39</f>
        <v>0</v>
      </c>
      <c r="J39" s="92"/>
      <c r="K39" s="41">
        <f>+I39+F39-L39</f>
        <v>8</v>
      </c>
      <c r="L39" s="94">
        <f t="shared" si="41"/>
        <v>1</v>
      </c>
      <c r="M39" s="92">
        <v>7</v>
      </c>
      <c r="N39" s="92">
        <v>13</v>
      </c>
      <c r="O39" s="92">
        <v>1</v>
      </c>
      <c r="P39" s="93">
        <f>+N39-M39-O39</f>
        <v>5</v>
      </c>
      <c r="Q39" s="200"/>
      <c r="R39" s="189">
        <v>1.5</v>
      </c>
      <c r="S39" s="93">
        <f>+R39-Q39</f>
        <v>1.5</v>
      </c>
      <c r="T39" s="92"/>
      <c r="U39" s="41">
        <f>+S39+P39-V39</f>
        <v>6.5</v>
      </c>
      <c r="V39" s="94">
        <f t="shared" si="45"/>
        <v>0</v>
      </c>
      <c r="W39" s="92"/>
      <c r="X39" s="92"/>
      <c r="Y39" s="201"/>
      <c r="Z39" s="202">
        <f>+X39-W39-Y39</f>
        <v>0</v>
      </c>
      <c r="AA39" s="18"/>
      <c r="AB39" s="43"/>
      <c r="AC39" s="53">
        <f t="shared" si="47"/>
        <v>0</v>
      </c>
      <c r="AD39" s="19"/>
      <c r="AE39" s="41">
        <f>+AC39+Z39-AF39</f>
        <v>0</v>
      </c>
      <c r="AF39" s="25">
        <f t="shared" si="49"/>
        <v>0</v>
      </c>
      <c r="AG39" s="69"/>
      <c r="AH39" s="203">
        <v>0</v>
      </c>
      <c r="AI39" s="204">
        <f t="shared" si="50"/>
        <v>0</v>
      </c>
      <c r="AJ39" s="205">
        <f t="shared" si="51"/>
        <v>0</v>
      </c>
      <c r="AK39" s="205">
        <f>IF(ISBLANK($AE$5),-8,0)+AE17</f>
        <v>0</v>
      </c>
      <c r="AL39" s="179">
        <f t="shared" si="52"/>
        <v>0</v>
      </c>
      <c r="AM39" s="205">
        <f t="shared" si="53"/>
        <v>0</v>
      </c>
      <c r="AN39" s="205">
        <f t="shared" si="54"/>
        <v>-1.5</v>
      </c>
      <c r="AO39" s="205">
        <f t="shared" si="55"/>
        <v>0</v>
      </c>
      <c r="AP39" s="206">
        <f>SUM(AH39:AO39)</f>
        <v>-1.5</v>
      </c>
      <c r="AQ39" s="69"/>
      <c r="AR39" s="919">
        <f>+X80*Q80</f>
        <v>0</v>
      </c>
      <c r="AS39" s="920"/>
      <c r="AT39" s="207">
        <f t="shared" si="58"/>
        <v>5</v>
      </c>
      <c r="AU39" s="69"/>
      <c r="AV39" s="69"/>
      <c r="AW39" s="923"/>
      <c r="AX39" s="924"/>
    </row>
    <row r="40" spans="1:57" ht="14.1" customHeight="1">
      <c r="B40" s="91" t="str">
        <f t="shared" si="37"/>
        <v>Rafael Armas R.</v>
      </c>
      <c r="C40" s="102">
        <v>7</v>
      </c>
      <c r="D40" s="102">
        <v>16</v>
      </c>
      <c r="E40" s="102">
        <v>1</v>
      </c>
      <c r="F40" s="143">
        <f>+D40-C40-E40</f>
        <v>8</v>
      </c>
      <c r="G40" s="144"/>
      <c r="H40" s="43"/>
      <c r="I40" s="143">
        <f>+H40-G40</f>
        <v>0</v>
      </c>
      <c r="J40" s="102"/>
      <c r="K40" s="41">
        <f>+I40+F40-L40</f>
        <v>8</v>
      </c>
      <c r="L40" s="147">
        <f t="shared" si="41"/>
        <v>0</v>
      </c>
      <c r="M40" s="92">
        <v>7</v>
      </c>
      <c r="N40" s="208">
        <v>15</v>
      </c>
      <c r="O40" s="201">
        <v>1</v>
      </c>
      <c r="P40" s="202">
        <f>+N40-M40-O40</f>
        <v>7</v>
      </c>
      <c r="Q40" s="201"/>
      <c r="R40" s="174">
        <v>1.5</v>
      </c>
      <c r="S40" s="202">
        <f>+R40-Q40</f>
        <v>1.5</v>
      </c>
      <c r="T40" s="201"/>
      <c r="U40" s="41">
        <f>+S40+P40-V40</f>
        <v>6.5</v>
      </c>
      <c r="V40" s="209">
        <f t="shared" si="45"/>
        <v>2</v>
      </c>
      <c r="W40" s="201"/>
      <c r="X40" s="201"/>
      <c r="Y40" s="201"/>
      <c r="Z40" s="202">
        <f>+X40-W40-Y40</f>
        <v>0</v>
      </c>
      <c r="AA40" s="201"/>
      <c r="AB40" s="43"/>
      <c r="AC40" s="202">
        <f t="shared" si="47"/>
        <v>0</v>
      </c>
      <c r="AD40" s="201"/>
      <c r="AE40" s="41">
        <f>+AC40+Z40-AF40</f>
        <v>0</v>
      </c>
      <c r="AF40" s="209">
        <f t="shared" si="49"/>
        <v>0</v>
      </c>
      <c r="AG40" s="69"/>
      <c r="AH40" s="210">
        <v>0</v>
      </c>
      <c r="AI40" s="179">
        <f t="shared" si="50"/>
        <v>0</v>
      </c>
      <c r="AJ40" s="179">
        <f t="shared" si="51"/>
        <v>0</v>
      </c>
      <c r="AK40" s="211">
        <f>IF(ISBLANK($AE$5),-8,0)+AE18</f>
        <v>0.5</v>
      </c>
      <c r="AL40" s="179">
        <f t="shared" si="52"/>
        <v>0</v>
      </c>
      <c r="AM40" s="179">
        <f t="shared" si="53"/>
        <v>0</v>
      </c>
      <c r="AN40" s="179">
        <f t="shared" si="54"/>
        <v>-1.5</v>
      </c>
      <c r="AO40" s="179">
        <f t="shared" si="55"/>
        <v>0</v>
      </c>
      <c r="AP40" s="180">
        <f>SUM(AH40:AO40)</f>
        <v>-1</v>
      </c>
      <c r="AQ40" s="69"/>
      <c r="AR40" s="919">
        <f>+X81*Q81</f>
        <v>0</v>
      </c>
      <c r="AS40" s="920"/>
      <c r="AT40" s="207">
        <f t="shared" si="58"/>
        <v>5</v>
      </c>
      <c r="AU40" s="69"/>
      <c r="AV40" s="69"/>
      <c r="AW40" s="921"/>
      <c r="AX40" s="922"/>
    </row>
    <row r="41" spans="1:57" s="116" customFormat="1" ht="14.1" customHeight="1">
      <c r="A41" s="212"/>
      <c r="B41" s="91" t="str">
        <f t="shared" si="37"/>
        <v>Jose Ochoa I.</v>
      </c>
      <c r="C41" s="102">
        <v>7</v>
      </c>
      <c r="D41" s="102">
        <v>16</v>
      </c>
      <c r="E41" s="102">
        <v>1</v>
      </c>
      <c r="F41" s="143">
        <f>+D41-C41-E41</f>
        <v>8</v>
      </c>
      <c r="G41" s="144"/>
      <c r="H41" s="43"/>
      <c r="I41" s="143">
        <f>+H41-G41</f>
        <v>0</v>
      </c>
      <c r="J41" s="102"/>
      <c r="K41" s="41">
        <f>+I41+F41-L41</f>
        <v>8</v>
      </c>
      <c r="L41" s="147">
        <f t="shared" si="41"/>
        <v>0</v>
      </c>
      <c r="M41" s="213">
        <v>7</v>
      </c>
      <c r="N41" s="201">
        <v>13</v>
      </c>
      <c r="O41" s="201">
        <v>1</v>
      </c>
      <c r="P41" s="202">
        <f>+N41-M41-O41</f>
        <v>5</v>
      </c>
      <c r="Q41" s="214"/>
      <c r="R41" s="189">
        <v>1.5</v>
      </c>
      <c r="S41" s="202">
        <f>+R41-Q41</f>
        <v>1.5</v>
      </c>
      <c r="T41" s="201"/>
      <c r="U41" s="41">
        <f>+S41+P41-V41</f>
        <v>6.5</v>
      </c>
      <c r="V41" s="209">
        <f t="shared" si="45"/>
        <v>0</v>
      </c>
      <c r="W41" s="201">
        <v>7</v>
      </c>
      <c r="X41" s="201">
        <v>16.499999999999901</v>
      </c>
      <c r="Y41" s="201">
        <v>1</v>
      </c>
      <c r="Z41" s="202">
        <f>+X41-W41-Y41</f>
        <v>8.4999999999999005</v>
      </c>
      <c r="AA41" s="201"/>
      <c r="AB41" s="215"/>
      <c r="AC41" s="202">
        <f t="shared" si="47"/>
        <v>0</v>
      </c>
      <c r="AD41" s="201"/>
      <c r="AE41" s="41">
        <f>+AC41+Z41-AF41</f>
        <v>-8.4999999999999005</v>
      </c>
      <c r="AF41" s="209">
        <f t="shared" si="49"/>
        <v>16.999999999999801</v>
      </c>
      <c r="AG41" s="69"/>
      <c r="AH41" s="216">
        <v>0</v>
      </c>
      <c r="AI41" s="217">
        <f>+K22+(IF(ISBLANK($K$5),-8,0))</f>
        <v>0</v>
      </c>
      <c r="AJ41" s="217">
        <f>IF(ISBLANK($U$5),-8,0)+U22</f>
        <v>0</v>
      </c>
      <c r="AK41" s="217">
        <f>IF(ISBLANK($AE$5),-8,0)+AE22</f>
        <v>0</v>
      </c>
      <c r="AL41" s="217">
        <f t="shared" si="52"/>
        <v>0</v>
      </c>
      <c r="AM41" s="217">
        <f t="shared" si="53"/>
        <v>0</v>
      </c>
      <c r="AN41" s="217">
        <f t="shared" si="54"/>
        <v>-1.5</v>
      </c>
      <c r="AO41" s="217">
        <f t="shared" si="55"/>
        <v>-8.4999999999999005</v>
      </c>
      <c r="AP41" s="218">
        <f>SUM(AH41:AO41)</f>
        <v>-9.9999999999999005</v>
      </c>
      <c r="AQ41" s="69"/>
      <c r="AR41" s="919">
        <f>+X82*Q82</f>
        <v>0</v>
      </c>
      <c r="AS41" s="920"/>
      <c r="AT41" s="207">
        <f t="shared" si="58"/>
        <v>6</v>
      </c>
      <c r="AU41" s="69"/>
      <c r="AV41" s="69"/>
      <c r="AW41" s="930"/>
      <c r="AX41" s="931"/>
    </row>
    <row r="42" spans="1:57" s="116" customFormat="1" ht="14.1" customHeight="1">
      <c r="A42" s="212"/>
      <c r="B42" s="91" t="str">
        <f t="shared" si="37"/>
        <v>Jairo Mirabal</v>
      </c>
      <c r="C42" s="102">
        <v>7</v>
      </c>
      <c r="D42" s="102">
        <v>16</v>
      </c>
      <c r="E42" s="102">
        <v>1</v>
      </c>
      <c r="F42" s="143">
        <f>+D42-C42-E42</f>
        <v>8</v>
      </c>
      <c r="G42" s="144"/>
      <c r="H42" s="43"/>
      <c r="I42" s="143">
        <f>+H42-G42</f>
        <v>0</v>
      </c>
      <c r="J42" s="102"/>
      <c r="K42" s="41">
        <f>+I42+F42-L42</f>
        <v>8</v>
      </c>
      <c r="L42" s="147">
        <f>IF(C42&gt;0,(F42+I42)+IF(K$27&gt;0,F42,-8),0)+IF(U$27&gt;0,I42,0)</f>
        <v>0</v>
      </c>
      <c r="M42" s="213">
        <v>7</v>
      </c>
      <c r="N42" s="201">
        <v>13</v>
      </c>
      <c r="O42" s="201">
        <v>1</v>
      </c>
      <c r="P42" s="202">
        <f>+N42-M42-O42</f>
        <v>5</v>
      </c>
      <c r="Q42" s="214"/>
      <c r="R42" s="189">
        <v>1.5</v>
      </c>
      <c r="S42" s="202">
        <f>+R42-Q42</f>
        <v>1.5</v>
      </c>
      <c r="T42" s="201"/>
      <c r="U42" s="41">
        <f>+S42+P42-V42</f>
        <v>6.5</v>
      </c>
      <c r="V42" s="209">
        <f>IF(M42&gt;0,(P42+S42)+IF(U$27&gt;0,P42,-8),0)+IF(AE$27&gt;0,S42,0)</f>
        <v>0</v>
      </c>
      <c r="W42" s="201"/>
      <c r="X42" s="201"/>
      <c r="Y42" s="201"/>
      <c r="Z42" s="202">
        <f>+X42-W42-Y42</f>
        <v>0</v>
      </c>
      <c r="AA42" s="201"/>
      <c r="AB42" s="219"/>
      <c r="AC42" s="202">
        <f t="shared" si="47"/>
        <v>0</v>
      </c>
      <c r="AD42" s="201"/>
      <c r="AE42" s="41">
        <f>+AC42+Z42-AF42</f>
        <v>0</v>
      </c>
      <c r="AF42" s="209">
        <f>IF(W42&gt;0,(Z42+AC42)+IF(AE$27&gt;0,0+Z42,-8),0)</f>
        <v>0</v>
      </c>
      <c r="AG42" s="69"/>
      <c r="AH42" s="216">
        <v>0</v>
      </c>
      <c r="AI42" s="217">
        <f>+K19+(IF(ISBLANK($K$5),-8,0))</f>
        <v>0</v>
      </c>
      <c r="AJ42" s="217">
        <f>IF(ISBLANK($U$5),-8,0)+U19</f>
        <v>0</v>
      </c>
      <c r="AK42" s="217">
        <f>IF(ISBLANK($AE$5),-8,0)+AE19</f>
        <v>0</v>
      </c>
      <c r="AL42" s="217">
        <f t="shared" si="52"/>
        <v>0</v>
      </c>
      <c r="AM42" s="217">
        <f t="shared" si="53"/>
        <v>0</v>
      </c>
      <c r="AN42" s="217">
        <f t="shared" si="54"/>
        <v>-1.5</v>
      </c>
      <c r="AO42" s="217">
        <f t="shared" si="55"/>
        <v>0</v>
      </c>
      <c r="AP42" s="218">
        <f>SUM(AH42:AO42)</f>
        <v>-1.5</v>
      </c>
      <c r="AQ42" s="69"/>
      <c r="AR42" s="928">
        <f>+X83*Q83</f>
        <v>0</v>
      </c>
      <c r="AS42" s="929"/>
      <c r="AT42" s="207">
        <f t="shared" si="58"/>
        <v>6</v>
      </c>
      <c r="AU42" s="69"/>
      <c r="AV42" s="69"/>
      <c r="AW42" s="930">
        <v>-16</v>
      </c>
      <c r="AX42" s="931"/>
    </row>
    <row r="43" spans="1:57" ht="14.1" customHeight="1" thickBot="1">
      <c r="B43" s="118" t="str">
        <f t="shared" si="37"/>
        <v>Pedro Hostos S.</v>
      </c>
      <c r="C43" s="119">
        <v>7</v>
      </c>
      <c r="D43" s="119">
        <v>16</v>
      </c>
      <c r="E43" s="119">
        <v>1</v>
      </c>
      <c r="F43" s="120">
        <f t="shared" si="38"/>
        <v>8</v>
      </c>
      <c r="G43" s="121"/>
      <c r="H43" s="121"/>
      <c r="I43" s="120">
        <f t="shared" si="39"/>
        <v>0</v>
      </c>
      <c r="J43" s="119"/>
      <c r="K43" s="120">
        <f t="shared" si="40"/>
        <v>8</v>
      </c>
      <c r="L43" s="122">
        <f t="shared" si="41"/>
        <v>0</v>
      </c>
      <c r="M43" s="119">
        <v>7</v>
      </c>
      <c r="N43" s="119">
        <v>13</v>
      </c>
      <c r="O43" s="119">
        <v>1</v>
      </c>
      <c r="P43" s="120">
        <f t="shared" si="42"/>
        <v>5</v>
      </c>
      <c r="Q43" s="121"/>
      <c r="R43" s="220">
        <v>1.5</v>
      </c>
      <c r="S43" s="120">
        <f t="shared" si="43"/>
        <v>1.5</v>
      </c>
      <c r="T43" s="119"/>
      <c r="U43" s="120">
        <f t="shared" si="44"/>
        <v>6.5</v>
      </c>
      <c r="V43" s="122">
        <f t="shared" si="45"/>
        <v>0</v>
      </c>
      <c r="W43" s="119"/>
      <c r="X43" s="119"/>
      <c r="Y43" s="119"/>
      <c r="Z43" s="120">
        <f t="shared" si="46"/>
        <v>0</v>
      </c>
      <c r="AA43" s="121"/>
      <c r="AB43" s="121"/>
      <c r="AC43" s="120">
        <f t="shared" si="47"/>
        <v>0</v>
      </c>
      <c r="AD43" s="119"/>
      <c r="AE43" s="120">
        <f t="shared" si="48"/>
        <v>0</v>
      </c>
      <c r="AF43" s="122">
        <f t="shared" si="49"/>
        <v>0</v>
      </c>
      <c r="AG43" s="221"/>
      <c r="AH43" s="222">
        <v>0</v>
      </c>
      <c r="AI43" s="223">
        <f>+K21+(IF(ISBLANK($K$5),-8,0))</f>
        <v>0</v>
      </c>
      <c r="AJ43" s="223">
        <f>IF(ISBLANK($U$5),-8,0)+U21</f>
        <v>-8</v>
      </c>
      <c r="AK43" s="223">
        <f>IF(ISBLANK($AE$5),-8,0)+AE21</f>
        <v>0</v>
      </c>
      <c r="AL43" s="223">
        <f t="shared" si="52"/>
        <v>0</v>
      </c>
      <c r="AM43" s="223">
        <f t="shared" si="53"/>
        <v>0</v>
      </c>
      <c r="AN43" s="223">
        <f t="shared" si="54"/>
        <v>-1.5</v>
      </c>
      <c r="AO43" s="223">
        <f t="shared" si="55"/>
        <v>0</v>
      </c>
      <c r="AP43" s="224">
        <f t="shared" si="56"/>
        <v>-9.5</v>
      </c>
      <c r="AQ43" s="69"/>
      <c r="AR43" s="932">
        <f>+X85*Q85</f>
        <v>0</v>
      </c>
      <c r="AS43" s="933"/>
      <c r="AT43" s="225">
        <f t="shared" si="58"/>
        <v>4</v>
      </c>
      <c r="AU43" s="69"/>
      <c r="AV43" s="69"/>
      <c r="AW43" s="934"/>
      <c r="AX43" s="935"/>
    </row>
    <row r="44" spans="1:57" ht="14.1" customHeight="1" thickTop="1">
      <c r="B44" s="39" t="str">
        <f t="shared" si="37"/>
        <v>Miguel Tejada Ll.</v>
      </c>
      <c r="C44" s="56">
        <v>10</v>
      </c>
      <c r="D44" s="43">
        <v>16</v>
      </c>
      <c r="E44" s="54">
        <v>1</v>
      </c>
      <c r="F44" s="53">
        <f>+D44-C44-E44</f>
        <v>5</v>
      </c>
      <c r="G44" s="43"/>
      <c r="H44" s="22"/>
      <c r="I44" s="53">
        <f>+H44-G44</f>
        <v>0</v>
      </c>
      <c r="J44" s="54"/>
      <c r="K44" s="55">
        <f>+I44+F44-L44</f>
        <v>8</v>
      </c>
      <c r="L44" s="135">
        <f t="shared" si="41"/>
        <v>-3</v>
      </c>
      <c r="M44" s="56">
        <v>7</v>
      </c>
      <c r="N44" s="43">
        <v>13</v>
      </c>
      <c r="O44" s="54">
        <v>1</v>
      </c>
      <c r="P44" s="53">
        <f>+N44-M44-O44</f>
        <v>5</v>
      </c>
      <c r="Q44" s="117"/>
      <c r="R44" s="226">
        <v>1.5</v>
      </c>
      <c r="S44" s="53">
        <f>+R44-Q44</f>
        <v>1.5</v>
      </c>
      <c r="T44" s="54"/>
      <c r="U44" s="55">
        <f>+S44+P44-V44</f>
        <v>6.5</v>
      </c>
      <c r="V44" s="135">
        <f t="shared" si="45"/>
        <v>0</v>
      </c>
      <c r="W44" s="56"/>
      <c r="X44" s="43"/>
      <c r="Y44" s="54"/>
      <c r="Z44" s="53">
        <f>+X44-W44-Y44</f>
        <v>0</v>
      </c>
      <c r="AA44" s="43"/>
      <c r="AB44" s="64"/>
      <c r="AC44" s="53">
        <f>+AB44-AA44</f>
        <v>0</v>
      </c>
      <c r="AD44" s="54"/>
      <c r="AE44" s="55">
        <f>+AC44+Z44-AF44</f>
        <v>0</v>
      </c>
      <c r="AF44" s="135">
        <f t="shared" si="49"/>
        <v>0</v>
      </c>
      <c r="AG44" s="69"/>
      <c r="AH44" s="178">
        <v>0</v>
      </c>
      <c r="AI44" s="179">
        <f t="shared" ref="AI44:AI47" si="59">+K22+(IF(ISBLANK($K$5),-8,0))</f>
        <v>0</v>
      </c>
      <c r="AJ44" s="179">
        <f t="shared" ref="AJ44:AJ47" si="60">IF(ISBLANK($U$5),-8,0)+U22</f>
        <v>0</v>
      </c>
      <c r="AK44" s="179">
        <f t="shared" ref="AK44:AK47" si="61">IF(ISBLANK($AE$5),-8,0)+AE22</f>
        <v>0</v>
      </c>
      <c r="AL44" s="179">
        <f t="shared" si="52"/>
        <v>0</v>
      </c>
      <c r="AM44" s="179">
        <f t="shared" si="53"/>
        <v>0</v>
      </c>
      <c r="AN44" s="179">
        <f t="shared" si="54"/>
        <v>-1.5</v>
      </c>
      <c r="AO44" s="179">
        <f t="shared" si="55"/>
        <v>0</v>
      </c>
      <c r="AP44" s="180">
        <f t="shared" si="56"/>
        <v>-1.5</v>
      </c>
      <c r="AQ44" s="69"/>
      <c r="AR44" s="919">
        <f>+X87*Q87</f>
        <v>0</v>
      </c>
      <c r="AS44" s="920"/>
      <c r="AT44" s="227">
        <f>IF(K22+L22&gt;0,1,0)+IF(U22+V22&gt;0,1,0)+IF(AE22+AF22&gt;0,1,0)+IF(AO22&gt;3,1,0)+IF(K44+L44&gt;0,1,0)+IF(U44+V44&gt;0,1,0)+IF(AE44+AF44&gt;0,1,0)</f>
        <v>6</v>
      </c>
      <c r="AU44" s="69"/>
      <c r="AV44" s="69"/>
      <c r="AW44" s="921">
        <v>-16</v>
      </c>
      <c r="AX44" s="922"/>
    </row>
    <row r="45" spans="1:57" ht="14.1" customHeight="1">
      <c r="B45" s="39" t="str">
        <f t="shared" si="37"/>
        <v>Pier Alejos A.</v>
      </c>
      <c r="C45" s="56">
        <v>7</v>
      </c>
      <c r="D45" s="43">
        <v>16</v>
      </c>
      <c r="E45" s="54">
        <v>1</v>
      </c>
      <c r="F45" s="53">
        <f>+D45-C45-E45</f>
        <v>8</v>
      </c>
      <c r="G45" s="43"/>
      <c r="H45" s="228"/>
      <c r="I45" s="53">
        <f>+H45-G45</f>
        <v>0</v>
      </c>
      <c r="J45" s="54"/>
      <c r="K45" s="55">
        <f>+I45+F45-L45</f>
        <v>8</v>
      </c>
      <c r="L45" s="135">
        <f t="shared" si="41"/>
        <v>0</v>
      </c>
      <c r="M45" s="56">
        <v>7</v>
      </c>
      <c r="N45" s="229">
        <v>16</v>
      </c>
      <c r="O45" s="54">
        <v>1</v>
      </c>
      <c r="P45" s="53">
        <f>+N45-M45-O45</f>
        <v>8</v>
      </c>
      <c r="Q45" s="117"/>
      <c r="R45" s="226">
        <v>1.5</v>
      </c>
      <c r="S45" s="53">
        <f>+R45-Q45</f>
        <v>1.5</v>
      </c>
      <c r="T45" s="54"/>
      <c r="U45" s="55">
        <f>+S45+P45-V45</f>
        <v>6.5</v>
      </c>
      <c r="V45" s="135">
        <f t="shared" si="45"/>
        <v>3</v>
      </c>
      <c r="W45" s="56"/>
      <c r="X45" s="43"/>
      <c r="Y45" s="54"/>
      <c r="Z45" s="53">
        <f>+X45-W45-Y45</f>
        <v>0</v>
      </c>
      <c r="AA45" s="43"/>
      <c r="AB45" s="64"/>
      <c r="AC45" s="53">
        <f>+AB45-AA45</f>
        <v>0</v>
      </c>
      <c r="AD45" s="54"/>
      <c r="AE45" s="55">
        <f>+AC45+Z45-AF45</f>
        <v>0</v>
      </c>
      <c r="AF45" s="135">
        <f t="shared" si="49"/>
        <v>0</v>
      </c>
      <c r="AG45" s="69"/>
      <c r="AH45" s="178">
        <v>0</v>
      </c>
      <c r="AI45" s="179">
        <f t="shared" si="59"/>
        <v>0</v>
      </c>
      <c r="AJ45" s="179">
        <f t="shared" si="60"/>
        <v>0</v>
      </c>
      <c r="AK45" s="179">
        <f t="shared" si="61"/>
        <v>0</v>
      </c>
      <c r="AL45" s="179">
        <f t="shared" si="52"/>
        <v>0</v>
      </c>
      <c r="AM45" s="179">
        <f t="shared" si="53"/>
        <v>0</v>
      </c>
      <c r="AN45" s="179">
        <f t="shared" si="54"/>
        <v>-1.5</v>
      </c>
      <c r="AO45" s="179">
        <f t="shared" si="55"/>
        <v>0</v>
      </c>
      <c r="AP45" s="180">
        <f t="shared" si="56"/>
        <v>-1.5</v>
      </c>
      <c r="AQ45" s="69"/>
      <c r="AR45" s="919">
        <f>+X88*Q88</f>
        <v>0</v>
      </c>
      <c r="AS45" s="920"/>
      <c r="AT45" s="230">
        <f>IF(K23+L23&gt;0,1,0)+IF(U23+V23&gt;0,1,0)+IF(AE23+AF23&gt;0,1,0)+IF(AO23&gt;3,1,0)+IF(K45+L45&gt;0,1,0)+IF(U45+V45&gt;0,1,0)+IF(AE45+AF45&gt;0,1,0)</f>
        <v>5</v>
      </c>
      <c r="AU45" s="69"/>
      <c r="AV45" s="69"/>
      <c r="AW45" s="921"/>
      <c r="AX45" s="922"/>
    </row>
    <row r="46" spans="1:57" s="116" customFormat="1" ht="14.1" customHeight="1">
      <c r="A46" s="212"/>
      <c r="B46" s="142" t="str">
        <f t="shared" si="37"/>
        <v>Angel Colina N.</v>
      </c>
      <c r="C46" s="102">
        <v>7</v>
      </c>
      <c r="D46" s="102">
        <v>16</v>
      </c>
      <c r="E46" s="102">
        <v>1</v>
      </c>
      <c r="F46" s="143">
        <f>+D46-C46-E46</f>
        <v>8</v>
      </c>
      <c r="G46" s="144"/>
      <c r="H46" s="144"/>
      <c r="I46" s="143">
        <f>+H46-G46</f>
        <v>0</v>
      </c>
      <c r="J46" s="102"/>
      <c r="K46" s="41">
        <f>+I46+F46-L46</f>
        <v>8</v>
      </c>
      <c r="L46" s="147">
        <f t="shared" si="41"/>
        <v>0</v>
      </c>
      <c r="M46" s="201"/>
      <c r="N46" s="201"/>
      <c r="O46" s="201"/>
      <c r="P46" s="202">
        <f>+N46-M46-O46</f>
        <v>0</v>
      </c>
      <c r="Q46" s="214"/>
      <c r="R46" s="189"/>
      <c r="S46" s="202">
        <f>+R46-Q46</f>
        <v>0</v>
      </c>
      <c r="T46" s="201"/>
      <c r="U46" s="41">
        <f>+S46+P46-V46</f>
        <v>0</v>
      </c>
      <c r="V46" s="209">
        <f t="shared" si="45"/>
        <v>0</v>
      </c>
      <c r="W46" s="201"/>
      <c r="X46" s="201"/>
      <c r="Y46" s="201"/>
      <c r="Z46" s="202">
        <f>+X46-W46-Y46</f>
        <v>0</v>
      </c>
      <c r="AA46" s="201"/>
      <c r="AB46" s="219"/>
      <c r="AC46" s="202">
        <f>+AB46-AA46</f>
        <v>0</v>
      </c>
      <c r="AD46" s="201"/>
      <c r="AE46" s="41">
        <f>+AC46+Z46-AF46</f>
        <v>0</v>
      </c>
      <c r="AF46" s="209">
        <f t="shared" si="49"/>
        <v>0</v>
      </c>
      <c r="AG46" s="69"/>
      <c r="AH46" s="216">
        <v>0</v>
      </c>
      <c r="AI46" s="217">
        <f t="shared" si="59"/>
        <v>0</v>
      </c>
      <c r="AJ46" s="217">
        <f t="shared" si="60"/>
        <v>0</v>
      </c>
      <c r="AK46" s="217">
        <f t="shared" si="61"/>
        <v>0</v>
      </c>
      <c r="AL46" s="217">
        <f t="shared" si="52"/>
        <v>0</v>
      </c>
      <c r="AM46" s="217">
        <f t="shared" si="53"/>
        <v>0</v>
      </c>
      <c r="AN46" s="217">
        <f t="shared" si="54"/>
        <v>-8</v>
      </c>
      <c r="AO46" s="217">
        <f t="shared" si="55"/>
        <v>0</v>
      </c>
      <c r="AP46" s="218">
        <f t="shared" si="56"/>
        <v>-8</v>
      </c>
      <c r="AQ46" s="69"/>
      <c r="AR46" s="928">
        <f t="shared" ref="AR46:AR47" si="62">+X88*Q88</f>
        <v>0</v>
      </c>
      <c r="AS46" s="929"/>
      <c r="AT46" s="207">
        <f>IF(K24+L24&gt;0,1,0)+IF(U24+V24&gt;0,1,0)+IF(AE24+AF24&gt;0,1,0)+IF(AO24&gt;3,1,0)+IF(K46+L46&gt;0,1,0)+IF(U46+V46&gt;0,1,0)+IF(AE46+AF46&gt;0,1,0)</f>
        <v>4</v>
      </c>
      <c r="AU46" s="69"/>
      <c r="AV46" s="69"/>
      <c r="AW46" s="930"/>
      <c r="AX46" s="931"/>
    </row>
    <row r="47" spans="1:57" ht="14.1" customHeight="1" thickBot="1">
      <c r="B47" s="152" t="str">
        <f t="shared" si="37"/>
        <v>Jose Lares P.</v>
      </c>
      <c r="C47" s="231">
        <v>7</v>
      </c>
      <c r="D47" s="232">
        <v>16</v>
      </c>
      <c r="E47" s="233">
        <v>1</v>
      </c>
      <c r="F47" s="234">
        <f t="shared" si="38"/>
        <v>8</v>
      </c>
      <c r="G47" s="232"/>
      <c r="H47" s="232"/>
      <c r="I47" s="234">
        <f t="shared" si="39"/>
        <v>0</v>
      </c>
      <c r="J47" s="233"/>
      <c r="K47" s="235">
        <f t="shared" si="40"/>
        <v>8</v>
      </c>
      <c r="L47" s="236">
        <f t="shared" si="41"/>
        <v>0</v>
      </c>
      <c r="M47" s="232">
        <v>7</v>
      </c>
      <c r="N47" s="232">
        <v>13</v>
      </c>
      <c r="O47" s="233">
        <v>1</v>
      </c>
      <c r="P47" s="234">
        <f t="shared" si="42"/>
        <v>5</v>
      </c>
      <c r="Q47" s="237"/>
      <c r="R47" s="238">
        <v>1.5</v>
      </c>
      <c r="S47" s="234">
        <f t="shared" si="43"/>
        <v>1.5</v>
      </c>
      <c r="T47" s="233"/>
      <c r="U47" s="235">
        <f t="shared" si="44"/>
        <v>6.5</v>
      </c>
      <c r="V47" s="236">
        <f t="shared" si="45"/>
        <v>0</v>
      </c>
      <c r="W47" s="231"/>
      <c r="X47" s="232"/>
      <c r="Y47" s="233"/>
      <c r="Z47" s="234">
        <f t="shared" si="46"/>
        <v>0</v>
      </c>
      <c r="AA47" s="232"/>
      <c r="AB47" s="232"/>
      <c r="AC47" s="234">
        <f t="shared" si="47"/>
        <v>0</v>
      </c>
      <c r="AD47" s="233"/>
      <c r="AE47" s="235">
        <f t="shared" si="48"/>
        <v>0</v>
      </c>
      <c r="AF47" s="236">
        <f t="shared" si="49"/>
        <v>0</v>
      </c>
      <c r="AG47" s="69"/>
      <c r="AH47" s="178">
        <v>0</v>
      </c>
      <c r="AI47" s="179">
        <f t="shared" si="59"/>
        <v>0</v>
      </c>
      <c r="AJ47" s="179">
        <f t="shared" si="60"/>
        <v>0</v>
      </c>
      <c r="AK47" s="179">
        <f t="shared" si="61"/>
        <v>0</v>
      </c>
      <c r="AL47" s="179">
        <f t="shared" si="52"/>
        <v>0</v>
      </c>
      <c r="AM47" s="179">
        <f t="shared" si="53"/>
        <v>0</v>
      </c>
      <c r="AN47" s="179">
        <f t="shared" si="54"/>
        <v>-1.5</v>
      </c>
      <c r="AO47" s="179">
        <f t="shared" si="55"/>
        <v>0</v>
      </c>
      <c r="AP47" s="180">
        <f t="shared" si="56"/>
        <v>-1.5</v>
      </c>
      <c r="AQ47" s="69"/>
      <c r="AR47" s="919">
        <f t="shared" si="62"/>
        <v>0</v>
      </c>
      <c r="AS47" s="920"/>
      <c r="AT47" s="187">
        <f>IF(K25+L25&gt;0,1,0)+IF(U25+V25&gt;0,1,0)+IF(AE25+AF25&gt;0,1,0)+IF(AO25&gt;3,1,0)+IF(K47+L47&gt;0,1,0)+IF(U47+V47&gt;0,1,0)+IF(AE47+AF47&gt;0,1,0)</f>
        <v>5</v>
      </c>
      <c r="AU47" s="69"/>
      <c r="AV47" s="69"/>
      <c r="AW47" s="921"/>
      <c r="AX47" s="922"/>
    </row>
    <row r="48" spans="1:57" ht="14.1" customHeight="1">
      <c r="B48" s="239"/>
      <c r="C48" s="240"/>
      <c r="O48" s="241"/>
      <c r="P48" s="242"/>
      <c r="Q48" s="243"/>
      <c r="R48" s="243"/>
      <c r="S48" s="242"/>
      <c r="T48" s="241"/>
      <c r="U48" s="244"/>
      <c r="V48" s="245"/>
      <c r="W48" s="69"/>
      <c r="X48" s="246"/>
      <c r="Y48" s="247"/>
      <c r="Z48" s="248"/>
      <c r="AA48" s="249"/>
      <c r="AH48" s="250"/>
      <c r="AP48" s="250"/>
      <c r="AR48" s="936">
        <f>SUM(AP11:AQ25)</f>
        <v>74.999999999999801</v>
      </c>
      <c r="AS48" s="937"/>
      <c r="AT48" s="251">
        <f>SUM(AT33:AT47)</f>
        <v>67</v>
      </c>
    </row>
    <row r="49" spans="1:58" ht="10.15" customHeight="1">
      <c r="B49" s="239"/>
      <c r="O49" s="241"/>
      <c r="P49" s="242"/>
      <c r="Q49" s="243"/>
      <c r="R49" s="243"/>
      <c r="S49" s="242"/>
      <c r="T49" s="241"/>
      <c r="U49" s="244"/>
      <c r="V49" s="244"/>
      <c r="W49" s="69"/>
      <c r="X49" s="246"/>
      <c r="Y49" s="247"/>
      <c r="Z49" s="248"/>
      <c r="AA49" s="249"/>
      <c r="AW49" s="938">
        <f>SUM(AW33:AX47)*-1</f>
        <v>48</v>
      </c>
      <c r="AX49" s="939"/>
    </row>
    <row r="50" spans="1:58" ht="14.1" customHeight="1">
      <c r="C50" s="240" t="s">
        <v>25</v>
      </c>
      <c r="E50" s="252"/>
      <c r="O50" s="241"/>
      <c r="P50" s="242"/>
      <c r="Q50" s="243"/>
      <c r="R50" s="243"/>
      <c r="S50" s="242"/>
      <c r="T50" s="241"/>
      <c r="U50" s="244"/>
      <c r="V50" s="244"/>
      <c r="W50" s="69"/>
      <c r="X50" s="246"/>
      <c r="Y50" s="247"/>
      <c r="Z50" s="248"/>
      <c r="AA50" s="249"/>
      <c r="AC50" s="253" t="s">
        <v>26</v>
      </c>
      <c r="AD50" s="254"/>
      <c r="AE50" s="254"/>
      <c r="AF50" s="254"/>
      <c r="AG50" s="254"/>
      <c r="AH50" s="254"/>
      <c r="AI50" s="254"/>
      <c r="AJ50" s="254"/>
      <c r="AK50" s="254"/>
      <c r="AL50" s="254"/>
      <c r="AM50" s="253" t="s">
        <v>27</v>
      </c>
      <c r="AO50" s="255"/>
      <c r="AW50" s="940"/>
      <c r="AX50" s="941"/>
    </row>
    <row r="51" spans="1:58" ht="14.1" customHeight="1">
      <c r="C51" s="240"/>
      <c r="D51" s="256"/>
      <c r="E51" s="252"/>
      <c r="O51" s="241"/>
      <c r="P51" s="242"/>
      <c r="Q51" s="243"/>
      <c r="R51" s="243"/>
      <c r="S51" s="242"/>
      <c r="T51" s="241"/>
      <c r="U51" s="244"/>
      <c r="V51" s="244"/>
      <c r="W51" s="69"/>
      <c r="X51" s="246"/>
      <c r="Y51" s="247"/>
      <c r="Z51" s="248"/>
      <c r="AA51" s="249"/>
      <c r="AC51" s="253"/>
      <c r="AD51" s="254"/>
      <c r="AE51" s="254"/>
      <c r="AF51" s="254"/>
      <c r="AG51" s="254"/>
      <c r="AH51" s="254"/>
      <c r="AI51" s="254"/>
      <c r="AJ51" s="254"/>
      <c r="AK51" s="254"/>
      <c r="AL51" s="254"/>
      <c r="AM51" s="253"/>
      <c r="AO51" s="255"/>
      <c r="AW51" s="257"/>
      <c r="AX51" s="257"/>
    </row>
    <row r="52" spans="1:58" ht="14.1" customHeight="1">
      <c r="D52" s="258">
        <v>915</v>
      </c>
      <c r="E52" s="259">
        <v>1545</v>
      </c>
      <c r="F52" s="260"/>
      <c r="G52" s="258"/>
      <c r="H52" s="258"/>
      <c r="I52" s="260"/>
      <c r="J52" s="258"/>
      <c r="K52" s="261"/>
      <c r="L52" s="261"/>
      <c r="M52" s="258">
        <v>847</v>
      </c>
      <c r="N52" s="258">
        <v>1520</v>
      </c>
      <c r="O52" s="262"/>
      <c r="P52" s="263"/>
      <c r="Q52" s="264"/>
      <c r="R52" s="264"/>
      <c r="S52" s="263"/>
      <c r="T52" s="262"/>
      <c r="U52" s="265"/>
      <c r="V52" s="265"/>
      <c r="W52" s="266">
        <v>720</v>
      </c>
      <c r="X52" s="266">
        <v>1615</v>
      </c>
      <c r="Y52" s="247"/>
      <c r="Z52" s="248"/>
      <c r="AA52" s="249"/>
      <c r="AC52" s="253"/>
      <c r="AD52" s="254"/>
      <c r="AE52" s="254"/>
      <c r="AF52" s="254"/>
      <c r="AG52" s="254"/>
      <c r="AH52" s="254"/>
      <c r="AI52" s="254"/>
      <c r="AJ52" s="254"/>
      <c r="AK52" s="254"/>
      <c r="AL52" s="254"/>
      <c r="AM52" s="253"/>
      <c r="AO52" s="255"/>
      <c r="AW52" s="257"/>
      <c r="AX52" s="257"/>
    </row>
    <row r="53" spans="1:58" ht="14.1" customHeight="1">
      <c r="O53" s="241"/>
      <c r="P53" s="242"/>
      <c r="Q53" s="243"/>
      <c r="R53" s="243"/>
      <c r="S53" s="242"/>
      <c r="T53" s="241"/>
      <c r="U53" s="244"/>
      <c r="V53" s="244"/>
      <c r="W53" s="69"/>
      <c r="X53" s="246"/>
      <c r="Y53" s="247"/>
      <c r="Z53" s="248"/>
      <c r="AA53" s="249"/>
      <c r="AC53" s="253"/>
      <c r="AD53" s="254"/>
      <c r="AE53" s="254"/>
      <c r="AF53" s="254"/>
      <c r="AG53" s="254"/>
      <c r="AH53" s="254"/>
      <c r="AI53" s="254"/>
      <c r="AJ53" s="254"/>
      <c r="AK53" s="254"/>
      <c r="AL53" s="254"/>
      <c r="AM53" s="253"/>
      <c r="AO53" s="255"/>
      <c r="AW53" s="257"/>
      <c r="AX53" s="257"/>
    </row>
    <row r="54" spans="1:58" ht="14.1" customHeight="1">
      <c r="O54" s="241"/>
      <c r="P54" s="242"/>
      <c r="Q54" s="243"/>
      <c r="R54" s="243"/>
      <c r="S54" s="242"/>
      <c r="T54" s="241"/>
      <c r="U54" s="244"/>
      <c r="V54" s="244"/>
      <c r="W54" s="69"/>
      <c r="X54" s="246"/>
      <c r="Y54" s="247"/>
      <c r="Z54" s="248"/>
      <c r="AA54" s="249"/>
      <c r="AC54" s="253"/>
      <c r="AD54" s="254"/>
      <c r="AE54" s="254"/>
      <c r="AF54" s="254"/>
      <c r="AG54" s="254"/>
      <c r="AH54" s="254"/>
      <c r="AI54" s="254"/>
      <c r="AJ54" s="254"/>
      <c r="AK54" s="254"/>
      <c r="AL54" s="254"/>
      <c r="AM54" s="253"/>
      <c r="AO54" s="255"/>
      <c r="AW54" s="257"/>
      <c r="AX54" s="257"/>
    </row>
    <row r="55" spans="1:58" ht="14.1" customHeight="1" thickBot="1">
      <c r="O55" s="241"/>
      <c r="P55" s="242"/>
      <c r="Q55" s="243"/>
      <c r="R55" s="243"/>
      <c r="S55" s="242"/>
      <c r="T55" s="241"/>
      <c r="U55" s="244"/>
      <c r="V55" s="244"/>
      <c r="W55" s="69"/>
      <c r="X55" s="246"/>
      <c r="Y55" s="247"/>
      <c r="Z55" s="248"/>
      <c r="AA55" s="249"/>
      <c r="AC55" s="253"/>
      <c r="AD55" s="254"/>
      <c r="AE55" s="254"/>
      <c r="AF55" s="254"/>
      <c r="AG55" s="254"/>
      <c r="AH55" s="254"/>
      <c r="AI55" s="254"/>
      <c r="AJ55" s="254"/>
      <c r="AK55" s="254"/>
      <c r="AL55" s="254"/>
      <c r="AM55" s="253"/>
      <c r="AO55" s="255"/>
      <c r="AW55" s="257"/>
      <c r="AX55" s="257"/>
    </row>
    <row r="56" spans="1:58" ht="6.95" customHeight="1">
      <c r="C56" s="955">
        <f>+C5</f>
        <v>43825</v>
      </c>
      <c r="D56" s="744"/>
      <c r="E56" s="744"/>
      <c r="F56" s="744"/>
      <c r="G56" s="744"/>
      <c r="H56" s="744"/>
      <c r="I56" s="744"/>
      <c r="J56" s="744"/>
      <c r="K56" s="971"/>
      <c r="L56" s="972"/>
      <c r="M56" s="744">
        <f>1+C56</f>
        <v>43826</v>
      </c>
      <c r="N56" s="744"/>
      <c r="O56" s="744"/>
      <c r="P56" s="744"/>
      <c r="Q56" s="744"/>
      <c r="R56" s="744"/>
      <c r="S56" s="744"/>
      <c r="T56" s="744"/>
      <c r="U56" s="967"/>
      <c r="V56" s="968"/>
      <c r="W56" s="975">
        <f>1+M56</f>
        <v>43827</v>
      </c>
      <c r="X56" s="976"/>
      <c r="Y56" s="976"/>
      <c r="Z56" s="976"/>
      <c r="AA56" s="976"/>
      <c r="AB56" s="976"/>
      <c r="AC56" s="976"/>
      <c r="AD56" s="976"/>
      <c r="AE56" s="979"/>
      <c r="AF56" s="980"/>
      <c r="AG56" s="948">
        <f>1+W56</f>
        <v>43828</v>
      </c>
      <c r="AH56" s="949"/>
      <c r="AI56" s="949"/>
      <c r="AJ56" s="949"/>
      <c r="AK56" s="949"/>
      <c r="AL56" s="949"/>
      <c r="AM56" s="949"/>
      <c r="AN56" s="949"/>
      <c r="AO56" s="791" t="s">
        <v>2</v>
      </c>
      <c r="AW56" s="257"/>
      <c r="AX56" s="257"/>
    </row>
    <row r="57" spans="1:58" s="267" customFormat="1" ht="6.95" customHeight="1" thickBot="1">
      <c r="A57" s="1"/>
      <c r="C57" s="956"/>
      <c r="D57" s="745"/>
      <c r="E57" s="745"/>
      <c r="F57" s="745"/>
      <c r="G57" s="745"/>
      <c r="H57" s="745"/>
      <c r="I57" s="745"/>
      <c r="J57" s="745"/>
      <c r="K57" s="973"/>
      <c r="L57" s="974"/>
      <c r="M57" s="745"/>
      <c r="N57" s="745"/>
      <c r="O57" s="745"/>
      <c r="P57" s="745"/>
      <c r="Q57" s="745"/>
      <c r="R57" s="745"/>
      <c r="S57" s="745"/>
      <c r="T57" s="745"/>
      <c r="U57" s="969"/>
      <c r="V57" s="970"/>
      <c r="W57" s="977"/>
      <c r="X57" s="978"/>
      <c r="Y57" s="978"/>
      <c r="Z57" s="978"/>
      <c r="AA57" s="978"/>
      <c r="AB57" s="978"/>
      <c r="AC57" s="978"/>
      <c r="AD57" s="978"/>
      <c r="AE57" s="981"/>
      <c r="AF57" s="982"/>
      <c r="AG57" s="950"/>
      <c r="AH57" s="951"/>
      <c r="AI57" s="951"/>
      <c r="AJ57" s="951"/>
      <c r="AK57" s="951"/>
      <c r="AL57" s="951"/>
      <c r="AM57" s="951"/>
      <c r="AN57" s="951"/>
      <c r="AO57" s="792"/>
      <c r="AW57" s="257"/>
      <c r="AX57" s="257"/>
    </row>
    <row r="58" spans="1:58" ht="14.1" customHeight="1" thickBot="1">
      <c r="B58" s="268" t="str">
        <f>+B90</f>
        <v>CEQR</v>
      </c>
      <c r="C58" s="231"/>
      <c r="D58" s="232"/>
      <c r="E58" s="233"/>
      <c r="F58" s="234">
        <f>+D58-C58-E58</f>
        <v>0</v>
      </c>
      <c r="G58" s="232"/>
      <c r="H58" s="232"/>
      <c r="I58" s="234">
        <f>+H58-G58</f>
        <v>0</v>
      </c>
      <c r="J58" s="233"/>
      <c r="K58" s="235">
        <f>+I58+F58-L58</f>
        <v>0</v>
      </c>
      <c r="L58" s="269">
        <f>IF(C58&gt;0,(F58+I58)+IF(K$5&gt;0,0+F58,-8),0)</f>
        <v>0</v>
      </c>
      <c r="M58" s="270"/>
      <c r="N58" s="232"/>
      <c r="O58" s="233"/>
      <c r="P58" s="234">
        <f>+N58-M58-O58</f>
        <v>0</v>
      </c>
      <c r="Q58" s="271"/>
      <c r="R58" s="160"/>
      <c r="S58" s="234">
        <f>+R58-Q58</f>
        <v>0</v>
      </c>
      <c r="T58" s="233"/>
      <c r="U58" s="235">
        <f>+S58+P58-V58</f>
        <v>0</v>
      </c>
      <c r="V58" s="269">
        <f>IF(M58&gt;0,(P58+S58)+IF(U$5&gt;0,0+P58,-8),0)</f>
        <v>0</v>
      </c>
      <c r="W58" s="232"/>
      <c r="X58" s="232"/>
      <c r="Y58" s="233"/>
      <c r="Z58" s="234">
        <f>+X58-W58-Y58</f>
        <v>0</v>
      </c>
      <c r="AA58" s="232"/>
      <c r="AB58" s="272"/>
      <c r="AC58" s="234">
        <f>+AB58-AA58</f>
        <v>0</v>
      </c>
      <c r="AD58" s="233"/>
      <c r="AE58" s="235">
        <f>+AC58+Z58-IF(AE$5&gt;0,AF58/2,AF58)</f>
        <v>0</v>
      </c>
      <c r="AF58" s="269">
        <f>IF(W58&gt;0,IF(AE$5&gt;0,(Z58+AC58)*2,(Z58+AC58-8)),0)*IF(Z58&lt;9,IF(AE$5&gt;0,1,2),1)+IF(Z58&gt;8,AC58,0)</f>
        <v>0</v>
      </c>
      <c r="AG58" s="273"/>
      <c r="AH58" s="273"/>
      <c r="AI58" s="274"/>
      <c r="AJ58" s="275">
        <f>+AH58-AG58-AI58</f>
        <v>0</v>
      </c>
      <c r="AK58" s="276"/>
      <c r="AL58" s="276"/>
      <c r="AM58" s="277">
        <f>+AL58-AK58</f>
        <v>0</v>
      </c>
      <c r="AN58" s="274">
        <v>-3</v>
      </c>
      <c r="AO58" s="278">
        <f>(AJ58*2+AM58)</f>
        <v>0</v>
      </c>
      <c r="AP58" s="952">
        <f>+L58+V58+AF58+AO58+L62+V62+AF62-AN58</f>
        <v>3</v>
      </c>
      <c r="AQ58" s="953"/>
      <c r="AR58" s="954">
        <f>ROUND(BD58*AP58,1)</f>
        <v>29.4</v>
      </c>
      <c r="AS58" s="954"/>
      <c r="AT58" s="279">
        <f>IF(AT62&gt;0,AT62*$AT$10,0)</f>
        <v>0</v>
      </c>
      <c r="AU58" s="69"/>
      <c r="AV58" s="100">
        <f>+L58</f>
        <v>0</v>
      </c>
      <c r="AW58" s="100">
        <f>+V58</f>
        <v>0</v>
      </c>
      <c r="AX58" s="100">
        <f>+AF58</f>
        <v>0</v>
      </c>
      <c r="AY58" s="101">
        <f>+AO58</f>
        <v>0</v>
      </c>
      <c r="AZ58" s="100">
        <f>+L62</f>
        <v>0</v>
      </c>
      <c r="BA58" s="100">
        <f>+V62</f>
        <v>0</v>
      </c>
      <c r="BB58" s="100">
        <f>+AF62</f>
        <v>0</v>
      </c>
      <c r="BC58" s="66"/>
      <c r="BD58" s="36">
        <f>+I90</f>
        <v>9.7916660714285708</v>
      </c>
      <c r="BE58" s="67">
        <f>+BD58*AP58</f>
        <v>29.374998214285711</v>
      </c>
      <c r="BF58" s="68">
        <f>+BD58*AY58</f>
        <v>0</v>
      </c>
    </row>
    <row r="59" spans="1:58" ht="14.1" customHeight="1" thickBot="1">
      <c r="C59" s="280"/>
      <c r="D59" s="280"/>
      <c r="E59" s="281"/>
      <c r="F59" s="282"/>
      <c r="G59" s="280"/>
      <c r="H59" s="280"/>
      <c r="I59" s="282"/>
      <c r="J59" s="281"/>
      <c r="K59" s="283"/>
      <c r="L59" s="284"/>
      <c r="M59" s="280"/>
      <c r="N59" s="280"/>
      <c r="O59" s="281"/>
      <c r="P59" s="282"/>
      <c r="Q59" s="285"/>
      <c r="R59" s="286"/>
      <c r="S59" s="282"/>
      <c r="T59" s="281"/>
      <c r="U59" s="283"/>
      <c r="V59" s="284"/>
      <c r="W59" s="280"/>
      <c r="X59" s="280"/>
      <c r="Y59" s="281"/>
      <c r="Z59" s="282"/>
      <c r="AA59" s="280"/>
      <c r="AB59" s="287"/>
      <c r="AC59" s="282"/>
      <c r="AD59" s="281"/>
      <c r="AE59" s="283"/>
      <c r="AF59" s="284"/>
      <c r="AG59" s="243"/>
      <c r="AH59" s="243"/>
      <c r="AI59" s="241"/>
      <c r="AJ59" s="288"/>
      <c r="AK59" s="289"/>
      <c r="AL59" s="289"/>
      <c r="AM59" s="242"/>
      <c r="AN59" s="241"/>
      <c r="AO59" s="244"/>
      <c r="AP59" s="243"/>
      <c r="AQ59" s="243"/>
      <c r="AR59" s="290"/>
      <c r="AS59" s="290"/>
      <c r="AT59" s="291"/>
      <c r="AU59" s="69"/>
      <c r="AV59" s="66"/>
      <c r="AW59" s="66"/>
      <c r="AX59" s="66"/>
      <c r="AY59" s="292"/>
      <c r="AZ59" s="66"/>
      <c r="BA59" s="66"/>
      <c r="BB59" s="66"/>
      <c r="BC59" s="66"/>
      <c r="BD59" s="293"/>
      <c r="BE59" s="294"/>
      <c r="BF59" s="295"/>
    </row>
    <row r="60" spans="1:58" ht="6.95" customHeight="1">
      <c r="C60" s="955">
        <f>+C27</f>
        <v>43829</v>
      </c>
      <c r="D60" s="744"/>
      <c r="E60" s="744"/>
      <c r="F60" s="744"/>
      <c r="G60" s="744"/>
      <c r="H60" s="744"/>
      <c r="I60" s="744"/>
      <c r="J60" s="744"/>
      <c r="K60" s="957"/>
      <c r="L60" s="958"/>
      <c r="M60" s="961">
        <f>1+C60</f>
        <v>43830</v>
      </c>
      <c r="N60" s="962"/>
      <c r="O60" s="962"/>
      <c r="P60" s="962"/>
      <c r="Q60" s="962"/>
      <c r="R60" s="962"/>
      <c r="S60" s="962"/>
      <c r="T60" s="963"/>
      <c r="U60" s="967"/>
      <c r="V60" s="968"/>
      <c r="W60" s="744">
        <f>1+M60</f>
        <v>43831</v>
      </c>
      <c r="X60" s="744"/>
      <c r="Y60" s="744"/>
      <c r="Z60" s="744"/>
      <c r="AA60" s="744"/>
      <c r="AB60" s="744"/>
      <c r="AC60" s="744"/>
      <c r="AD60" s="744"/>
      <c r="AE60" s="967"/>
      <c r="AF60" s="968"/>
      <c r="AG60" s="254"/>
      <c r="AH60" s="254"/>
      <c r="AI60" s="254"/>
      <c r="AJ60" s="254"/>
      <c r="AK60" s="254"/>
      <c r="AL60" s="254"/>
      <c r="AM60" s="253"/>
      <c r="AO60" s="255"/>
      <c r="AW60" s="257"/>
      <c r="AX60" s="257"/>
    </row>
    <row r="61" spans="1:58" s="267" customFormat="1" ht="6.95" customHeight="1" thickBot="1">
      <c r="A61" s="1"/>
      <c r="C61" s="956"/>
      <c r="D61" s="745"/>
      <c r="E61" s="745"/>
      <c r="F61" s="745"/>
      <c r="G61" s="745"/>
      <c r="H61" s="745"/>
      <c r="I61" s="745"/>
      <c r="J61" s="745"/>
      <c r="K61" s="959"/>
      <c r="L61" s="960"/>
      <c r="M61" s="964"/>
      <c r="N61" s="965"/>
      <c r="O61" s="965"/>
      <c r="P61" s="965"/>
      <c r="Q61" s="965"/>
      <c r="R61" s="965"/>
      <c r="S61" s="965"/>
      <c r="T61" s="966"/>
      <c r="U61" s="969"/>
      <c r="V61" s="970"/>
      <c r="W61" s="745"/>
      <c r="X61" s="745"/>
      <c r="Y61" s="745"/>
      <c r="Z61" s="745"/>
      <c r="AA61" s="745"/>
      <c r="AB61" s="745"/>
      <c r="AC61" s="745"/>
      <c r="AD61" s="745"/>
      <c r="AE61" s="969"/>
      <c r="AF61" s="970"/>
      <c r="AG61" s="296"/>
      <c r="AH61" s="296"/>
      <c r="AI61" s="296"/>
      <c r="AJ61" s="296"/>
      <c r="AK61" s="296"/>
      <c r="AL61" s="296"/>
      <c r="AM61" s="297"/>
      <c r="AO61" s="298"/>
      <c r="AW61" s="257"/>
      <c r="AX61" s="257"/>
    </row>
    <row r="62" spans="1:58" ht="14.1" customHeight="1" thickBot="1">
      <c r="B62" s="268" t="str">
        <f>+B58</f>
        <v>CEQR</v>
      </c>
      <c r="C62" s="231"/>
      <c r="D62" s="232"/>
      <c r="E62" s="233"/>
      <c r="F62" s="234">
        <f>+D62-C62-E62</f>
        <v>0</v>
      </c>
      <c r="G62" s="271"/>
      <c r="H62" s="160"/>
      <c r="I62" s="234">
        <f>+H62-G62</f>
        <v>0</v>
      </c>
      <c r="J62" s="233"/>
      <c r="K62" s="235">
        <f>+I62+F62-L62</f>
        <v>0</v>
      </c>
      <c r="L62" s="269">
        <f>IF(C62&gt;0,(F62+I62)+IF(K$27&gt;0,0+F62,-8),0)</f>
        <v>0</v>
      </c>
      <c r="M62" s="276"/>
      <c r="N62" s="276"/>
      <c r="O62" s="274"/>
      <c r="P62" s="277">
        <f>+N62-M62-O62</f>
        <v>0</v>
      </c>
      <c r="Q62" s="273"/>
      <c r="R62" s="276"/>
      <c r="S62" s="234">
        <f>+R62-Q62</f>
        <v>0</v>
      </c>
      <c r="T62" s="274"/>
      <c r="U62" s="299">
        <f>+S62+P62-V62</f>
        <v>0</v>
      </c>
      <c r="V62" s="300">
        <f>IF(M62&gt;0,(P62+S62)+IF(U$27&gt;0,0+P62,-8),0)</f>
        <v>0</v>
      </c>
      <c r="W62" s="301"/>
      <c r="X62" s="276"/>
      <c r="Y62" s="274"/>
      <c r="Z62" s="277">
        <f>+X62-W62-Y62</f>
        <v>0</v>
      </c>
      <c r="AA62" s="276"/>
      <c r="AB62" s="276"/>
      <c r="AC62" s="234">
        <f>+AB62-AA62</f>
        <v>0</v>
      </c>
      <c r="AD62" s="274"/>
      <c r="AE62" s="299">
        <f>+AC62+Z62-AF62</f>
        <v>0</v>
      </c>
      <c r="AF62" s="236">
        <f>IF(W62&gt;0,(Z62+AC62)+IF(AE$27&gt;0,0+Z62,-8),0)</f>
        <v>0</v>
      </c>
      <c r="AG62" s="69"/>
      <c r="AH62" s="302">
        <v>0</v>
      </c>
      <c r="AI62" s="303">
        <f>+K58+(IF(ISBLANK($K$56),-8,0))</f>
        <v>-8</v>
      </c>
      <c r="AJ62" s="303">
        <f>IF(ISBLANK($U$56),-8,0)+U58</f>
        <v>-8</v>
      </c>
      <c r="AK62" s="304">
        <f>IF(ISBLANK($AE$56),-8,0)+AE58</f>
        <v>-8</v>
      </c>
      <c r="AL62" s="303">
        <f>IF(ISBLANK($AO$56),-8,0)+AM58+AW62</f>
        <v>0</v>
      </c>
      <c r="AM62" s="303">
        <f>IF(ISBLANK($K$60),-8,0)+K62</f>
        <v>-8</v>
      </c>
      <c r="AN62" s="303">
        <f>IF(ISBLANK($U$60),-8,0)+U62</f>
        <v>-8</v>
      </c>
      <c r="AO62" s="303">
        <f>IF(ISBLANK($AE$60),-8,0)+AE62</f>
        <v>-8</v>
      </c>
      <c r="AP62" s="305">
        <f>SUM(AH62:AO62)</f>
        <v>-48</v>
      </c>
      <c r="AQ62" s="306"/>
      <c r="AR62" s="994">
        <f>+X90*Q90</f>
        <v>0</v>
      </c>
      <c r="AS62" s="995"/>
      <c r="AT62" s="307">
        <f>IF(K35+L35&gt;0,1,0)+IF(U35+V35&gt;0,1,0)+IF(AE35+AF35&gt;0,1,0)+IF(AO35&gt;3,1,0)+IF(K62+L62&gt;0,1,0)+IF(U62+V62&gt;0,1,0)+IF(AE62+AF62&gt;0,1,0)</f>
        <v>0</v>
      </c>
      <c r="AU62" s="69"/>
      <c r="AV62" s="69"/>
      <c r="AW62" s="921"/>
      <c r="AX62" s="922"/>
    </row>
    <row r="63" spans="1:58" ht="14.1" customHeight="1">
      <c r="O63" s="241"/>
      <c r="P63" s="242"/>
      <c r="Q63" s="243"/>
      <c r="R63" s="243"/>
      <c r="S63" s="242"/>
      <c r="T63" s="241"/>
      <c r="U63" s="244"/>
      <c r="V63" s="244"/>
      <c r="W63" s="69"/>
      <c r="X63" s="246"/>
      <c r="Y63" s="247"/>
      <c r="Z63" s="248"/>
      <c r="AA63" s="249"/>
      <c r="AC63" s="253"/>
      <c r="AD63" s="254"/>
      <c r="AE63" s="254"/>
      <c r="AF63" s="254"/>
      <c r="AG63" s="254"/>
      <c r="AH63" s="254"/>
      <c r="AI63" s="254"/>
      <c r="AJ63" s="254"/>
      <c r="AK63" s="996"/>
      <c r="AL63" s="996"/>
      <c r="AM63" s="253"/>
      <c r="AO63" s="255"/>
      <c r="AW63" s="257"/>
      <c r="AX63" s="257"/>
    </row>
    <row r="64" spans="1:58" ht="14.1" customHeight="1">
      <c r="O64" s="241"/>
      <c r="P64" s="242"/>
      <c r="Q64" s="243"/>
      <c r="R64" s="243"/>
      <c r="S64" s="242"/>
      <c r="T64" s="241"/>
      <c r="U64" s="244"/>
      <c r="V64" s="244"/>
      <c r="W64" s="69"/>
      <c r="X64" s="246"/>
      <c r="Y64" s="247"/>
      <c r="AW64" s="257"/>
      <c r="AX64" s="257"/>
    </row>
    <row r="65" spans="1:50" ht="18" customHeight="1">
      <c r="C65" s="240" t="s">
        <v>28</v>
      </c>
      <c r="O65" s="241"/>
      <c r="P65" s="242"/>
      <c r="Q65" s="243"/>
      <c r="R65" s="243"/>
      <c r="S65" s="242"/>
      <c r="T65" s="241"/>
      <c r="U65" s="244"/>
      <c r="V65" s="244"/>
      <c r="W65" s="69"/>
      <c r="X65" s="246"/>
      <c r="Y65" s="247"/>
      <c r="AW65" s="257"/>
      <c r="AX65" s="257"/>
    </row>
    <row r="66" spans="1:50" ht="3" customHeight="1">
      <c r="Q66" s="308"/>
      <c r="R66" s="309"/>
      <c r="S66" s="310"/>
      <c r="T66" s="311"/>
      <c r="AX66" s="257"/>
    </row>
    <row r="67" spans="1:50" ht="14.1" customHeight="1" thickBot="1">
      <c r="B67" s="7" t="s">
        <v>29</v>
      </c>
      <c r="C67" s="997" t="s">
        <v>30</v>
      </c>
      <c r="D67" s="997"/>
      <c r="E67" s="997" t="s">
        <v>31</v>
      </c>
      <c r="F67" s="997"/>
      <c r="G67" s="998" t="s">
        <v>32</v>
      </c>
      <c r="H67" s="999"/>
      <c r="I67" s="1004" t="s">
        <v>33</v>
      </c>
      <c r="J67" s="1005"/>
      <c r="K67" s="1006" t="s">
        <v>34</v>
      </c>
      <c r="L67" s="1006"/>
      <c r="M67" s="6"/>
      <c r="N67" s="1007" t="s">
        <v>35</v>
      </c>
      <c r="O67" s="1007"/>
      <c r="P67" s="6"/>
      <c r="Q67" s="1008" t="s">
        <v>36</v>
      </c>
      <c r="R67" s="1009"/>
      <c r="U67" s="1019" t="s">
        <v>37</v>
      </c>
      <c r="V67" s="1022" t="s">
        <v>38</v>
      </c>
      <c r="W67" s="1025" t="s">
        <v>39</v>
      </c>
      <c r="X67" s="983" t="s">
        <v>40</v>
      </c>
      <c r="AX67" s="257"/>
    </row>
    <row r="68" spans="1:50" ht="14.1" customHeight="1">
      <c r="B68" s="7" t="s">
        <v>41</v>
      </c>
      <c r="C68" s="997"/>
      <c r="D68" s="997"/>
      <c r="E68" s="997"/>
      <c r="F68" s="997"/>
      <c r="G68" s="1000"/>
      <c r="H68" s="1001"/>
      <c r="I68" s="1004"/>
      <c r="J68" s="1005"/>
      <c r="K68" s="1006"/>
      <c r="L68" s="1006"/>
      <c r="M68" s="6"/>
      <c r="N68" s="1007"/>
      <c r="O68" s="1007"/>
      <c r="P68" s="6"/>
      <c r="Q68" s="1010"/>
      <c r="R68" s="1011"/>
      <c r="U68" s="1020"/>
      <c r="V68" s="1023"/>
      <c r="W68" s="1026"/>
      <c r="X68" s="984"/>
      <c r="AA68" s="312"/>
      <c r="AB68" s="313"/>
      <c r="AC68" s="314"/>
      <c r="AD68" s="315"/>
      <c r="AE68" s="316"/>
      <c r="AF68" s="316"/>
      <c r="AG68" s="316"/>
      <c r="AH68" s="316"/>
      <c r="AI68" s="316"/>
      <c r="AJ68" s="316"/>
      <c r="AK68" s="316"/>
      <c r="AL68" s="316"/>
      <c r="AM68" s="316"/>
      <c r="AN68" s="314"/>
      <c r="AO68" s="314"/>
      <c r="AP68" s="314"/>
      <c r="AQ68" s="314"/>
      <c r="AR68" s="317"/>
      <c r="AX68" s="257"/>
    </row>
    <row r="69" spans="1:50" ht="14.1" customHeight="1">
      <c r="B69" s="7" t="s">
        <v>42</v>
      </c>
      <c r="C69" s="997"/>
      <c r="D69" s="997"/>
      <c r="E69" s="997"/>
      <c r="F69" s="997"/>
      <c r="G69" s="1000"/>
      <c r="H69" s="1001"/>
      <c r="I69" s="1004"/>
      <c r="J69" s="1005"/>
      <c r="K69" s="1006"/>
      <c r="L69" s="1006"/>
      <c r="M69" s="6"/>
      <c r="N69" s="1007"/>
      <c r="O69" s="1007"/>
      <c r="P69" s="6"/>
      <c r="Q69" s="1012"/>
      <c r="R69" s="1013"/>
      <c r="U69" s="1020"/>
      <c r="V69" s="1023"/>
      <c r="W69" s="1026"/>
      <c r="X69" s="984"/>
      <c r="AA69" s="318"/>
      <c r="AB69" s="319" t="s">
        <v>43</v>
      </c>
      <c r="AC69" s="320"/>
      <c r="AD69" s="320"/>
      <c r="AE69" s="320"/>
      <c r="AF69" s="321"/>
      <c r="AG69" s="321"/>
      <c r="AH69" s="320"/>
      <c r="AI69" s="320"/>
      <c r="AJ69" s="320"/>
      <c r="AK69" s="320"/>
      <c r="AL69" s="320"/>
      <c r="AM69" s="320"/>
      <c r="AN69" s="320"/>
      <c r="AO69" s="322"/>
      <c r="AP69" s="322"/>
      <c r="AQ69" s="323"/>
      <c r="AR69" s="324"/>
      <c r="AT69" s="254"/>
      <c r="AX69" s="257"/>
    </row>
    <row r="70" spans="1:50" ht="27" thickBot="1">
      <c r="B70" s="325" t="s">
        <v>44</v>
      </c>
      <c r="C70" s="986">
        <f>+E70*7</f>
        <v>217</v>
      </c>
      <c r="D70" s="986"/>
      <c r="E70" s="987">
        <f>+K70/30</f>
        <v>31</v>
      </c>
      <c r="F70" s="987"/>
      <c r="G70" s="1000"/>
      <c r="H70" s="1001"/>
      <c r="I70" s="988">
        <f>+E70/8</f>
        <v>3.875</v>
      </c>
      <c r="J70" s="989"/>
      <c r="K70" s="990">
        <f>850+80</f>
        <v>930</v>
      </c>
      <c r="L70" s="990"/>
      <c r="M70" s="326"/>
      <c r="N70" s="991">
        <f>+I70/6*7</f>
        <v>4.5208333333333339</v>
      </c>
      <c r="O70" s="992"/>
      <c r="P70" s="326"/>
      <c r="Q70" s="993">
        <f>+$I$71-I70</f>
        <v>1.3562500000000002</v>
      </c>
      <c r="R70" s="993"/>
      <c r="U70" s="1020"/>
      <c r="V70" s="1023"/>
      <c r="W70" s="1026"/>
      <c r="X70" s="984"/>
      <c r="AA70" s="327"/>
      <c r="AB70" s="328"/>
      <c r="AC70" s="328"/>
      <c r="AD70" s="328"/>
      <c r="AE70" s="328"/>
      <c r="AF70" s="328"/>
      <c r="AG70" s="328"/>
      <c r="AH70" s="328"/>
      <c r="AI70" s="328"/>
      <c r="AJ70" s="328"/>
      <c r="AK70" s="328"/>
      <c r="AL70" s="328"/>
      <c r="AM70" s="328"/>
      <c r="AN70" s="328"/>
      <c r="AO70" s="329" t="s">
        <v>45</v>
      </c>
      <c r="AP70" s="330"/>
      <c r="AQ70" s="328"/>
      <c r="AR70" s="331"/>
    </row>
    <row r="71" spans="1:50" ht="24.75">
      <c r="B71" s="332" t="s">
        <v>46</v>
      </c>
      <c r="C71" s="1014">
        <f>+E71*7</f>
        <v>292.95</v>
      </c>
      <c r="D71" s="1014"/>
      <c r="E71" s="1015">
        <f>+K71/30</f>
        <v>41.85</v>
      </c>
      <c r="F71" s="1015"/>
      <c r="G71" s="1002"/>
      <c r="H71" s="1003"/>
      <c r="I71" s="1016">
        <f>+E71/8</f>
        <v>5.2312500000000002</v>
      </c>
      <c r="J71" s="1017"/>
      <c r="K71" s="1018">
        <f>+K70*1.35</f>
        <v>1255.5</v>
      </c>
      <c r="L71" s="1018"/>
      <c r="M71" s="326"/>
      <c r="N71" s="991">
        <f>+I71/6*7</f>
        <v>6.1031250000000004</v>
      </c>
      <c r="O71" s="992"/>
      <c r="P71" s="326"/>
      <c r="Q71" s="993">
        <f>+$I$71-I71</f>
        <v>0</v>
      </c>
      <c r="R71" s="993"/>
      <c r="U71" s="1020"/>
      <c r="V71" s="1023"/>
      <c r="W71" s="1026"/>
      <c r="X71" s="984"/>
      <c r="AA71" s="333"/>
      <c r="AB71" s="333"/>
      <c r="AC71" s="333"/>
      <c r="AD71" s="333"/>
      <c r="AE71" s="333"/>
      <c r="AF71" s="167"/>
      <c r="AG71" s="167"/>
      <c r="AH71" s="167"/>
      <c r="AJ71" s="296"/>
      <c r="AK71" s="296"/>
      <c r="AL71" s="296"/>
      <c r="AM71" s="296"/>
      <c r="AN71" s="296"/>
      <c r="AO71" s="296"/>
      <c r="AP71" s="296"/>
      <c r="AQ71" s="296"/>
      <c r="AR71" s="296"/>
    </row>
    <row r="72" spans="1:50" ht="2.1" customHeight="1" thickBot="1">
      <c r="B72" s="334"/>
      <c r="C72" s="258"/>
      <c r="D72" s="258"/>
      <c r="G72" s="335"/>
      <c r="H72" s="335"/>
      <c r="I72" s="336"/>
      <c r="J72" s="336"/>
      <c r="K72" s="337"/>
      <c r="L72" s="337"/>
      <c r="M72" s="6"/>
      <c r="N72" s="338"/>
      <c r="O72" s="338"/>
      <c r="P72" s="6"/>
      <c r="Q72" s="339"/>
      <c r="R72" s="339"/>
      <c r="U72" s="1021"/>
      <c r="V72" s="1024"/>
      <c r="W72" s="1027"/>
      <c r="X72" s="985"/>
      <c r="AA72" s="3"/>
    </row>
    <row r="73" spans="1:50" ht="16.5">
      <c r="A73" s="1">
        <v>1</v>
      </c>
      <c r="B73" s="340" t="s">
        <v>47</v>
      </c>
      <c r="C73" s="1040">
        <f>6*3+7*33.8</f>
        <v>254.59999999999997</v>
      </c>
      <c r="D73" s="1041"/>
      <c r="E73" s="1030">
        <f t="shared" ref="E73:E81" si="63">+C73/7</f>
        <v>36.371428571428567</v>
      </c>
      <c r="F73" s="1031"/>
      <c r="G73" s="341"/>
      <c r="H73" s="341"/>
      <c r="I73" s="1032">
        <f t="shared" ref="I73:I81" si="64">+E73/8</f>
        <v>4.5464285714285708</v>
      </c>
      <c r="J73" s="1033"/>
      <c r="K73" s="1034">
        <f t="shared" ref="K73:K81" si="65">+E73*30</f>
        <v>1091.1428571428569</v>
      </c>
      <c r="L73" s="1034"/>
      <c r="M73" s="6"/>
      <c r="N73" s="1035">
        <f t="shared" ref="N73:N90" si="66">+I73/6*7</f>
        <v>5.3041666666666654</v>
      </c>
      <c r="O73" s="1035"/>
      <c r="P73" s="6"/>
      <c r="Q73" s="1036">
        <f t="shared" ref="Q73:Q90" si="67">+$I$71-I73</f>
        <v>0.68482142857142936</v>
      </c>
      <c r="R73" s="1037"/>
      <c r="U73" s="342">
        <f t="shared" ref="U73:U78" si="68">+AE33+U33+K33+AO11+AE11+U11+K11</f>
        <v>31</v>
      </c>
      <c r="V73" s="343">
        <v>48</v>
      </c>
      <c r="W73" s="344">
        <f t="shared" ref="W73:W90" si="69">+V73-U73</f>
        <v>17</v>
      </c>
      <c r="X73" s="345">
        <f t="shared" ref="X73:X78" si="70">+J11+T11+AD11+J33+T33+AD33</f>
        <v>0</v>
      </c>
      <c r="Y73" s="1038">
        <f>+X73*Q73</f>
        <v>0</v>
      </c>
      <c r="Z73" s="1039"/>
      <c r="AA73" s="346"/>
      <c r="AB73" s="347"/>
      <c r="AC73" s="348"/>
      <c r="AD73" s="349"/>
      <c r="AE73" s="350"/>
      <c r="AF73" s="350"/>
      <c r="AG73" s="350"/>
      <c r="AH73" s="350"/>
      <c r="AI73" s="350"/>
      <c r="AJ73" s="350"/>
      <c r="AK73" s="350"/>
      <c r="AL73" s="350"/>
      <c r="AM73" s="350"/>
      <c r="AN73" s="348"/>
      <c r="AO73" s="348"/>
      <c r="AP73" s="348"/>
      <c r="AQ73" s="348"/>
      <c r="AR73" s="351"/>
    </row>
    <row r="74" spans="1:50" ht="16.5">
      <c r="A74" s="1">
        <v>2</v>
      </c>
      <c r="B74" s="340" t="s">
        <v>48</v>
      </c>
      <c r="C74" s="1040">
        <f>6*3+7*38.5</f>
        <v>287.5</v>
      </c>
      <c r="D74" s="1041"/>
      <c r="E74" s="1030">
        <f t="shared" si="63"/>
        <v>41.071428571428569</v>
      </c>
      <c r="F74" s="1031"/>
      <c r="G74" s="341"/>
      <c r="H74" s="341"/>
      <c r="I74" s="1032">
        <f t="shared" si="64"/>
        <v>5.1339285714285712</v>
      </c>
      <c r="J74" s="1033"/>
      <c r="K74" s="1034">
        <f t="shared" si="65"/>
        <v>1232.1428571428571</v>
      </c>
      <c r="L74" s="1034"/>
      <c r="M74" s="6"/>
      <c r="N74" s="1035">
        <f t="shared" si="66"/>
        <v>5.989583333333333</v>
      </c>
      <c r="O74" s="1035"/>
      <c r="P74" s="6"/>
      <c r="Q74" s="1036">
        <f t="shared" si="67"/>
        <v>9.7321428571429003E-2</v>
      </c>
      <c r="R74" s="1037"/>
      <c r="U74" s="342">
        <f t="shared" si="68"/>
        <v>24</v>
      </c>
      <c r="V74" s="343">
        <v>48</v>
      </c>
      <c r="W74" s="344">
        <f t="shared" si="69"/>
        <v>24</v>
      </c>
      <c r="X74" s="345">
        <f t="shared" si="70"/>
        <v>0</v>
      </c>
      <c r="Y74" s="1038">
        <f>+X74*Q74</f>
        <v>0</v>
      </c>
      <c r="Z74" s="1039"/>
      <c r="AA74" s="352"/>
      <c r="AB74" s="353" t="s">
        <v>49</v>
      </c>
      <c r="AC74" s="354"/>
      <c r="AD74" s="354"/>
      <c r="AE74" s="354"/>
      <c r="AF74" s="355"/>
      <c r="AG74" s="355"/>
      <c r="AH74" s="354"/>
      <c r="AI74" s="354"/>
      <c r="AJ74" s="354"/>
      <c r="AK74" s="354"/>
      <c r="AL74" s="354"/>
      <c r="AM74" s="354"/>
      <c r="AN74" s="354"/>
      <c r="AO74" s="356"/>
      <c r="AP74" s="356"/>
      <c r="AQ74" s="357"/>
      <c r="AR74" s="358"/>
    </row>
    <row r="75" spans="1:50" ht="17.25" thickBot="1">
      <c r="A75" s="1">
        <v>4</v>
      </c>
      <c r="B75" s="359" t="s">
        <v>50</v>
      </c>
      <c r="C75" s="1028">
        <f>6*3+7*30.762</f>
        <v>233.334</v>
      </c>
      <c r="D75" s="1029"/>
      <c r="E75" s="1030">
        <f t="shared" si="63"/>
        <v>33.33342857142857</v>
      </c>
      <c r="F75" s="1031"/>
      <c r="G75" s="341"/>
      <c r="H75" s="341"/>
      <c r="I75" s="1032">
        <f t="shared" si="64"/>
        <v>4.1666785714285712</v>
      </c>
      <c r="J75" s="1033"/>
      <c r="K75" s="1034">
        <f t="shared" si="65"/>
        <v>1000.0028571428571</v>
      </c>
      <c r="L75" s="1034"/>
      <c r="M75" s="6"/>
      <c r="N75" s="1035">
        <f t="shared" si="66"/>
        <v>4.8611250000000004</v>
      </c>
      <c r="O75" s="1035"/>
      <c r="P75" s="6"/>
      <c r="Q75" s="1036">
        <f t="shared" si="67"/>
        <v>1.0645714285714289</v>
      </c>
      <c r="R75" s="1037"/>
      <c r="S75" s="1082">
        <f>20*30/180*117</f>
        <v>390</v>
      </c>
      <c r="T75" s="1083"/>
      <c r="U75" s="342">
        <f t="shared" si="68"/>
        <v>24</v>
      </c>
      <c r="V75" s="343">
        <v>48</v>
      </c>
      <c r="W75" s="344">
        <f t="shared" si="69"/>
        <v>24</v>
      </c>
      <c r="X75" s="345">
        <f t="shared" si="70"/>
        <v>0</v>
      </c>
      <c r="Y75" s="1038">
        <f>+X75*Q75</f>
        <v>0</v>
      </c>
      <c r="Z75" s="1039"/>
      <c r="AA75" s="360"/>
      <c r="AB75" s="361"/>
      <c r="AC75" s="361"/>
      <c r="AD75" s="361"/>
      <c r="AE75" s="361"/>
      <c r="AF75" s="361"/>
      <c r="AG75" s="361"/>
      <c r="AH75" s="361"/>
      <c r="AI75" s="361"/>
      <c r="AJ75" s="361"/>
      <c r="AK75" s="361"/>
      <c r="AL75" s="361"/>
      <c r="AM75" s="361"/>
      <c r="AN75" s="361"/>
      <c r="AO75" s="362" t="s">
        <v>51</v>
      </c>
      <c r="AP75" s="363"/>
      <c r="AQ75" s="361"/>
      <c r="AR75" s="364"/>
    </row>
    <row r="76" spans="1:50" ht="16.5">
      <c r="A76" s="1">
        <v>5</v>
      </c>
      <c r="B76" s="340" t="s">
        <v>52</v>
      </c>
      <c r="C76" s="1028">
        <f>6*3+7*38.5</f>
        <v>287.5</v>
      </c>
      <c r="D76" s="1029"/>
      <c r="E76" s="1030">
        <f t="shared" si="63"/>
        <v>41.071428571428569</v>
      </c>
      <c r="F76" s="1031"/>
      <c r="G76" s="341"/>
      <c r="H76" s="341"/>
      <c r="I76" s="1032">
        <f t="shared" si="64"/>
        <v>5.1339285714285712</v>
      </c>
      <c r="J76" s="1033"/>
      <c r="K76" s="1034">
        <f t="shared" si="65"/>
        <v>1232.1428571428571</v>
      </c>
      <c r="L76" s="1034"/>
      <c r="M76" s="6"/>
      <c r="N76" s="1035">
        <f t="shared" si="66"/>
        <v>5.989583333333333</v>
      </c>
      <c r="O76" s="1035"/>
      <c r="P76" s="6"/>
      <c r="Q76" s="1036">
        <f t="shared" si="67"/>
        <v>9.7321428571429003E-2</v>
      </c>
      <c r="R76" s="1037"/>
      <c r="U76" s="342">
        <f t="shared" si="68"/>
        <v>54.5</v>
      </c>
      <c r="V76" s="343">
        <v>48</v>
      </c>
      <c r="W76" s="344">
        <f t="shared" si="69"/>
        <v>-6.5</v>
      </c>
      <c r="X76" s="345">
        <f t="shared" si="70"/>
        <v>0</v>
      </c>
    </row>
    <row r="77" spans="1:50" ht="16.5">
      <c r="A77" s="1">
        <v>7</v>
      </c>
      <c r="B77" s="365" t="s">
        <v>53</v>
      </c>
      <c r="C77" s="1042">
        <f>6*3+7*(38.5)</f>
        <v>287.5</v>
      </c>
      <c r="D77" s="1043"/>
      <c r="E77" s="1030">
        <f t="shared" si="63"/>
        <v>41.071428571428569</v>
      </c>
      <c r="F77" s="1031"/>
      <c r="G77" s="1046"/>
      <c r="H77" s="1047"/>
      <c r="I77" s="1032">
        <f t="shared" si="64"/>
        <v>5.1339285714285712</v>
      </c>
      <c r="J77" s="1033"/>
      <c r="K77" s="1034">
        <f t="shared" si="65"/>
        <v>1232.1428571428571</v>
      </c>
      <c r="L77" s="1034"/>
      <c r="M77" s="6"/>
      <c r="N77" s="1035">
        <f>+I77/6*7</f>
        <v>5.989583333333333</v>
      </c>
      <c r="O77" s="1035"/>
      <c r="P77" s="6"/>
      <c r="Q77" s="1036">
        <f>+$I$71-I77</f>
        <v>9.7321428571429003E-2</v>
      </c>
      <c r="R77" s="1037"/>
      <c r="U77" s="342">
        <f t="shared" si="68"/>
        <v>35.5</v>
      </c>
      <c r="V77" s="343">
        <v>48</v>
      </c>
      <c r="W77" s="344">
        <f>+V77-U77</f>
        <v>12.5</v>
      </c>
      <c r="X77" s="345">
        <f t="shared" si="70"/>
        <v>0</v>
      </c>
      <c r="AD77"/>
    </row>
    <row r="78" spans="1:50" s="371" customFormat="1" ht="16.5">
      <c r="A78" s="366">
        <v>6</v>
      </c>
      <c r="B78" s="365" t="s">
        <v>54</v>
      </c>
      <c r="C78" s="1042">
        <f>6*3+7*(27)</f>
        <v>207</v>
      </c>
      <c r="D78" s="1043"/>
      <c r="E78" s="1030">
        <f t="shared" si="63"/>
        <v>29.571428571428573</v>
      </c>
      <c r="F78" s="1031"/>
      <c r="G78" s="1087"/>
      <c r="H78" s="1088"/>
      <c r="I78" s="1032">
        <f t="shared" si="64"/>
        <v>3.6964285714285716</v>
      </c>
      <c r="J78" s="1033"/>
      <c r="K78" s="1034">
        <f t="shared" si="65"/>
        <v>887.14285714285722</v>
      </c>
      <c r="L78" s="1034"/>
      <c r="M78" s="6"/>
      <c r="N78" s="1035">
        <f t="shared" si="66"/>
        <v>4.3125</v>
      </c>
      <c r="O78" s="1035"/>
      <c r="P78" s="6"/>
      <c r="Q78" s="1036">
        <f t="shared" si="67"/>
        <v>1.5348214285714286</v>
      </c>
      <c r="R78" s="1037"/>
      <c r="S78" s="1082">
        <f>20*30/180*117</f>
        <v>390</v>
      </c>
      <c r="T78" s="1083"/>
      <c r="U78" s="342">
        <f t="shared" si="68"/>
        <v>0</v>
      </c>
      <c r="V78" s="343">
        <v>48</v>
      </c>
      <c r="W78" s="344">
        <f t="shared" si="69"/>
        <v>48</v>
      </c>
      <c r="X78" s="345">
        <f t="shared" si="70"/>
        <v>0</v>
      </c>
      <c r="Y78" s="367"/>
      <c r="Z78" s="368"/>
      <c r="AA78" s="368"/>
      <c r="AB78" s="368"/>
      <c r="AC78" s="368"/>
      <c r="AD78" s="368"/>
      <c r="AE78" s="296"/>
      <c r="AF78" s="296"/>
      <c r="AG78" s="369"/>
      <c r="AH78" s="369"/>
      <c r="AI78" s="370"/>
      <c r="AJ78" s="370"/>
      <c r="AK78" s="370"/>
      <c r="AL78" s="370"/>
      <c r="AM78" s="369"/>
      <c r="AN78" s="369"/>
      <c r="AO78" s="369"/>
      <c r="AP78" s="369"/>
      <c r="AQ78" s="369"/>
      <c r="AR78" s="369"/>
      <c r="AS78" s="296"/>
      <c r="AT78" s="296"/>
    </row>
    <row r="79" spans="1:50" s="371" customFormat="1" ht="16.5">
      <c r="A79" s="1">
        <v>8</v>
      </c>
      <c r="B79" s="365" t="s">
        <v>54</v>
      </c>
      <c r="C79" s="1042">
        <f t="shared" ref="C79:C84" si="71">6*3+7*(28.4286)</f>
        <v>217.00020000000001</v>
      </c>
      <c r="D79" s="1043"/>
      <c r="E79" s="1030">
        <f t="shared" si="63"/>
        <v>31.000028571428572</v>
      </c>
      <c r="F79" s="1031"/>
      <c r="G79" s="1044"/>
      <c r="H79" s="1045"/>
      <c r="I79" s="1032">
        <f t="shared" si="64"/>
        <v>3.8750035714285715</v>
      </c>
      <c r="J79" s="1033"/>
      <c r="K79" s="1034">
        <f t="shared" si="65"/>
        <v>930.00085714285717</v>
      </c>
      <c r="L79" s="1034"/>
      <c r="M79" s="6"/>
      <c r="N79" s="1035">
        <f t="shared" si="66"/>
        <v>4.5208375000000007</v>
      </c>
      <c r="O79" s="1035"/>
      <c r="P79" s="6"/>
      <c r="Q79" s="1036">
        <f t="shared" si="67"/>
        <v>1.3562464285714286</v>
      </c>
      <c r="R79" s="1037"/>
      <c r="S79" s="3"/>
      <c r="T79" s="3"/>
      <c r="U79" s="342" t="e">
        <f>+#REF!+#REF!+#REF!+#REF!+#REF!+#REF!+#REF!</f>
        <v>#REF!</v>
      </c>
      <c r="V79" s="343">
        <v>48</v>
      </c>
      <c r="W79" s="344" t="e">
        <f t="shared" si="69"/>
        <v>#REF!</v>
      </c>
      <c r="X79" s="345" t="e">
        <f>+#REF!+#REF!+#REF!+#REF!+#REF!+#REF!</f>
        <v>#REF!</v>
      </c>
      <c r="Y79" s="3"/>
      <c r="Z79" s="368"/>
      <c r="AA79" s="368"/>
      <c r="AB79" s="368"/>
      <c r="AC79" s="368"/>
      <c r="AD79" s="368"/>
      <c r="AE79" s="296"/>
      <c r="AF79" s="296"/>
      <c r="AG79" s="369"/>
      <c r="AH79" s="369"/>
      <c r="AI79" s="370"/>
      <c r="AJ79" s="370"/>
      <c r="AK79" s="370"/>
      <c r="AL79" s="370"/>
      <c r="AM79" s="369"/>
      <c r="AN79" s="369"/>
      <c r="AO79" s="369"/>
      <c r="AP79" s="369"/>
      <c r="AQ79" s="369"/>
      <c r="AR79" s="369"/>
      <c r="AS79" s="296"/>
      <c r="AT79" s="296"/>
    </row>
    <row r="80" spans="1:50" ht="16.5">
      <c r="B80" s="359" t="s">
        <v>55</v>
      </c>
      <c r="C80" s="1042">
        <f t="shared" si="71"/>
        <v>217.00020000000001</v>
      </c>
      <c r="D80" s="1043"/>
      <c r="E80" s="1030">
        <f t="shared" si="63"/>
        <v>31.000028571428572</v>
      </c>
      <c r="F80" s="1031"/>
      <c r="G80" s="1044"/>
      <c r="H80" s="1045"/>
      <c r="I80" s="1032">
        <f t="shared" si="64"/>
        <v>3.8750035714285715</v>
      </c>
      <c r="J80" s="1033"/>
      <c r="K80" s="1034">
        <f t="shared" si="65"/>
        <v>930.00085714285717</v>
      </c>
      <c r="L80" s="1034"/>
      <c r="M80" s="6"/>
      <c r="N80" s="1050">
        <f t="shared" si="66"/>
        <v>4.5208375000000007</v>
      </c>
      <c r="O80" s="1051"/>
      <c r="P80" s="6"/>
      <c r="Q80" s="1048">
        <f t="shared" si="67"/>
        <v>1.3562464285714286</v>
      </c>
      <c r="R80" s="1049"/>
      <c r="U80" s="342">
        <f>+AE40+U40+K40+AO18+AE18+U18+K18</f>
        <v>39</v>
      </c>
      <c r="V80" s="343">
        <v>48</v>
      </c>
      <c r="W80" s="344">
        <f t="shared" si="69"/>
        <v>9</v>
      </c>
      <c r="X80" s="345">
        <f>+J17+T17+AD17+J39+T39+AD39</f>
        <v>0</v>
      </c>
      <c r="Y80" s="1038">
        <f>+X80*Q80</f>
        <v>0</v>
      </c>
      <c r="Z80" s="1039"/>
      <c r="AA80" s="372"/>
      <c r="AB80" s="368"/>
      <c r="AC80" s="368"/>
      <c r="AD80" s="368"/>
      <c r="AE80" s="296"/>
      <c r="AF80" s="296"/>
      <c r="AG80" s="369"/>
      <c r="AH80" s="369"/>
      <c r="AI80" s="369"/>
      <c r="AJ80" s="369"/>
      <c r="AK80" s="369"/>
      <c r="AL80" s="369"/>
      <c r="AM80" s="369"/>
      <c r="AN80" s="369"/>
      <c r="AO80" s="369"/>
      <c r="AP80" s="369"/>
      <c r="AQ80" s="369"/>
      <c r="AR80" s="369"/>
      <c r="AS80" s="296"/>
      <c r="AT80" s="296"/>
    </row>
    <row r="81" spans="1:46" ht="16.5">
      <c r="B81" s="359" t="s">
        <v>56</v>
      </c>
      <c r="C81" s="1042">
        <f t="shared" si="71"/>
        <v>217.00020000000001</v>
      </c>
      <c r="D81" s="1043"/>
      <c r="E81" s="1030">
        <f t="shared" si="63"/>
        <v>31.000028571428572</v>
      </c>
      <c r="F81" s="1031"/>
      <c r="G81" s="1044"/>
      <c r="H81" s="1045"/>
      <c r="I81" s="1032">
        <f t="shared" si="64"/>
        <v>3.8750035714285715</v>
      </c>
      <c r="J81" s="1033"/>
      <c r="K81" s="1034">
        <f t="shared" si="65"/>
        <v>930.00085714285717</v>
      </c>
      <c r="L81" s="1034"/>
      <c r="M81" s="6"/>
      <c r="N81" s="1050">
        <f t="shared" si="66"/>
        <v>4.5208375000000007</v>
      </c>
      <c r="O81" s="1051"/>
      <c r="P81" s="6"/>
      <c r="Q81" s="1048">
        <f t="shared" si="67"/>
        <v>1.3562464285714286</v>
      </c>
      <c r="R81" s="1049"/>
      <c r="U81" s="342">
        <f>+AE47+U47+K47+AO25+AE25+U25+K25</f>
        <v>38.5</v>
      </c>
      <c r="V81" s="343">
        <v>48</v>
      </c>
      <c r="W81" s="344">
        <f t="shared" si="69"/>
        <v>9.5</v>
      </c>
      <c r="X81" s="345">
        <f>+J18+T18+AD18+J40+T40+AD40</f>
        <v>0</v>
      </c>
      <c r="Y81" s="1038">
        <f>+X81*Q81</f>
        <v>0</v>
      </c>
      <c r="Z81" s="1039"/>
      <c r="AA81" s="372"/>
      <c r="AB81" s="368"/>
      <c r="AC81" s="368"/>
      <c r="AD81" s="368"/>
      <c r="AE81" s="296"/>
      <c r="AF81" s="296"/>
      <c r="AG81" s="369"/>
      <c r="AH81" s="369"/>
      <c r="AI81" s="369"/>
      <c r="AJ81" s="369"/>
      <c r="AK81" s="369"/>
      <c r="AL81" s="369"/>
      <c r="AM81" s="369"/>
      <c r="AN81" s="369"/>
      <c r="AO81" s="369"/>
      <c r="AP81" s="369"/>
      <c r="AQ81" s="369"/>
      <c r="AR81" s="369"/>
      <c r="AS81" s="296"/>
      <c r="AT81" s="296"/>
    </row>
    <row r="82" spans="1:46" ht="16.5">
      <c r="A82" s="366"/>
      <c r="B82" s="359" t="s">
        <v>57</v>
      </c>
      <c r="C82" s="1042">
        <f t="shared" si="71"/>
        <v>217.00020000000001</v>
      </c>
      <c r="D82" s="1043"/>
      <c r="E82" s="1030">
        <f>+C82/7</f>
        <v>31.000028571428572</v>
      </c>
      <c r="F82" s="1031"/>
      <c r="G82" s="1044"/>
      <c r="H82" s="1045"/>
      <c r="I82" s="1032">
        <f>+E82/8</f>
        <v>3.8750035714285715</v>
      </c>
      <c r="J82" s="1033"/>
      <c r="K82" s="1034">
        <f>+E82*30</f>
        <v>930.00085714285717</v>
      </c>
      <c r="L82" s="1034"/>
      <c r="M82" s="6"/>
      <c r="N82" s="1050">
        <f>+I82/6*7</f>
        <v>4.5208375000000007</v>
      </c>
      <c r="O82" s="1051"/>
      <c r="P82" s="6"/>
      <c r="Q82" s="1048">
        <f>+$I$71-I82</f>
        <v>1.3562464285714286</v>
      </c>
      <c r="R82" s="1049"/>
      <c r="U82" s="342">
        <f>+AD42+T42+J42+AN19+AD19+T19+J19</f>
        <v>0</v>
      </c>
      <c r="V82" s="343">
        <v>48</v>
      </c>
      <c r="W82" s="344">
        <f>+V82-U82</f>
        <v>48</v>
      </c>
      <c r="X82" s="345">
        <f>+J19+T19+AD19+J41+T41+AD41</f>
        <v>0</v>
      </c>
      <c r="Y82" s="1038">
        <f>+X82*Q82</f>
        <v>0</v>
      </c>
      <c r="Z82" s="1039"/>
      <c r="AA82" s="372"/>
      <c r="AB82" s="368"/>
      <c r="AC82" s="368"/>
      <c r="AD82" s="368"/>
      <c r="AE82" s="296"/>
      <c r="AF82" s="296"/>
      <c r="AG82" s="369"/>
      <c r="AH82" s="369"/>
      <c r="AI82" s="369"/>
      <c r="AJ82" s="369"/>
      <c r="AK82" s="373"/>
      <c r="AL82" s="373"/>
      <c r="AM82" s="373"/>
      <c r="AN82" s="373"/>
      <c r="AO82" s="373"/>
      <c r="AP82" s="373"/>
      <c r="AQ82" s="373"/>
      <c r="AR82" s="373"/>
      <c r="AS82" s="296"/>
      <c r="AT82" s="296"/>
    </row>
    <row r="83" spans="1:46" ht="16.5">
      <c r="A83" s="366"/>
      <c r="B83" s="359" t="s">
        <v>58</v>
      </c>
      <c r="C83" s="1042">
        <f t="shared" si="71"/>
        <v>217.00020000000001</v>
      </c>
      <c r="D83" s="1043"/>
      <c r="E83" s="1030">
        <f>+C83/7</f>
        <v>31.000028571428572</v>
      </c>
      <c r="F83" s="1031"/>
      <c r="G83" s="1044"/>
      <c r="H83" s="1045"/>
      <c r="I83" s="1032">
        <f>+E83/8</f>
        <v>3.8750035714285715</v>
      </c>
      <c r="J83" s="1033"/>
      <c r="K83" s="1034">
        <f>+E83*30</f>
        <v>930.00085714285717</v>
      </c>
      <c r="L83" s="1034"/>
      <c r="M83" s="6"/>
      <c r="N83" s="1050">
        <f>+I83/6*7</f>
        <v>4.5208375000000007</v>
      </c>
      <c r="O83" s="1051"/>
      <c r="P83" s="6"/>
      <c r="Q83" s="1048">
        <f>+$I$71-I83</f>
        <v>1.3562464285714286</v>
      </c>
      <c r="R83" s="1049"/>
      <c r="U83" s="342">
        <f>+AD47+T47+J47+AN25+AD25+T25+K25</f>
        <v>8</v>
      </c>
      <c r="V83" s="343">
        <v>48</v>
      </c>
      <c r="W83" s="344">
        <f>+V83-U83</f>
        <v>40</v>
      </c>
      <c r="X83" s="345">
        <f>+J25+T25+AD25+J47+T47+AD47</f>
        <v>0</v>
      </c>
      <c r="Z83" s="372"/>
      <c r="AA83" s="372"/>
      <c r="AB83" s="368"/>
      <c r="AC83" s="368"/>
      <c r="AD83" s="368"/>
      <c r="AE83" s="296"/>
      <c r="AF83" s="296"/>
      <c r="AG83" s="369"/>
      <c r="AH83" s="369"/>
      <c r="AI83" s="369"/>
      <c r="AJ83" s="369"/>
      <c r="AK83" s="373"/>
      <c r="AL83" s="373"/>
      <c r="AM83" s="373"/>
      <c r="AN83" s="373"/>
      <c r="AO83" s="373"/>
      <c r="AP83" s="373"/>
      <c r="AQ83" s="373"/>
      <c r="AR83" s="373"/>
      <c r="AS83" s="296"/>
      <c r="AT83" s="296"/>
    </row>
    <row r="84" spans="1:46" ht="16.5">
      <c r="A84" s="366"/>
      <c r="B84" s="359" t="s">
        <v>59</v>
      </c>
      <c r="C84" s="1042">
        <f t="shared" si="71"/>
        <v>217.00020000000001</v>
      </c>
      <c r="D84" s="1043"/>
      <c r="E84" s="1030">
        <f>+C84/7</f>
        <v>31.000028571428572</v>
      </c>
      <c r="F84" s="1031"/>
      <c r="G84" s="1044"/>
      <c r="H84" s="1045"/>
      <c r="I84" s="1032">
        <f>+E84/8</f>
        <v>3.8750035714285715</v>
      </c>
      <c r="J84" s="1033"/>
      <c r="K84" s="1034">
        <f>+E84*30</f>
        <v>930.00085714285717</v>
      </c>
      <c r="L84" s="1034"/>
      <c r="M84" s="6"/>
      <c r="N84" s="1050">
        <f>+I84/6*7</f>
        <v>4.5208375000000007</v>
      </c>
      <c r="O84" s="1051"/>
      <c r="P84" s="6"/>
      <c r="Q84" s="1048">
        <f>+$I$71-I84</f>
        <v>1.3562464285714286</v>
      </c>
      <c r="R84" s="1049"/>
      <c r="U84" s="342">
        <f>+AD48+T48+J48+AN26+AD26+T26+K26</f>
        <v>0</v>
      </c>
      <c r="V84" s="343">
        <v>48</v>
      </c>
      <c r="W84" s="344">
        <f>+V84-U84</f>
        <v>48</v>
      </c>
      <c r="X84" s="345">
        <f>+J26+T26+AD26+J48+T48+AD48</f>
        <v>0</v>
      </c>
      <c r="Z84" s="372"/>
      <c r="AA84" s="372"/>
      <c r="AB84" s="368"/>
      <c r="AC84" s="368"/>
      <c r="AD84" s="368"/>
      <c r="AE84" s="296"/>
      <c r="AF84" s="296"/>
      <c r="AG84" s="369"/>
      <c r="AH84" s="369"/>
      <c r="AI84" s="369"/>
      <c r="AJ84" s="369"/>
      <c r="AK84" s="369"/>
      <c r="AL84" s="369"/>
      <c r="AM84" s="369"/>
      <c r="AN84" s="369"/>
      <c r="AO84" s="369"/>
      <c r="AP84" s="369"/>
      <c r="AQ84" s="369"/>
      <c r="AR84" s="369"/>
      <c r="AS84" s="296"/>
      <c r="AT84" s="296"/>
    </row>
    <row r="85" spans="1:46" ht="16.5">
      <c r="B85" s="365" t="s">
        <v>60</v>
      </c>
      <c r="C85" s="1028">
        <f>+G85*6</f>
        <v>186</v>
      </c>
      <c r="D85" s="1029"/>
      <c r="E85" s="1030">
        <f t="shared" ref="E85:E90" si="72">+C85/7</f>
        <v>26.571428571428573</v>
      </c>
      <c r="F85" s="1031"/>
      <c r="G85" s="1044">
        <v>31</v>
      </c>
      <c r="H85" s="1045"/>
      <c r="I85" s="1032">
        <f>+G85/8</f>
        <v>3.875</v>
      </c>
      <c r="J85" s="1033"/>
      <c r="K85" s="1034">
        <f>+G85*30</f>
        <v>930</v>
      </c>
      <c r="L85" s="1034"/>
      <c r="M85" s="374"/>
      <c r="N85" s="1035">
        <f t="shared" si="66"/>
        <v>4.5208333333333339</v>
      </c>
      <c r="O85" s="1035"/>
      <c r="P85" s="6"/>
      <c r="Q85" s="1036">
        <f t="shared" si="67"/>
        <v>1.3562500000000002</v>
      </c>
      <c r="R85" s="1037"/>
      <c r="U85" s="342">
        <f>+AE43+U43+K43+AO21+AE21+U21+K21</f>
        <v>30.5</v>
      </c>
      <c r="V85" s="343">
        <v>48</v>
      </c>
      <c r="W85" s="344">
        <f t="shared" si="69"/>
        <v>17.5</v>
      </c>
      <c r="X85" s="345">
        <f>+J21+T21+AD21+J43+T43+AD43</f>
        <v>0</v>
      </c>
      <c r="Z85" s="372"/>
      <c r="AA85" s="372"/>
      <c r="AB85" s="368"/>
      <c r="AC85" s="368"/>
      <c r="AD85" s="368"/>
      <c r="AE85" s="296"/>
      <c r="AF85" s="296"/>
      <c r="AG85" s="369"/>
      <c r="AH85" s="369"/>
      <c r="AI85" s="369"/>
      <c r="AJ85" s="369"/>
      <c r="AK85" s="369"/>
      <c r="AL85" s="369"/>
      <c r="AM85" s="369"/>
      <c r="AN85" s="369"/>
      <c r="AO85" s="369"/>
      <c r="AP85" s="369"/>
      <c r="AQ85" s="369"/>
      <c r="AR85" s="369"/>
      <c r="AS85" s="296"/>
      <c r="AT85" s="296"/>
    </row>
    <row r="86" spans="1:46" ht="16.5">
      <c r="A86" s="1">
        <v>2</v>
      </c>
      <c r="B86" s="340" t="s">
        <v>61</v>
      </c>
      <c r="C86" s="1040">
        <v>304.26666666666665</v>
      </c>
      <c r="D86" s="1041"/>
      <c r="E86" s="1030">
        <f>+C86/7</f>
        <v>43.466666666666661</v>
      </c>
      <c r="F86" s="1031"/>
      <c r="G86" s="341"/>
      <c r="H86" s="341"/>
      <c r="I86" s="1032">
        <f>+E86/8</f>
        <v>5.4333333333333327</v>
      </c>
      <c r="J86" s="1033"/>
      <c r="K86" s="1034">
        <f>+E86*30</f>
        <v>1303.9999999999998</v>
      </c>
      <c r="L86" s="1034"/>
      <c r="M86" s="6"/>
      <c r="N86" s="1035">
        <f t="shared" si="66"/>
        <v>6.3388888888888886</v>
      </c>
      <c r="O86" s="1035"/>
      <c r="P86" s="6"/>
      <c r="Q86" s="1036">
        <f t="shared" si="67"/>
        <v>-0.2020833333333325</v>
      </c>
      <c r="R86" s="1037"/>
      <c r="U86" s="342">
        <f>+AE48+U48+K48+AO26+AE26+U26+K26</f>
        <v>0</v>
      </c>
      <c r="V86" s="343">
        <v>48</v>
      </c>
      <c r="W86" s="344">
        <f t="shared" si="69"/>
        <v>48</v>
      </c>
      <c r="X86" s="345">
        <f>+J26+T26+AD26+J48+T48+AD48</f>
        <v>0</v>
      </c>
    </row>
    <row r="87" spans="1:46" ht="16.5">
      <c r="A87" s="1">
        <v>2</v>
      </c>
      <c r="B87" s="359" t="s">
        <v>62</v>
      </c>
      <c r="C87" s="1042">
        <f>6*3+7*(28.4286)</f>
        <v>217.00020000000001</v>
      </c>
      <c r="D87" s="1043"/>
      <c r="E87" s="1030">
        <f t="shared" si="72"/>
        <v>31.000028571428572</v>
      </c>
      <c r="F87" s="1031"/>
      <c r="G87" s="1044"/>
      <c r="H87" s="1045"/>
      <c r="I87" s="1032">
        <f>+E87/8</f>
        <v>3.8750035714285715</v>
      </c>
      <c r="J87" s="1033"/>
      <c r="K87" s="1034">
        <f>+E87*30</f>
        <v>930.00085714285717</v>
      </c>
      <c r="L87" s="1034"/>
      <c r="M87" s="6"/>
      <c r="N87" s="1035">
        <f t="shared" si="66"/>
        <v>4.5208375000000007</v>
      </c>
      <c r="O87" s="1035"/>
      <c r="P87" s="6"/>
      <c r="Q87" s="1036">
        <f t="shared" si="67"/>
        <v>1.3562464285714286</v>
      </c>
      <c r="R87" s="1037"/>
      <c r="U87" s="342">
        <f>+AE44+U44+K44+AO22+AE22+U22+K22</f>
        <v>54.5</v>
      </c>
      <c r="V87" s="343">
        <v>48</v>
      </c>
      <c r="W87" s="344">
        <f t="shared" si="69"/>
        <v>-6.5</v>
      </c>
      <c r="X87" s="345">
        <f>+J22+T22+AD22+J44+T44+AD44</f>
        <v>0</v>
      </c>
    </row>
    <row r="88" spans="1:46" ht="16.5">
      <c r="A88" s="366"/>
      <c r="B88" s="359" t="s">
        <v>63</v>
      </c>
      <c r="C88" s="1042">
        <f>6*3+7*(28.4286)</f>
        <v>217.00020000000001</v>
      </c>
      <c r="D88" s="1043"/>
      <c r="E88" s="1030">
        <f t="shared" si="72"/>
        <v>31.000028571428572</v>
      </c>
      <c r="F88" s="1031"/>
      <c r="G88" s="1044"/>
      <c r="H88" s="1045"/>
      <c r="I88" s="1032">
        <f>+E88/8</f>
        <v>3.8750035714285715</v>
      </c>
      <c r="J88" s="1033"/>
      <c r="K88" s="1034">
        <f>+E88*30</f>
        <v>930.00085714285717</v>
      </c>
      <c r="L88" s="1034"/>
      <c r="M88" s="6"/>
      <c r="N88" s="1050">
        <f t="shared" si="66"/>
        <v>4.5208375000000007</v>
      </c>
      <c r="O88" s="1051"/>
      <c r="P88" s="6"/>
      <c r="Q88" s="1048">
        <f t="shared" si="67"/>
        <v>1.3562464285714286</v>
      </c>
      <c r="R88" s="1049"/>
      <c r="U88" s="342">
        <f>+AD48+T48+J48+AN26+AD26+T26+K26</f>
        <v>0</v>
      </c>
      <c r="V88" s="343">
        <v>48</v>
      </c>
      <c r="W88" s="344">
        <f t="shared" si="69"/>
        <v>48</v>
      </c>
      <c r="X88" s="345">
        <f>+J26+T26+AD26+J48+T48+AD48</f>
        <v>0</v>
      </c>
      <c r="Z88" s="372"/>
      <c r="AA88" s="372"/>
      <c r="AB88" s="368"/>
      <c r="AC88" s="368"/>
      <c r="AD88" s="368"/>
      <c r="AE88" s="296"/>
      <c r="AF88" s="296"/>
      <c r="AG88" s="369"/>
      <c r="AH88" s="369"/>
      <c r="AI88" s="369"/>
      <c r="AJ88" s="369"/>
      <c r="AK88" s="373"/>
      <c r="AL88" s="373"/>
      <c r="AM88" s="373"/>
      <c r="AN88" s="373"/>
      <c r="AO88" s="373"/>
      <c r="AP88" s="373"/>
      <c r="AQ88" s="373"/>
      <c r="AR88" s="373"/>
      <c r="AS88" s="296"/>
      <c r="AT88" s="296"/>
    </row>
    <row r="89" spans="1:46" ht="16.5">
      <c r="A89" s="366"/>
      <c r="B89" s="359" t="s">
        <v>64</v>
      </c>
      <c r="C89" s="1042">
        <f>6*3+7*(28.4286)</f>
        <v>217.00020000000001</v>
      </c>
      <c r="D89" s="1043"/>
      <c r="E89" s="1030">
        <f t="shared" si="72"/>
        <v>31.000028571428572</v>
      </c>
      <c r="F89" s="1031"/>
      <c r="G89" s="1044"/>
      <c r="H89" s="1045"/>
      <c r="I89" s="1032">
        <f>+E89/8</f>
        <v>3.8750035714285715</v>
      </c>
      <c r="J89" s="1033"/>
      <c r="K89" s="1034">
        <f>+E89*30</f>
        <v>930.00085714285717</v>
      </c>
      <c r="L89" s="1034"/>
      <c r="M89" s="6"/>
      <c r="N89" s="1050">
        <f t="shared" si="66"/>
        <v>4.5208375000000007</v>
      </c>
      <c r="O89" s="1051"/>
      <c r="P89" s="6"/>
      <c r="Q89" s="1048">
        <f t="shared" si="67"/>
        <v>1.3562464285714286</v>
      </c>
      <c r="R89" s="1049"/>
      <c r="U89" s="342">
        <f>+AD49+T49+J49+AN27+AD27+T27+K27</f>
        <v>43830</v>
      </c>
      <c r="V89" s="343">
        <v>48</v>
      </c>
      <c r="W89" s="344">
        <f t="shared" si="69"/>
        <v>-43782</v>
      </c>
      <c r="X89" s="345">
        <f>+J27+T27+AD27+J49+T49+AD49</f>
        <v>0</v>
      </c>
      <c r="Z89" s="372"/>
      <c r="AA89" s="372"/>
      <c r="AB89" s="368"/>
      <c r="AC89" s="368"/>
      <c r="AD89" s="368"/>
      <c r="AE89" s="296"/>
      <c r="AF89" s="296"/>
      <c r="AG89" s="369"/>
      <c r="AH89" s="369"/>
      <c r="AI89" s="369"/>
      <c r="AJ89" s="369"/>
      <c r="AK89" s="373"/>
      <c r="AL89" s="373"/>
      <c r="AM89" s="373"/>
      <c r="AN89" s="373"/>
      <c r="AO89" s="373"/>
      <c r="AP89" s="373"/>
      <c r="AQ89" s="373"/>
      <c r="AR89" s="373"/>
      <c r="AS89" s="296"/>
      <c r="AT89" s="296"/>
    </row>
    <row r="90" spans="1:46" ht="16.5">
      <c r="B90" s="375" t="s">
        <v>65</v>
      </c>
      <c r="C90" s="1054">
        <f>6*3+7*(G90)</f>
        <v>548.33330000000001</v>
      </c>
      <c r="D90" s="1055"/>
      <c r="E90" s="1056">
        <f t="shared" si="72"/>
        <v>78.333328571428567</v>
      </c>
      <c r="F90" s="1057"/>
      <c r="G90" s="1058">
        <v>75.761899999999997</v>
      </c>
      <c r="H90" s="1059"/>
      <c r="I90" s="1060">
        <f>+E90/8</f>
        <v>9.7916660714285708</v>
      </c>
      <c r="J90" s="1061"/>
      <c r="K90" s="1062">
        <f>+E90*30</f>
        <v>2349.9998571428569</v>
      </c>
      <c r="L90" s="1063"/>
      <c r="M90" s="6"/>
      <c r="N90" s="1035">
        <f t="shared" si="66"/>
        <v>11.423610416666666</v>
      </c>
      <c r="O90" s="1035"/>
      <c r="P90" s="6"/>
      <c r="Q90" s="1048">
        <f t="shared" si="67"/>
        <v>-4.5604160714285706</v>
      </c>
      <c r="R90" s="1049"/>
      <c r="U90" s="342">
        <f>+AE50+U50+K50+AO28+AE28+U28+K28</f>
        <v>0</v>
      </c>
      <c r="V90" s="343">
        <v>48</v>
      </c>
      <c r="W90" s="344">
        <f t="shared" si="69"/>
        <v>48</v>
      </c>
      <c r="X90" s="345">
        <f>+J28+T28+AD28+J50+T50+AD50</f>
        <v>0</v>
      </c>
      <c r="Z90" s="372"/>
      <c r="AA90" s="372"/>
      <c r="AB90" s="368"/>
      <c r="AC90" s="368"/>
      <c r="AD90" s="368"/>
      <c r="AE90" s="296"/>
      <c r="AF90" s="296"/>
      <c r="AG90" s="369"/>
      <c r="AH90" s="369"/>
      <c r="AI90" s="369"/>
      <c r="AJ90" s="369"/>
      <c r="AK90" s="369"/>
      <c r="AL90" s="369"/>
      <c r="AM90" s="369"/>
      <c r="AN90" s="369"/>
      <c r="AO90" s="369"/>
      <c r="AP90" s="369"/>
      <c r="AQ90" s="296"/>
      <c r="AR90" s="296"/>
      <c r="AS90" s="296"/>
      <c r="AT90" s="296"/>
    </row>
    <row r="91" spans="1:46">
      <c r="AE91" s="376"/>
      <c r="AF91" s="376"/>
      <c r="AJ91" s="376"/>
      <c r="AK91" s="376"/>
    </row>
    <row r="92" spans="1:46" ht="26.25" thickBot="1">
      <c r="B92" s="377" t="s">
        <v>66</v>
      </c>
      <c r="H92" s="1052">
        <v>43191</v>
      </c>
      <c r="I92" s="1052"/>
      <c r="J92" s="1052"/>
      <c r="K92" s="1052"/>
      <c r="L92" s="1052"/>
      <c r="M92" s="1052"/>
      <c r="N92" s="1052"/>
      <c r="AD92" s="378"/>
      <c r="AE92" s="378"/>
      <c r="AF92" s="378"/>
      <c r="AG92" s="167"/>
      <c r="AH92" s="167"/>
      <c r="AI92" s="167"/>
      <c r="AJ92" s="376"/>
      <c r="AK92" s="376"/>
    </row>
    <row r="93" spans="1:46" ht="16.5" thickBot="1">
      <c r="B93" s="379">
        <v>1100</v>
      </c>
      <c r="C93" s="240" t="s">
        <v>67</v>
      </c>
      <c r="AD93" s="296"/>
      <c r="AE93" s="296"/>
      <c r="AF93" s="296"/>
      <c r="AG93" s="296"/>
      <c r="AH93" s="296"/>
      <c r="AI93" s="296"/>
      <c r="AJ93" s="296"/>
      <c r="AK93" s="296"/>
      <c r="AL93" s="296"/>
      <c r="AM93" s="296"/>
      <c r="AN93" s="296"/>
      <c r="AO93" s="296"/>
      <c r="AP93" s="267"/>
      <c r="AQ93" s="267"/>
      <c r="AR93" s="267"/>
      <c r="AS93" s="267"/>
      <c r="AT93" s="267"/>
    </row>
    <row r="94" spans="1:46" ht="15.75">
      <c r="B94" s="168">
        <f>+B93/30*7</f>
        <v>256.66666666666663</v>
      </c>
      <c r="C94" s="240" t="s">
        <v>68</v>
      </c>
      <c r="D94" s="380"/>
      <c r="O94" s="1053" t="s">
        <v>69</v>
      </c>
      <c r="P94" s="1053"/>
      <c r="Q94" s="1053"/>
      <c r="R94" s="1053"/>
      <c r="S94" s="1053"/>
      <c r="T94" s="1053"/>
      <c r="U94" s="1053"/>
      <c r="V94" s="1053"/>
      <c r="W94" s="1053"/>
      <c r="X94" s="1053"/>
      <c r="Y94" s="1053"/>
      <c r="Z94" s="1053"/>
      <c r="AD94" s="296"/>
      <c r="AE94" s="369"/>
      <c r="AF94" s="369"/>
      <c r="AG94" s="296"/>
      <c r="AH94" s="296"/>
      <c r="AI94" s="296"/>
      <c r="AJ94" s="369"/>
      <c r="AK94" s="369"/>
      <c r="AL94" s="296"/>
      <c r="AM94" s="296"/>
      <c r="AN94" s="296"/>
      <c r="AO94" s="296"/>
      <c r="AP94" s="267"/>
      <c r="AQ94" s="267"/>
      <c r="AR94" s="267"/>
      <c r="AS94" s="267"/>
      <c r="AT94" s="267"/>
    </row>
    <row r="95" spans="1:46">
      <c r="B95" s="168">
        <f>+B94-18</f>
        <v>238.66666666666663</v>
      </c>
      <c r="C95" s="240" t="s">
        <v>70</v>
      </c>
      <c r="O95" s="1053">
        <f>+B93</f>
        <v>1100</v>
      </c>
      <c r="P95" s="1053"/>
      <c r="Q95" s="1053" t="s">
        <v>71</v>
      </c>
      <c r="R95" s="1053"/>
      <c r="S95" s="1053"/>
      <c r="T95" s="1053"/>
      <c r="U95" s="1053"/>
      <c r="V95" s="1053"/>
      <c r="W95" s="1053"/>
      <c r="X95" s="1053"/>
      <c r="Y95" s="1053"/>
      <c r="Z95" s="1053"/>
      <c r="AA95" s="7" t="s">
        <v>72</v>
      </c>
      <c r="AD95" s="296"/>
      <c r="AE95" s="369"/>
      <c r="AF95" s="369"/>
      <c r="AG95" s="296"/>
      <c r="AH95" s="296"/>
      <c r="AI95" s="296"/>
      <c r="AJ95" s="369"/>
      <c r="AK95" s="369"/>
      <c r="AL95" s="296"/>
      <c r="AM95" s="296"/>
      <c r="AN95" s="296"/>
      <c r="AO95" s="296"/>
      <c r="AP95" s="267"/>
      <c r="AQ95" s="267"/>
      <c r="AR95" s="267"/>
      <c r="AS95" s="267"/>
      <c r="AT95" s="267"/>
    </row>
    <row r="96" spans="1:46">
      <c r="B96" s="381">
        <f>+B95/7+0</f>
        <v>34.095238095238088</v>
      </c>
      <c r="C96" s="382" t="s">
        <v>73</v>
      </c>
      <c r="D96" s="383"/>
      <c r="O96" s="1053">
        <f>+O95/30*7</f>
        <v>256.66666666666663</v>
      </c>
      <c r="P96" s="1053"/>
      <c r="Q96" s="1053" t="s">
        <v>74</v>
      </c>
      <c r="R96" s="1053"/>
      <c r="S96" s="1053"/>
      <c r="T96" s="1053"/>
      <c r="U96" s="1053"/>
      <c r="V96" s="1053"/>
      <c r="W96" s="1053"/>
      <c r="X96" s="1053"/>
      <c r="Y96" s="1053"/>
      <c r="Z96" s="1053"/>
      <c r="AA96" s="1064">
        <f>+O96*0.87</f>
        <v>223.29999999999995</v>
      </c>
      <c r="AB96" s="1064"/>
      <c r="AD96" s="296"/>
      <c r="AE96" s="384"/>
      <c r="AF96" s="384"/>
      <c r="AG96" s="296"/>
      <c r="AH96" s="296"/>
      <c r="AI96" s="296"/>
      <c r="AJ96" s="384"/>
      <c r="AK96" s="384"/>
      <c r="AL96" s="385"/>
      <c r="AM96" s="385"/>
      <c r="AN96" s="385"/>
      <c r="AO96" s="385"/>
      <c r="AP96" s="386"/>
      <c r="AQ96" s="386"/>
      <c r="AR96" s="267"/>
      <c r="AS96" s="267"/>
      <c r="AT96" s="267"/>
    </row>
    <row r="97" spans="2:46">
      <c r="O97" s="1053">
        <f>+O96/7</f>
        <v>36.666666666666664</v>
      </c>
      <c r="P97" s="1053"/>
      <c r="Q97" s="1053" t="s">
        <v>75</v>
      </c>
      <c r="R97" s="1053"/>
      <c r="S97" s="1053"/>
      <c r="T97" s="1053"/>
      <c r="U97" s="1053"/>
      <c r="V97" s="1053"/>
      <c r="W97" s="1053"/>
      <c r="X97" s="1053"/>
      <c r="Y97" s="1053"/>
      <c r="Z97" s="1053"/>
      <c r="AD97" s="296"/>
      <c r="AE97" s="369"/>
      <c r="AF97" s="369"/>
      <c r="AG97" s="296"/>
      <c r="AH97" s="296"/>
      <c r="AI97" s="296"/>
      <c r="AJ97" s="369"/>
      <c r="AK97" s="369"/>
      <c r="AL97" s="387"/>
      <c r="AM97" s="387"/>
      <c r="AN97" s="385"/>
      <c r="AO97" s="385"/>
      <c r="AP97" s="386"/>
      <c r="AQ97" s="386"/>
      <c r="AR97" s="267"/>
      <c r="AS97" s="267"/>
      <c r="AT97" s="267"/>
    </row>
    <row r="98" spans="2:46" ht="15.75">
      <c r="B98" s="388">
        <f>+B96</f>
        <v>34.095238095238088</v>
      </c>
      <c r="C98" s="389" t="s">
        <v>76</v>
      </c>
      <c r="D98" s="390"/>
      <c r="E98" s="390"/>
      <c r="F98" s="390"/>
      <c r="O98" s="1065">
        <f>(O96-18)/7</f>
        <v>34.095238095238088</v>
      </c>
      <c r="P98" s="1065"/>
      <c r="Q98" s="1065" t="s">
        <v>77</v>
      </c>
      <c r="R98" s="1065"/>
      <c r="S98" s="1065"/>
      <c r="T98" s="1065"/>
      <c r="U98" s="1065"/>
      <c r="V98" s="1065"/>
      <c r="W98" s="1065"/>
      <c r="X98" s="1065"/>
      <c r="Y98" s="1065"/>
      <c r="Z98" s="1065"/>
      <c r="AD98" s="296"/>
      <c r="AE98" s="391"/>
      <c r="AF98" s="391"/>
      <c r="AG98" s="392"/>
      <c r="AH98" s="392"/>
      <c r="AI98" s="392"/>
      <c r="AJ98" s="391"/>
      <c r="AK98" s="391"/>
      <c r="AL98" s="385"/>
      <c r="AM98" s="385"/>
      <c r="AN98" s="385"/>
      <c r="AO98" s="385"/>
      <c r="AP98" s="386"/>
      <c r="AQ98" s="386"/>
      <c r="AR98" s="267"/>
      <c r="AS98" s="267"/>
      <c r="AT98" s="267"/>
    </row>
    <row r="99" spans="2:46">
      <c r="B99" s="168">
        <v>3</v>
      </c>
      <c r="C99" s="240" t="s">
        <v>78</v>
      </c>
      <c r="O99" s="1053">
        <v>3</v>
      </c>
      <c r="P99" s="1053"/>
      <c r="Q99" s="1053" t="s">
        <v>79</v>
      </c>
      <c r="R99" s="1053"/>
      <c r="S99" s="1053"/>
      <c r="T99" s="1053"/>
      <c r="U99" s="1053"/>
      <c r="V99" s="1053"/>
      <c r="W99" s="1053"/>
      <c r="X99" s="1053"/>
      <c r="Y99" s="1053"/>
      <c r="Z99" s="1053"/>
      <c r="AD99" s="296"/>
      <c r="AE99" s="296"/>
      <c r="AF99" s="391"/>
      <c r="AG99" s="392"/>
      <c r="AH99" s="392"/>
      <c r="AI99" s="392"/>
      <c r="AJ99" s="391"/>
      <c r="AK99" s="296"/>
      <c r="AL99" s="385"/>
      <c r="AM99" s="385"/>
      <c r="AN99" s="385"/>
      <c r="AO99" s="385"/>
      <c r="AP99" s="386"/>
      <c r="AQ99" s="386"/>
      <c r="AR99" s="267"/>
      <c r="AS99" s="267"/>
      <c r="AT99" s="267"/>
    </row>
    <row r="100" spans="2:46">
      <c r="B100" s="381">
        <f>+B99+B98</f>
        <v>37.095238095238088</v>
      </c>
      <c r="C100" s="382" t="s">
        <v>80</v>
      </c>
      <c r="D100" s="393"/>
      <c r="E100" s="394"/>
      <c r="F100" s="395"/>
      <c r="G100" s="393"/>
      <c r="H100" s="393"/>
      <c r="I100" s="395"/>
      <c r="J100" s="393"/>
      <c r="K100" s="396"/>
      <c r="L100" s="396"/>
      <c r="M100" s="383"/>
      <c r="O100" s="1053">
        <f>+O99+O98</f>
        <v>37.095238095238088</v>
      </c>
      <c r="P100" s="1053"/>
      <c r="AD100" s="296"/>
      <c r="AE100" s="369"/>
      <c r="AF100" s="369"/>
      <c r="AG100" s="296"/>
      <c r="AH100" s="296"/>
      <c r="AI100" s="296"/>
      <c r="AJ100" s="369"/>
      <c r="AK100" s="369"/>
      <c r="AL100" s="387"/>
      <c r="AM100" s="387"/>
      <c r="AN100" s="387"/>
      <c r="AO100" s="387"/>
      <c r="AP100" s="397"/>
      <c r="AQ100" s="267"/>
      <c r="AR100" s="267"/>
      <c r="AS100" s="267"/>
      <c r="AT100" s="267"/>
    </row>
    <row r="101" spans="2:46">
      <c r="B101" s="168"/>
      <c r="AD101" s="296"/>
      <c r="AE101" s="398"/>
      <c r="AF101" s="398"/>
      <c r="AG101" s="398"/>
      <c r="AH101" s="296"/>
      <c r="AI101" s="296"/>
      <c r="AJ101" s="398"/>
      <c r="AK101" s="398"/>
      <c r="AL101" s="385"/>
      <c r="AM101" s="296"/>
      <c r="AN101" s="296"/>
      <c r="AO101" s="296"/>
      <c r="AP101" s="267"/>
      <c r="AQ101" s="267"/>
      <c r="AR101" s="267"/>
      <c r="AS101" s="267"/>
      <c r="AT101" s="267"/>
    </row>
    <row r="102" spans="2:46">
      <c r="B102" s="168">
        <f>+B100*6</f>
        <v>222.57142857142853</v>
      </c>
      <c r="C102" s="240" t="s">
        <v>81</v>
      </c>
      <c r="O102" s="1053" t="s">
        <v>82</v>
      </c>
      <c r="P102" s="1053"/>
      <c r="Q102" s="1053"/>
      <c r="R102" s="1053"/>
      <c r="S102" s="1053"/>
      <c r="T102" s="1053"/>
      <c r="U102" s="1053"/>
      <c r="V102" s="1053"/>
      <c r="W102" s="1053"/>
      <c r="X102" s="1053"/>
      <c r="Y102" s="1053"/>
      <c r="Z102" s="1053"/>
      <c r="AD102" s="296"/>
      <c r="AE102" s="296"/>
      <c r="AF102" s="296"/>
      <c r="AG102" s="296"/>
      <c r="AH102" s="296"/>
      <c r="AI102" s="385"/>
      <c r="AJ102" s="385"/>
      <c r="AK102" s="387"/>
      <c r="AL102" s="373"/>
      <c r="AM102" s="369"/>
      <c r="AN102" s="373"/>
      <c r="AO102" s="296"/>
      <c r="AP102" s="267"/>
      <c r="AQ102" s="267"/>
      <c r="AR102" s="267"/>
      <c r="AS102" s="267"/>
      <c r="AT102" s="267"/>
    </row>
    <row r="103" spans="2:46">
      <c r="B103" s="399">
        <f>+B98</f>
        <v>34.095238095238088</v>
      </c>
      <c r="C103" s="400" t="s">
        <v>83</v>
      </c>
      <c r="D103" s="401"/>
      <c r="E103" s="402"/>
      <c r="F103" s="403"/>
      <c r="G103" s="401"/>
      <c r="H103" s="401"/>
      <c r="I103" s="403"/>
      <c r="J103" s="401"/>
      <c r="K103" s="404"/>
      <c r="L103" s="405"/>
      <c r="O103" s="1053">
        <f>+O95*1.1</f>
        <v>1210</v>
      </c>
      <c r="P103" s="1053"/>
      <c r="Q103" s="1053" t="s">
        <v>71</v>
      </c>
      <c r="R103" s="1053"/>
      <c r="S103" s="1053"/>
      <c r="T103" s="1053"/>
      <c r="U103" s="1053"/>
      <c r="V103" s="1053"/>
      <c r="W103" s="1053"/>
      <c r="X103" s="1053"/>
      <c r="Y103" s="1053"/>
      <c r="Z103" s="1053"/>
      <c r="AA103" s="7" t="s">
        <v>84</v>
      </c>
      <c r="AG103" s="267"/>
      <c r="AH103" s="267"/>
      <c r="AI103" s="386"/>
      <c r="AJ103" s="386"/>
      <c r="AK103" s="386"/>
      <c r="AL103" s="267"/>
      <c r="AM103" s="267"/>
      <c r="AN103" s="267"/>
      <c r="AO103" s="267"/>
    </row>
    <row r="104" spans="2:46">
      <c r="B104" s="381">
        <f>+B103+B102</f>
        <v>256.66666666666663</v>
      </c>
      <c r="C104" s="382" t="s">
        <v>85</v>
      </c>
      <c r="D104" s="393"/>
      <c r="E104" s="394"/>
      <c r="F104" s="395"/>
      <c r="G104" s="393"/>
      <c r="H104" s="393"/>
      <c r="I104" s="395"/>
      <c r="J104" s="393"/>
      <c r="K104" s="406"/>
      <c r="L104" s="405"/>
      <c r="O104" s="1053">
        <f>+O103/30*7</f>
        <v>282.33333333333337</v>
      </c>
      <c r="P104" s="1053"/>
      <c r="Q104" s="1053" t="s">
        <v>74</v>
      </c>
      <c r="R104" s="1053"/>
      <c r="S104" s="1053"/>
      <c r="T104" s="1053"/>
      <c r="U104" s="1053"/>
      <c r="V104" s="1053"/>
      <c r="W104" s="1053"/>
      <c r="X104" s="1053"/>
      <c r="Y104" s="1053"/>
      <c r="Z104" s="1053"/>
      <c r="AA104" s="1064">
        <f>+O104*0.87</f>
        <v>245.63000000000002</v>
      </c>
      <c r="AB104" s="1064"/>
      <c r="AG104" s="267"/>
      <c r="AH104" s="267"/>
      <c r="AI104" s="386"/>
      <c r="AJ104" s="386"/>
      <c r="AK104" s="407"/>
      <c r="AL104" s="267"/>
      <c r="AM104" s="267"/>
      <c r="AN104" s="267"/>
      <c r="AO104" s="267"/>
    </row>
    <row r="105" spans="2:46">
      <c r="B105" s="408"/>
      <c r="C105" s="409"/>
      <c r="D105" s="333"/>
      <c r="E105" s="410"/>
      <c r="F105" s="411"/>
      <c r="G105" s="333"/>
      <c r="H105" s="333"/>
      <c r="I105" s="411"/>
      <c r="J105" s="333"/>
      <c r="K105" s="405"/>
      <c r="L105" s="405"/>
      <c r="O105" s="1053">
        <f>+O104/7</f>
        <v>40.333333333333336</v>
      </c>
      <c r="P105" s="1053"/>
      <c r="Q105" s="1053" t="s">
        <v>75</v>
      </c>
      <c r="R105" s="1053"/>
      <c r="S105" s="1053"/>
      <c r="T105" s="1053"/>
      <c r="U105" s="1053"/>
      <c r="V105" s="1053"/>
      <c r="W105" s="1053"/>
      <c r="X105" s="1053"/>
      <c r="Y105" s="1053"/>
      <c r="Z105" s="1053"/>
      <c r="AG105" s="267"/>
      <c r="AH105" s="267"/>
      <c r="AI105" s="412"/>
      <c r="AJ105" s="413"/>
      <c r="AK105" s="407"/>
      <c r="AL105" s="267"/>
      <c r="AM105" s="267"/>
      <c r="AN105" s="267"/>
      <c r="AO105" s="267"/>
    </row>
    <row r="106" spans="2:46" ht="15.75">
      <c r="B106" s="414">
        <f>+B104/7</f>
        <v>36.666666666666664</v>
      </c>
      <c r="C106" s="415" t="s">
        <v>86</v>
      </c>
      <c r="D106" s="416"/>
      <c r="E106" s="417"/>
      <c r="F106" s="418"/>
      <c r="G106" s="419"/>
      <c r="H106" s="419"/>
      <c r="I106" s="411"/>
      <c r="J106" s="333"/>
      <c r="K106" s="405"/>
      <c r="L106" s="405"/>
      <c r="O106" s="1065">
        <f>(O104-18)/7</f>
        <v>37.761904761904766</v>
      </c>
      <c r="P106" s="1065"/>
      <c r="Q106" s="1065" t="s">
        <v>77</v>
      </c>
      <c r="R106" s="1065"/>
      <c r="S106" s="1065"/>
      <c r="T106" s="1065"/>
      <c r="U106" s="1065"/>
      <c r="V106" s="1065"/>
      <c r="W106" s="1065"/>
      <c r="X106" s="1065"/>
      <c r="Y106" s="1065"/>
      <c r="Z106" s="1065"/>
      <c r="AG106" s="267"/>
      <c r="AH106" s="267"/>
      <c r="AI106" s="267"/>
      <c r="AJ106" s="267"/>
      <c r="AK106" s="407"/>
      <c r="AL106" s="267"/>
      <c r="AM106" s="267"/>
      <c r="AN106" s="267"/>
      <c r="AO106" s="267"/>
    </row>
    <row r="107" spans="2:46">
      <c r="B107" s="408"/>
      <c r="C107" s="409"/>
      <c r="D107" s="333"/>
      <c r="E107" s="410"/>
      <c r="F107" s="411"/>
      <c r="G107" s="333"/>
      <c r="H107" s="333"/>
      <c r="I107" s="411"/>
      <c r="J107" s="333"/>
      <c r="K107" s="405"/>
      <c r="L107" s="405"/>
      <c r="O107" s="1053">
        <v>3</v>
      </c>
      <c r="P107" s="1053"/>
      <c r="Q107" s="1053" t="s">
        <v>79</v>
      </c>
      <c r="R107" s="1053"/>
      <c r="S107" s="1053"/>
      <c r="T107" s="1053"/>
      <c r="U107" s="1053"/>
      <c r="V107" s="1053"/>
      <c r="W107" s="1053"/>
      <c r="X107" s="1053"/>
      <c r="Y107" s="1053"/>
      <c r="Z107" s="1053"/>
      <c r="AG107" s="267"/>
      <c r="AH107" s="267"/>
      <c r="AI107" s="267"/>
      <c r="AJ107" s="267"/>
      <c r="AK107" s="267"/>
      <c r="AL107" s="267"/>
      <c r="AM107" s="267"/>
      <c r="AN107" s="267"/>
      <c r="AO107" s="267"/>
    </row>
    <row r="108" spans="2:46">
      <c r="B108" s="408"/>
      <c r="C108" s="409"/>
      <c r="D108" s="333"/>
      <c r="E108" s="410"/>
      <c r="F108" s="411"/>
      <c r="G108" s="333"/>
      <c r="H108" s="333"/>
      <c r="I108" s="411"/>
      <c r="J108" s="333"/>
      <c r="K108" s="405"/>
      <c r="L108" s="405"/>
      <c r="O108" s="1053">
        <f>+O107+O106</f>
        <v>40.761904761904766</v>
      </c>
      <c r="P108" s="1053"/>
      <c r="AG108" s="267"/>
      <c r="AH108" s="267"/>
      <c r="AI108" s="267"/>
      <c r="AJ108" s="267"/>
      <c r="AK108" s="267"/>
      <c r="AL108" s="267"/>
      <c r="AM108" s="267"/>
      <c r="AN108" s="267"/>
      <c r="AO108" s="267"/>
    </row>
    <row r="109" spans="2:46">
      <c r="AG109" s="267"/>
      <c r="AH109" s="267"/>
      <c r="AI109" s="267"/>
      <c r="AJ109" s="267"/>
      <c r="AK109" s="267"/>
      <c r="AL109" s="267"/>
      <c r="AM109" s="267"/>
      <c r="AN109" s="267"/>
      <c r="AO109" s="267"/>
    </row>
    <row r="110" spans="2:46" ht="26.25" thickBot="1">
      <c r="B110" s="377" t="s">
        <v>87</v>
      </c>
      <c r="H110" s="1052">
        <v>43167</v>
      </c>
      <c r="I110" s="1052"/>
      <c r="J110" s="1052"/>
      <c r="K110" s="1052"/>
      <c r="L110" s="1052"/>
      <c r="M110" s="1052"/>
      <c r="N110" s="1052"/>
      <c r="O110" s="420" t="s">
        <v>88</v>
      </c>
      <c r="P110" s="421"/>
      <c r="Q110" s="422"/>
      <c r="AG110" s="267"/>
      <c r="AH110" s="267"/>
      <c r="AI110" s="267"/>
      <c r="AJ110" s="267"/>
      <c r="AK110" s="267"/>
      <c r="AL110" s="267"/>
      <c r="AM110" s="267"/>
      <c r="AN110" s="267"/>
      <c r="AO110" s="267"/>
    </row>
    <row r="111" spans="2:46" ht="16.5" thickBot="1">
      <c r="B111" s="379">
        <v>850</v>
      </c>
      <c r="C111" s="240" t="s">
        <v>67</v>
      </c>
      <c r="AD111" s="296"/>
      <c r="AE111" s="296"/>
      <c r="AF111" s="296"/>
      <c r="AG111" s="296"/>
      <c r="AH111" s="296"/>
      <c r="AI111" s="296"/>
      <c r="AJ111" s="296"/>
      <c r="AK111" s="296"/>
      <c r="AL111" s="296"/>
      <c r="AM111" s="296"/>
      <c r="AN111" s="296"/>
      <c r="AO111" s="296"/>
      <c r="AP111" s="267"/>
      <c r="AQ111" s="267"/>
      <c r="AR111" s="267"/>
      <c r="AS111" s="267"/>
      <c r="AT111" s="267"/>
    </row>
    <row r="112" spans="2:46" ht="15.75">
      <c r="B112" s="423">
        <f>+B111/30*7</f>
        <v>198.33333333333331</v>
      </c>
      <c r="C112" s="240" t="s">
        <v>68</v>
      </c>
      <c r="D112" s="380"/>
      <c r="O112" s="1053" t="s">
        <v>69</v>
      </c>
      <c r="P112" s="1053"/>
      <c r="Q112" s="1053"/>
      <c r="R112" s="1053"/>
      <c r="S112" s="1053"/>
      <c r="T112" s="1053"/>
      <c r="U112" s="1053"/>
      <c r="V112" s="1053"/>
      <c r="W112" s="1053"/>
      <c r="X112" s="1053"/>
      <c r="Y112" s="1053"/>
      <c r="Z112" s="1053"/>
      <c r="AD112" s="296"/>
      <c r="AE112" s="369"/>
      <c r="AF112" s="369"/>
      <c r="AG112" s="296"/>
      <c r="AH112" s="296"/>
      <c r="AI112" s="296"/>
      <c r="AJ112" s="369"/>
      <c r="AK112" s="369"/>
      <c r="AL112" s="296"/>
      <c r="AM112" s="296"/>
      <c r="AN112" s="296"/>
      <c r="AO112" s="296"/>
      <c r="AP112" s="267"/>
      <c r="AQ112" s="267"/>
      <c r="AR112" s="267"/>
      <c r="AS112" s="267"/>
      <c r="AT112" s="267"/>
    </row>
    <row r="113" spans="2:46">
      <c r="B113" s="423">
        <f>+B112-18</f>
        <v>180.33333333333331</v>
      </c>
      <c r="C113" s="240" t="s">
        <v>70</v>
      </c>
      <c r="O113" s="1053">
        <f>+B111</f>
        <v>850</v>
      </c>
      <c r="P113" s="1053"/>
      <c r="Q113" s="1053" t="s">
        <v>71</v>
      </c>
      <c r="R113" s="1053"/>
      <c r="S113" s="1053"/>
      <c r="T113" s="1053"/>
      <c r="U113" s="1053"/>
      <c r="V113" s="1053"/>
      <c r="W113" s="1053"/>
      <c r="X113" s="1053"/>
      <c r="Y113" s="1053"/>
      <c r="Z113" s="1053"/>
      <c r="AA113" s="7" t="s">
        <v>72</v>
      </c>
      <c r="AD113" s="296"/>
      <c r="AE113" s="996">
        <v>198.32</v>
      </c>
      <c r="AF113" s="996"/>
      <c r="AG113" s="996"/>
      <c r="AH113" s="296"/>
      <c r="AI113" s="996"/>
      <c r="AJ113" s="996"/>
      <c r="AK113" s="996"/>
      <c r="AL113" s="1068">
        <f>+AL114+AL115</f>
        <v>192.18149689334777</v>
      </c>
      <c r="AM113" s="1068"/>
      <c r="AN113" s="1068"/>
      <c r="AO113" s="1068">
        <f>+AL113-18</f>
        <v>174.18149689334777</v>
      </c>
      <c r="AP113" s="1068"/>
      <c r="AQ113" s="1068"/>
      <c r="AR113" s="267"/>
      <c r="AS113" s="267"/>
      <c r="AT113" s="267"/>
    </row>
    <row r="114" spans="2:46">
      <c r="B114" s="424">
        <f>+B113/7</f>
        <v>25.761904761904759</v>
      </c>
      <c r="C114" s="382" t="s">
        <v>73</v>
      </c>
      <c r="D114" s="383"/>
      <c r="O114" s="1053">
        <f>+O113/30*7</f>
        <v>198.33333333333331</v>
      </c>
      <c r="P114" s="1053"/>
      <c r="Q114" s="1053" t="s">
        <v>74</v>
      </c>
      <c r="R114" s="1053"/>
      <c r="S114" s="1053"/>
      <c r="T114" s="1053"/>
      <c r="U114" s="1053"/>
      <c r="V114" s="1053"/>
      <c r="W114" s="1053"/>
      <c r="X114" s="1053"/>
      <c r="Y114" s="1053"/>
      <c r="Z114" s="1053"/>
      <c r="AA114" s="1064">
        <f>+O114*0.87</f>
        <v>172.54999999999998</v>
      </c>
      <c r="AB114" s="1064"/>
      <c r="AD114" s="296"/>
      <c r="AE114" s="996">
        <v>22.89</v>
      </c>
      <c r="AF114" s="996"/>
      <c r="AG114" s="996"/>
      <c r="AH114" s="296"/>
      <c r="AI114" s="1069">
        <f>+AE114/AE113</f>
        <v>0.11541952400161357</v>
      </c>
      <c r="AJ114" s="1069"/>
      <c r="AK114" s="1069"/>
      <c r="AL114" s="1068">
        <f>+AI114*AL115/AI115</f>
        <v>22.181496893347781</v>
      </c>
      <c r="AM114" s="1068"/>
      <c r="AN114" s="1068"/>
      <c r="AO114" s="1070">
        <f>+AO113/7</f>
        <v>24.883070984763968</v>
      </c>
      <c r="AP114" s="1071"/>
      <c r="AQ114" s="1072"/>
      <c r="AR114" s="267"/>
      <c r="AS114" s="267"/>
      <c r="AT114" s="267"/>
    </row>
    <row r="115" spans="2:46">
      <c r="O115" s="1053">
        <f>+O114/7</f>
        <v>28.333333333333332</v>
      </c>
      <c r="P115" s="1053"/>
      <c r="Q115" s="1053" t="s">
        <v>75</v>
      </c>
      <c r="R115" s="1053"/>
      <c r="S115" s="1053"/>
      <c r="T115" s="1053"/>
      <c r="U115" s="1053"/>
      <c r="V115" s="1053"/>
      <c r="W115" s="1053"/>
      <c r="X115" s="1053"/>
      <c r="Y115" s="1053"/>
      <c r="Z115" s="1053"/>
      <c r="AD115" s="296"/>
      <c r="AE115" s="996">
        <v>175.43</v>
      </c>
      <c r="AF115" s="996"/>
      <c r="AG115" s="996"/>
      <c r="AH115" s="296"/>
      <c r="AI115" s="1066">
        <f>1-AI114</f>
        <v>0.88458047599838641</v>
      </c>
      <c r="AJ115" s="1067"/>
      <c r="AK115" s="1067"/>
      <c r="AL115" s="1068">
        <v>170</v>
      </c>
      <c r="AM115" s="1068"/>
      <c r="AN115" s="1068"/>
      <c r="AO115" s="996"/>
      <c r="AP115" s="996"/>
      <c r="AQ115" s="996"/>
      <c r="AR115" s="267"/>
      <c r="AS115" s="267"/>
      <c r="AT115" s="267"/>
    </row>
    <row r="116" spans="2:46" ht="15.75">
      <c r="B116" s="388">
        <f>+B114</f>
        <v>25.761904761904759</v>
      </c>
      <c r="C116" s="389" t="s">
        <v>76</v>
      </c>
      <c r="D116" s="390"/>
      <c r="E116" s="390"/>
      <c r="F116" s="390"/>
      <c r="O116" s="1065">
        <f>(O114-18)/7</f>
        <v>25.761904761904759</v>
      </c>
      <c r="P116" s="1065"/>
      <c r="Q116" s="1065" t="s">
        <v>77</v>
      </c>
      <c r="R116" s="1065"/>
      <c r="S116" s="1065"/>
      <c r="T116" s="1065"/>
      <c r="U116" s="1065"/>
      <c r="V116" s="1065"/>
      <c r="W116" s="1065"/>
      <c r="X116" s="1065"/>
      <c r="Y116" s="1065"/>
      <c r="Z116" s="1065"/>
      <c r="AD116" s="296"/>
      <c r="AE116" s="996"/>
      <c r="AF116" s="996"/>
      <c r="AG116" s="996"/>
      <c r="AH116" s="296"/>
      <c r="AI116" s="1067"/>
      <c r="AJ116" s="1067"/>
      <c r="AK116" s="1067"/>
      <c r="AL116" s="296"/>
      <c r="AM116" s="385"/>
      <c r="AN116" s="385"/>
      <c r="AO116" s="385"/>
      <c r="AP116" s="386"/>
      <c r="AQ116" s="386"/>
      <c r="AR116" s="267"/>
      <c r="AS116" s="267"/>
      <c r="AT116" s="267"/>
    </row>
    <row r="117" spans="2:46">
      <c r="B117" s="168">
        <v>3</v>
      </c>
      <c r="C117" s="240" t="s">
        <v>78</v>
      </c>
      <c r="O117" s="1053">
        <v>3</v>
      </c>
      <c r="P117" s="1053"/>
      <c r="Q117" s="1053" t="s">
        <v>79</v>
      </c>
      <c r="R117" s="1053"/>
      <c r="S117" s="1053"/>
      <c r="T117" s="1053"/>
      <c r="U117" s="1053"/>
      <c r="V117" s="1053"/>
      <c r="W117" s="1053"/>
      <c r="X117" s="1053"/>
      <c r="Y117" s="1053"/>
      <c r="Z117" s="1053"/>
      <c r="AD117" s="296"/>
      <c r="AE117" s="996">
        <v>198.39</v>
      </c>
      <c r="AF117" s="996"/>
      <c r="AG117" s="996"/>
      <c r="AH117" s="296"/>
      <c r="AI117" s="1067">
        <v>198.32</v>
      </c>
      <c r="AJ117" s="1067"/>
      <c r="AK117" s="1067"/>
      <c r="AL117" s="296"/>
      <c r="AM117" s="385"/>
      <c r="AN117" s="385"/>
      <c r="AO117" s="385"/>
      <c r="AP117" s="386"/>
      <c r="AQ117" s="386"/>
      <c r="AR117" s="267"/>
      <c r="AS117" s="267"/>
      <c r="AT117" s="267"/>
    </row>
    <row r="118" spans="2:46">
      <c r="B118" s="381">
        <f>+B117+B116</f>
        <v>28.761904761904759</v>
      </c>
      <c r="C118" s="382" t="s">
        <v>80</v>
      </c>
      <c r="D118" s="393"/>
      <c r="E118" s="394"/>
      <c r="F118" s="395"/>
      <c r="G118" s="393"/>
      <c r="H118" s="393"/>
      <c r="I118" s="395"/>
      <c r="J118" s="393"/>
      <c r="K118" s="396"/>
      <c r="L118" s="396"/>
      <c r="M118" s="383"/>
      <c r="O118" s="1053">
        <f>+O117+O116</f>
        <v>28.761904761904759</v>
      </c>
      <c r="P118" s="1053"/>
      <c r="AD118" s="296"/>
      <c r="AE118" s="1073">
        <f>+AE117/7*30</f>
        <v>850.24285714285702</v>
      </c>
      <c r="AF118" s="1073"/>
      <c r="AG118" s="1073"/>
      <c r="AH118" s="296"/>
      <c r="AI118" s="1074">
        <f>+AI117/7*30</f>
        <v>849.94285714285718</v>
      </c>
      <c r="AJ118" s="1074"/>
      <c r="AK118" s="1074"/>
      <c r="AL118" s="296"/>
      <c r="AM118" s="387"/>
      <c r="AN118" s="387"/>
      <c r="AO118" s="387"/>
      <c r="AP118" s="397"/>
      <c r="AQ118" s="267"/>
      <c r="AR118" s="267"/>
      <c r="AS118" s="267"/>
      <c r="AT118" s="267"/>
    </row>
    <row r="119" spans="2:46">
      <c r="B119" s="168"/>
      <c r="AD119" s="296"/>
      <c r="AE119" s="296"/>
      <c r="AF119" s="296"/>
      <c r="AG119" s="296"/>
      <c r="AH119" s="296"/>
      <c r="AI119" s="296"/>
      <c r="AJ119" s="296"/>
      <c r="AK119" s="296"/>
      <c r="AL119" s="296"/>
      <c r="AM119" s="296"/>
      <c r="AN119" s="296"/>
      <c r="AO119" s="296"/>
      <c r="AP119" s="267"/>
      <c r="AQ119" s="267"/>
      <c r="AR119" s="267"/>
      <c r="AS119" s="267"/>
      <c r="AT119" s="267"/>
    </row>
    <row r="120" spans="2:46">
      <c r="B120" s="168">
        <f>+B118*6</f>
        <v>172.57142857142856</v>
      </c>
      <c r="C120" s="240" t="s">
        <v>81</v>
      </c>
      <c r="O120" s="1053" t="s">
        <v>82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D120" s="296"/>
      <c r="AE120" s="296"/>
      <c r="AF120" s="296"/>
      <c r="AG120" s="296"/>
      <c r="AH120" s="296"/>
      <c r="AI120" s="385"/>
      <c r="AJ120" s="385"/>
      <c r="AK120" s="387"/>
      <c r="AL120" s="373"/>
      <c r="AM120" s="369"/>
      <c r="AN120" s="373"/>
      <c r="AO120" s="296"/>
      <c r="AP120" s="267"/>
      <c r="AQ120" s="267"/>
      <c r="AR120" s="267"/>
      <c r="AS120" s="267"/>
      <c r="AT120" s="267"/>
    </row>
    <row r="121" spans="2:46">
      <c r="B121" s="399">
        <f>+B116</f>
        <v>25.761904761904759</v>
      </c>
      <c r="C121" s="400" t="s">
        <v>83</v>
      </c>
      <c r="D121" s="401"/>
      <c r="E121" s="402"/>
      <c r="F121" s="403"/>
      <c r="G121" s="401"/>
      <c r="H121" s="401"/>
      <c r="I121" s="403"/>
      <c r="J121" s="401"/>
      <c r="K121" s="404"/>
      <c r="L121" s="405"/>
      <c r="O121" s="1053">
        <f>+O113*1.1</f>
        <v>935.00000000000011</v>
      </c>
      <c r="P121" s="1053"/>
      <c r="Q121" s="1053" t="s">
        <v>71</v>
      </c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7" t="s">
        <v>84</v>
      </c>
      <c r="AG121" s="267"/>
      <c r="AH121" s="267"/>
      <c r="AI121" s="386"/>
      <c r="AJ121" s="386"/>
      <c r="AK121" s="386"/>
      <c r="AL121" s="267"/>
      <c r="AM121" s="267"/>
      <c r="AN121" s="267"/>
      <c r="AO121" s="267"/>
    </row>
    <row r="122" spans="2:46">
      <c r="B122" s="381">
        <f>+B121+B120</f>
        <v>198.33333333333331</v>
      </c>
      <c r="C122" s="382" t="s">
        <v>85</v>
      </c>
      <c r="D122" s="393"/>
      <c r="E122" s="394"/>
      <c r="F122" s="395"/>
      <c r="G122" s="393"/>
      <c r="H122" s="393"/>
      <c r="I122" s="395"/>
      <c r="J122" s="393"/>
      <c r="K122" s="406"/>
      <c r="L122" s="405"/>
      <c r="O122" s="1053">
        <f>+O121/30*7</f>
        <v>218.16666666666669</v>
      </c>
      <c r="P122" s="1053"/>
      <c r="Q122" s="1053" t="s">
        <v>74</v>
      </c>
      <c r="R122" s="1053"/>
      <c r="S122" s="1053"/>
      <c r="T122" s="1053"/>
      <c r="U122" s="1053"/>
      <c r="V122" s="1053"/>
      <c r="W122" s="1053"/>
      <c r="X122" s="1053"/>
      <c r="Y122" s="1053"/>
      <c r="Z122" s="1053"/>
      <c r="AA122" s="1064">
        <f>+O122*0.87</f>
        <v>189.80500000000001</v>
      </c>
      <c r="AB122" s="1064"/>
      <c r="AG122" s="267"/>
      <c r="AH122" s="267"/>
      <c r="AI122" s="386"/>
      <c r="AJ122" s="386"/>
      <c r="AK122" s="407"/>
      <c r="AL122" s="267"/>
      <c r="AM122" s="267"/>
      <c r="AN122" s="267"/>
      <c r="AO122" s="267"/>
    </row>
    <row r="123" spans="2:46">
      <c r="B123" s="408"/>
      <c r="C123" s="409"/>
      <c r="D123" s="333"/>
      <c r="E123" s="410"/>
      <c r="F123" s="411"/>
      <c r="G123" s="333"/>
      <c r="H123" s="333"/>
      <c r="I123" s="411"/>
      <c r="J123" s="333"/>
      <c r="K123" s="405"/>
      <c r="L123" s="405"/>
      <c r="O123" s="1053">
        <f>+O122/7</f>
        <v>31.166666666666668</v>
      </c>
      <c r="P123" s="1053"/>
      <c r="Q123" s="1053" t="s">
        <v>75</v>
      </c>
      <c r="R123" s="1053"/>
      <c r="S123" s="1053"/>
      <c r="T123" s="1053"/>
      <c r="U123" s="1053"/>
      <c r="V123" s="1053"/>
      <c r="W123" s="1053"/>
      <c r="X123" s="1053"/>
      <c r="Y123" s="1053"/>
      <c r="Z123" s="1053"/>
      <c r="AG123" s="267"/>
      <c r="AH123" s="267"/>
      <c r="AI123" s="412"/>
      <c r="AJ123" s="413"/>
      <c r="AK123" s="407"/>
      <c r="AL123" s="267"/>
      <c r="AM123" s="267"/>
      <c r="AN123" s="267"/>
      <c r="AO123" s="267"/>
    </row>
    <row r="124" spans="2:46" ht="15.75">
      <c r="B124" s="426">
        <f>+B122/7</f>
        <v>28.333333333333332</v>
      </c>
      <c r="C124" s="415" t="s">
        <v>86</v>
      </c>
      <c r="D124" s="416"/>
      <c r="E124" s="417"/>
      <c r="F124" s="411"/>
      <c r="G124" s="333"/>
      <c r="H124" s="333"/>
      <c r="I124" s="411"/>
      <c r="J124" s="333"/>
      <c r="K124" s="405"/>
      <c r="L124" s="405"/>
      <c r="O124" s="1065">
        <f>(O122-18)/7</f>
        <v>28.595238095238098</v>
      </c>
      <c r="P124" s="1065"/>
      <c r="Q124" s="1065" t="s">
        <v>77</v>
      </c>
      <c r="R124" s="1065"/>
      <c r="S124" s="1065"/>
      <c r="T124" s="1065"/>
      <c r="U124" s="1065"/>
      <c r="V124" s="1065"/>
      <c r="W124" s="1065"/>
      <c r="X124" s="1065"/>
      <c r="Y124" s="1065"/>
      <c r="Z124" s="1065"/>
      <c r="AG124" s="267"/>
      <c r="AH124" s="267"/>
      <c r="AI124" s="267"/>
      <c r="AJ124" s="267"/>
      <c r="AK124" s="407"/>
      <c r="AL124" s="267"/>
      <c r="AM124" s="267"/>
      <c r="AN124" s="267"/>
      <c r="AO124" s="267"/>
    </row>
    <row r="125" spans="2:46">
      <c r="B125" s="408"/>
      <c r="C125" s="409"/>
      <c r="D125" s="333"/>
      <c r="E125" s="410"/>
      <c r="F125" s="411"/>
      <c r="G125" s="333"/>
      <c r="H125" s="333"/>
      <c r="I125" s="411"/>
      <c r="J125" s="333"/>
      <c r="K125" s="405"/>
      <c r="L125" s="405"/>
      <c r="O125" s="1053">
        <v>3</v>
      </c>
      <c r="P125" s="1053"/>
      <c r="Q125" s="1053" t="s">
        <v>79</v>
      </c>
      <c r="R125" s="1053"/>
      <c r="S125" s="1053"/>
      <c r="T125" s="1053"/>
      <c r="U125" s="1053"/>
      <c r="V125" s="1053"/>
      <c r="W125" s="1053"/>
      <c r="X125" s="1053"/>
      <c r="Y125" s="1053"/>
      <c r="Z125" s="1053"/>
      <c r="AG125" s="267"/>
      <c r="AH125" s="267"/>
      <c r="AI125" s="267"/>
      <c r="AJ125" s="267"/>
      <c r="AK125" s="267"/>
      <c r="AL125" s="267"/>
      <c r="AM125" s="267"/>
      <c r="AN125" s="267"/>
      <c r="AO125" s="267"/>
    </row>
    <row r="126" spans="2:46">
      <c r="B126" s="408">
        <v>28.333333333333332</v>
      </c>
      <c r="C126" s="409"/>
      <c r="D126" s="333"/>
      <c r="E126" s="410"/>
      <c r="F126" s="411"/>
      <c r="G126" s="333"/>
      <c r="H126" s="333"/>
      <c r="I126" s="411"/>
      <c r="J126" s="333"/>
      <c r="K126" s="405"/>
      <c r="L126" s="405"/>
      <c r="O126" s="1053">
        <f>+O125+O124</f>
        <v>31.595238095238098</v>
      </c>
      <c r="P126" s="1053"/>
      <c r="AG126" s="267"/>
      <c r="AH126" s="267"/>
      <c r="AI126" s="267"/>
      <c r="AJ126" s="267"/>
      <c r="AK126" s="267"/>
      <c r="AL126" s="267"/>
      <c r="AM126" s="267"/>
      <c r="AN126" s="267"/>
      <c r="AO126" s="267"/>
    </row>
    <row r="127" spans="2:46">
      <c r="B127" s="168"/>
      <c r="AG127" s="267"/>
      <c r="AH127" s="267"/>
      <c r="AI127" s="267"/>
      <c r="AJ127" s="267"/>
      <c r="AK127" s="267"/>
      <c r="AL127" s="267"/>
      <c r="AM127" s="267"/>
      <c r="AN127" s="267"/>
      <c r="AO127" s="267"/>
    </row>
    <row r="128" spans="2:46">
      <c r="B128" s="168"/>
      <c r="AG128" s="267"/>
      <c r="AH128" s="267"/>
      <c r="AI128" s="267"/>
      <c r="AJ128" s="267"/>
      <c r="AK128" s="267"/>
      <c r="AL128" s="267"/>
      <c r="AM128" s="267"/>
      <c r="AN128" s="267"/>
      <c r="AO128" s="267"/>
    </row>
    <row r="129" spans="2:46" ht="26.25" thickBot="1">
      <c r="B129" s="377" t="s">
        <v>89</v>
      </c>
      <c r="H129" s="1052">
        <v>42922</v>
      </c>
      <c r="I129" s="1052"/>
      <c r="J129" s="1052"/>
      <c r="K129" s="1052"/>
      <c r="L129" s="1052"/>
      <c r="M129" s="1052"/>
      <c r="N129" s="1052"/>
      <c r="AD129" s="378"/>
      <c r="AE129" s="378"/>
      <c r="AF129" s="378"/>
      <c r="AG129" s="167"/>
      <c r="AH129" s="167"/>
      <c r="AI129" s="167"/>
      <c r="AJ129" s="376"/>
      <c r="AK129" s="376"/>
    </row>
    <row r="130" spans="2:46" ht="16.5" thickBot="1">
      <c r="B130" s="379">
        <v>1231.53</v>
      </c>
      <c r="C130" s="240" t="s">
        <v>67</v>
      </c>
      <c r="AD130" s="296"/>
      <c r="AE130" s="296"/>
      <c r="AF130" s="296"/>
      <c r="AG130" s="296"/>
      <c r="AH130" s="296"/>
      <c r="AI130" s="296"/>
      <c r="AJ130" s="296"/>
      <c r="AK130" s="296"/>
      <c r="AL130" s="296"/>
      <c r="AM130" s="296"/>
      <c r="AN130" s="296"/>
      <c r="AO130" s="296"/>
      <c r="AP130" s="267"/>
      <c r="AQ130" s="267"/>
      <c r="AR130" s="267"/>
      <c r="AS130" s="267"/>
      <c r="AT130" s="267"/>
    </row>
    <row r="131" spans="2:46" ht="15.75">
      <c r="B131" s="168">
        <f>+B130/30*7</f>
        <v>287.35700000000003</v>
      </c>
      <c r="C131" s="240" t="s">
        <v>68</v>
      </c>
      <c r="D131" s="380"/>
      <c r="O131" s="1053" t="s">
        <v>69</v>
      </c>
      <c r="P131" s="1053"/>
      <c r="Q131" s="1053"/>
      <c r="R131" s="1053"/>
      <c r="S131" s="1053"/>
      <c r="T131" s="1053"/>
      <c r="U131" s="1053"/>
      <c r="V131" s="1053"/>
      <c r="W131" s="1053"/>
      <c r="X131" s="1053"/>
      <c r="Y131" s="1053"/>
      <c r="Z131" s="1053"/>
      <c r="AD131" s="296"/>
      <c r="AE131" s="369"/>
      <c r="AF131" s="369"/>
      <c r="AG131" s="296"/>
      <c r="AH131" s="296"/>
      <c r="AI131" s="296"/>
      <c r="AJ131" s="369"/>
      <c r="AK131" s="369"/>
      <c r="AL131" s="296"/>
      <c r="AM131" s="296"/>
      <c r="AN131" s="296"/>
      <c r="AO131" s="296"/>
      <c r="AP131" s="267"/>
      <c r="AQ131" s="267"/>
      <c r="AR131" s="267"/>
      <c r="AS131" s="267"/>
      <c r="AT131" s="267"/>
    </row>
    <row r="132" spans="2:46">
      <c r="B132" s="168">
        <f>+B131-18</f>
        <v>269.35700000000003</v>
      </c>
      <c r="C132" s="240" t="s">
        <v>70</v>
      </c>
      <c r="O132" s="1053">
        <f>+B130</f>
        <v>1231.53</v>
      </c>
      <c r="P132" s="1053"/>
      <c r="Q132" s="1053" t="s">
        <v>71</v>
      </c>
      <c r="R132" s="1053"/>
      <c r="S132" s="1053"/>
      <c r="T132" s="1053"/>
      <c r="U132" s="1053"/>
      <c r="V132" s="1053"/>
      <c r="W132" s="1053"/>
      <c r="X132" s="1053"/>
      <c r="Y132" s="1053"/>
      <c r="Z132" s="1053"/>
      <c r="AA132" s="7" t="s">
        <v>72</v>
      </c>
      <c r="AD132" s="296"/>
      <c r="AE132" s="369"/>
      <c r="AF132" s="369"/>
      <c r="AG132" s="296"/>
      <c r="AH132" s="296"/>
      <c r="AI132" s="296"/>
      <c r="AJ132" s="369"/>
      <c r="AK132" s="369"/>
      <c r="AL132" s="296"/>
      <c r="AM132" s="296"/>
      <c r="AN132" s="296"/>
      <c r="AO132" s="296"/>
      <c r="AP132" s="267"/>
      <c r="AQ132" s="267"/>
      <c r="AR132" s="267"/>
      <c r="AS132" s="267"/>
      <c r="AT132" s="267"/>
    </row>
    <row r="133" spans="2:46">
      <c r="B133" s="381">
        <f>+B132/7+0</f>
        <v>38.479571428571433</v>
      </c>
      <c r="C133" s="382" t="s">
        <v>73</v>
      </c>
      <c r="D133" s="383"/>
      <c r="O133" s="1053">
        <f>+O132/30*7</f>
        <v>287.35700000000003</v>
      </c>
      <c r="P133" s="1053"/>
      <c r="Q133" s="1053" t="s">
        <v>74</v>
      </c>
      <c r="R133" s="1053"/>
      <c r="S133" s="1053"/>
      <c r="T133" s="1053"/>
      <c r="U133" s="1053"/>
      <c r="V133" s="1053"/>
      <c r="W133" s="1053"/>
      <c r="X133" s="1053"/>
      <c r="Y133" s="1053"/>
      <c r="Z133" s="1053"/>
      <c r="AA133" s="1064">
        <f>+O133*0.87</f>
        <v>250.00059000000002</v>
      </c>
      <c r="AB133" s="1064"/>
      <c r="AD133" s="296"/>
      <c r="AE133" s="384"/>
      <c r="AF133" s="384"/>
      <c r="AG133" s="296"/>
      <c r="AH133" s="296"/>
      <c r="AI133" s="296"/>
      <c r="AJ133" s="384"/>
      <c r="AK133" s="384"/>
      <c r="AL133" s="385"/>
      <c r="AM133" s="385"/>
      <c r="AN133" s="385"/>
      <c r="AO133" s="385"/>
      <c r="AP133" s="386"/>
      <c r="AQ133" s="386"/>
      <c r="AR133" s="267"/>
      <c r="AS133" s="267"/>
      <c r="AT133" s="267"/>
    </row>
    <row r="134" spans="2:46">
      <c r="O134" s="1053">
        <f>+O133/7</f>
        <v>41.051000000000002</v>
      </c>
      <c r="P134" s="1053"/>
      <c r="Q134" s="1053" t="s">
        <v>75</v>
      </c>
      <c r="R134" s="1053"/>
      <c r="S134" s="1053"/>
      <c r="T134" s="1053"/>
      <c r="U134" s="1053"/>
      <c r="V134" s="1053"/>
      <c r="W134" s="1053"/>
      <c r="X134" s="1053"/>
      <c r="Y134" s="1053"/>
      <c r="Z134" s="1053"/>
      <c r="AD134" s="296"/>
      <c r="AE134" s="369"/>
      <c r="AF134" s="369"/>
      <c r="AG134" s="296"/>
      <c r="AH134" s="296"/>
      <c r="AI134" s="296"/>
      <c r="AJ134" s="369"/>
      <c r="AK134" s="369"/>
      <c r="AL134" s="387"/>
      <c r="AM134" s="387"/>
      <c r="AN134" s="385"/>
      <c r="AO134" s="385"/>
      <c r="AP134" s="386"/>
      <c r="AQ134" s="386"/>
      <c r="AR134" s="267"/>
      <c r="AS134" s="267"/>
      <c r="AT134" s="267"/>
    </row>
    <row r="135" spans="2:46" ht="15.75">
      <c r="B135" s="427">
        <f>+B133</f>
        <v>38.479571428571433</v>
      </c>
      <c r="C135" s="389" t="s">
        <v>76</v>
      </c>
      <c r="D135" s="390"/>
      <c r="E135" s="390"/>
      <c r="F135" s="390"/>
      <c r="O135" s="1065">
        <f>(O133-18)/7</f>
        <v>38.479571428571433</v>
      </c>
      <c r="P135" s="1065"/>
      <c r="Q135" s="1065" t="s">
        <v>77</v>
      </c>
      <c r="R135" s="1065"/>
      <c r="S135" s="1065"/>
      <c r="T135" s="1065"/>
      <c r="U135" s="1065"/>
      <c r="V135" s="1065"/>
      <c r="W135" s="1065"/>
      <c r="X135" s="1065"/>
      <c r="Y135" s="1065"/>
      <c r="Z135" s="1065"/>
      <c r="AD135" s="296"/>
      <c r="AE135" s="391"/>
      <c r="AF135" s="391"/>
      <c r="AG135" s="392"/>
      <c r="AH135" s="392"/>
      <c r="AI135" s="392"/>
      <c r="AJ135" s="391"/>
      <c r="AK135" s="391"/>
      <c r="AL135" s="385"/>
      <c r="AM135" s="385"/>
      <c r="AN135" s="385"/>
      <c r="AO135" s="385"/>
      <c r="AP135" s="386"/>
      <c r="AQ135" s="386"/>
      <c r="AR135" s="267"/>
      <c r="AS135" s="267"/>
      <c r="AT135" s="267"/>
    </row>
    <row r="136" spans="2:46">
      <c r="B136" s="168">
        <v>3</v>
      </c>
      <c r="C136" s="240" t="s">
        <v>78</v>
      </c>
      <c r="O136" s="1053">
        <v>3</v>
      </c>
      <c r="P136" s="1053"/>
      <c r="Q136" s="1053" t="s">
        <v>79</v>
      </c>
      <c r="R136" s="1053"/>
      <c r="S136" s="1053"/>
      <c r="T136" s="1053"/>
      <c r="U136" s="1053"/>
      <c r="V136" s="1053"/>
      <c r="W136" s="1053"/>
      <c r="X136" s="1053"/>
      <c r="Y136" s="1053"/>
      <c r="Z136" s="1053"/>
      <c r="AD136" s="296"/>
      <c r="AE136" s="296"/>
      <c r="AF136" s="391"/>
      <c r="AG136" s="392"/>
      <c r="AH136" s="392"/>
      <c r="AI136" s="392"/>
      <c r="AJ136" s="391"/>
      <c r="AK136" s="296"/>
      <c r="AL136" s="385"/>
      <c r="AM136" s="385"/>
      <c r="AN136" s="385"/>
      <c r="AO136" s="385"/>
      <c r="AP136" s="386"/>
      <c r="AQ136" s="386"/>
      <c r="AR136" s="267"/>
      <c r="AS136" s="267"/>
      <c r="AT136" s="267"/>
    </row>
    <row r="137" spans="2:46">
      <c r="B137" s="381">
        <f>+B136+B135</f>
        <v>41.479571428571433</v>
      </c>
      <c r="C137" s="382" t="s">
        <v>80</v>
      </c>
      <c r="D137" s="393"/>
      <c r="E137" s="394"/>
      <c r="F137" s="395"/>
      <c r="G137" s="393"/>
      <c r="H137" s="393"/>
      <c r="I137" s="395"/>
      <c r="J137" s="393"/>
      <c r="K137" s="396"/>
      <c r="L137" s="396"/>
      <c r="M137" s="383"/>
      <c r="O137" s="1053">
        <f>+O136+O135</f>
        <v>41.479571428571433</v>
      </c>
      <c r="P137" s="1053"/>
      <c r="AD137" s="296"/>
      <c r="AE137" s="369"/>
      <c r="AF137" s="369"/>
      <c r="AG137" s="296"/>
      <c r="AH137" s="296"/>
      <c r="AI137" s="296"/>
      <c r="AJ137" s="369"/>
      <c r="AK137" s="369"/>
      <c r="AL137" s="387"/>
      <c r="AM137" s="387"/>
      <c r="AN137" s="387"/>
      <c r="AO137" s="387"/>
      <c r="AP137" s="397"/>
      <c r="AQ137" s="267"/>
      <c r="AR137" s="267"/>
      <c r="AS137" s="267"/>
      <c r="AT137" s="267"/>
    </row>
    <row r="138" spans="2:46">
      <c r="B138" s="168"/>
      <c r="AD138" s="296"/>
      <c r="AE138" s="398"/>
      <c r="AF138" s="398"/>
      <c r="AG138" s="398"/>
      <c r="AH138" s="296"/>
      <c r="AI138" s="296"/>
      <c r="AJ138" s="398"/>
      <c r="AK138" s="398"/>
      <c r="AL138" s="385"/>
      <c r="AM138" s="296"/>
      <c r="AN138" s="296"/>
      <c r="AO138" s="296"/>
      <c r="AP138" s="267"/>
      <c r="AQ138" s="267"/>
      <c r="AR138" s="267"/>
      <c r="AS138" s="267"/>
      <c r="AT138" s="267"/>
    </row>
    <row r="139" spans="2:46">
      <c r="B139" s="168">
        <f>+B137*6</f>
        <v>248.8774285714286</v>
      </c>
      <c r="C139" s="240" t="s">
        <v>81</v>
      </c>
      <c r="O139" s="1053" t="s">
        <v>82</v>
      </c>
      <c r="P139" s="1053"/>
      <c r="Q139" s="1053"/>
      <c r="R139" s="1053"/>
      <c r="S139" s="1053"/>
      <c r="T139" s="1053"/>
      <c r="U139" s="1053"/>
      <c r="V139" s="1053"/>
      <c r="W139" s="1053"/>
      <c r="X139" s="1053"/>
      <c r="Y139" s="1053"/>
      <c r="Z139" s="1053"/>
      <c r="AD139" s="296"/>
      <c r="AE139" s="296"/>
      <c r="AF139" s="296"/>
      <c r="AG139" s="296"/>
      <c r="AH139" s="296"/>
      <c r="AI139" s="385"/>
      <c r="AJ139" s="385"/>
      <c r="AK139" s="387"/>
      <c r="AL139" s="373"/>
      <c r="AM139" s="369"/>
      <c r="AN139" s="373"/>
      <c r="AO139" s="296"/>
      <c r="AP139" s="267"/>
      <c r="AQ139" s="267"/>
      <c r="AR139" s="267"/>
      <c r="AS139" s="267"/>
      <c r="AT139" s="267"/>
    </row>
    <row r="140" spans="2:46">
      <c r="B140" s="399">
        <f>+B135</f>
        <v>38.479571428571433</v>
      </c>
      <c r="C140" s="400" t="s">
        <v>83</v>
      </c>
      <c r="D140" s="401"/>
      <c r="E140" s="402"/>
      <c r="F140" s="403"/>
      <c r="G140" s="401"/>
      <c r="H140" s="401"/>
      <c r="I140" s="403"/>
      <c r="J140" s="401"/>
      <c r="K140" s="404"/>
      <c r="L140" s="405"/>
      <c r="O140" s="1053">
        <f>+O132*1.1</f>
        <v>1354.683</v>
      </c>
      <c r="P140" s="1053"/>
      <c r="Q140" s="1053" t="s">
        <v>71</v>
      </c>
      <c r="R140" s="1053"/>
      <c r="S140" s="1053"/>
      <c r="T140" s="1053"/>
      <c r="U140" s="1053"/>
      <c r="V140" s="1053"/>
      <c r="W140" s="1053"/>
      <c r="X140" s="1053"/>
      <c r="Y140" s="1053"/>
      <c r="Z140" s="1053"/>
      <c r="AA140" s="7" t="s">
        <v>84</v>
      </c>
      <c r="AG140" s="267"/>
      <c r="AH140" s="267"/>
      <c r="AI140" s="386"/>
      <c r="AJ140" s="386"/>
      <c r="AK140" s="386"/>
      <c r="AL140" s="267"/>
      <c r="AM140" s="267"/>
      <c r="AN140" s="267"/>
      <c r="AO140" s="267"/>
    </row>
    <row r="141" spans="2:46">
      <c r="B141" s="381">
        <f>+B140+B139</f>
        <v>287.35700000000003</v>
      </c>
      <c r="C141" s="382" t="s">
        <v>85</v>
      </c>
      <c r="D141" s="393"/>
      <c r="E141" s="394"/>
      <c r="F141" s="395"/>
      <c r="G141" s="393"/>
      <c r="H141" s="393"/>
      <c r="I141" s="395"/>
      <c r="J141" s="393"/>
      <c r="K141" s="406"/>
      <c r="L141" s="405"/>
      <c r="O141" s="1053">
        <f>+O140/30*7</f>
        <v>316.09270000000004</v>
      </c>
      <c r="P141" s="1053"/>
      <c r="Q141" s="1053" t="s">
        <v>74</v>
      </c>
      <c r="R141" s="1053"/>
      <c r="S141" s="1053"/>
      <c r="T141" s="1053"/>
      <c r="U141" s="1053"/>
      <c r="V141" s="1053"/>
      <c r="W141" s="1053"/>
      <c r="X141" s="1053"/>
      <c r="Y141" s="1053"/>
      <c r="Z141" s="1053"/>
      <c r="AA141" s="1064">
        <f>+O141*0.87</f>
        <v>275.00064900000001</v>
      </c>
      <c r="AB141" s="1064"/>
      <c r="AG141" s="267"/>
      <c r="AH141" s="267"/>
      <c r="AI141" s="386"/>
      <c r="AJ141" s="386"/>
      <c r="AK141" s="407"/>
      <c r="AL141" s="267"/>
      <c r="AM141" s="267"/>
      <c r="AN141" s="267"/>
      <c r="AO141" s="267"/>
    </row>
    <row r="142" spans="2:46">
      <c r="B142" s="408"/>
      <c r="C142" s="409"/>
      <c r="D142" s="333"/>
      <c r="E142" s="410"/>
      <c r="F142" s="411"/>
      <c r="G142" s="333"/>
      <c r="H142" s="333"/>
      <c r="I142" s="411"/>
      <c r="J142" s="333"/>
      <c r="K142" s="405"/>
      <c r="L142" s="405"/>
      <c r="O142" s="1053">
        <f>+O141/7</f>
        <v>45.156100000000002</v>
      </c>
      <c r="P142" s="1053"/>
      <c r="Q142" s="1053" t="s">
        <v>75</v>
      </c>
      <c r="R142" s="1053"/>
      <c r="S142" s="1053"/>
      <c r="T142" s="1053"/>
      <c r="U142" s="1053"/>
      <c r="V142" s="1053"/>
      <c r="W142" s="1053"/>
      <c r="X142" s="1053"/>
      <c r="Y142" s="1053"/>
      <c r="Z142" s="1053"/>
      <c r="AG142" s="267"/>
      <c r="AH142" s="267"/>
      <c r="AI142" s="412"/>
      <c r="AJ142" s="413"/>
      <c r="AK142" s="407"/>
      <c r="AL142" s="267"/>
      <c r="AM142" s="267"/>
      <c r="AN142" s="267"/>
      <c r="AO142" s="267"/>
    </row>
    <row r="143" spans="2:46" ht="15.75">
      <c r="B143" s="426">
        <f>+B141/7</f>
        <v>41.051000000000002</v>
      </c>
      <c r="C143" s="415" t="s">
        <v>86</v>
      </c>
      <c r="D143" s="416"/>
      <c r="E143" s="417"/>
      <c r="F143" s="418"/>
      <c r="G143" s="419"/>
      <c r="H143" s="419"/>
      <c r="I143" s="411"/>
      <c r="J143" s="333"/>
      <c r="K143" s="405"/>
      <c r="L143" s="405"/>
      <c r="O143" s="1065">
        <f>(O141-18)/7</f>
        <v>42.584671428571433</v>
      </c>
      <c r="P143" s="1065"/>
      <c r="Q143" s="1065" t="s">
        <v>77</v>
      </c>
      <c r="R143" s="1065"/>
      <c r="S143" s="1065"/>
      <c r="T143" s="1065"/>
      <c r="U143" s="1065"/>
      <c r="V143" s="1065"/>
      <c r="W143" s="1065"/>
      <c r="X143" s="1065"/>
      <c r="Y143" s="1065"/>
      <c r="Z143" s="1065"/>
      <c r="AG143" s="267"/>
      <c r="AH143" s="267"/>
      <c r="AI143" s="267"/>
      <c r="AJ143" s="267"/>
      <c r="AK143" s="407"/>
      <c r="AL143" s="267"/>
      <c r="AM143" s="267"/>
      <c r="AN143" s="267"/>
      <c r="AO143" s="267"/>
    </row>
    <row r="144" spans="2:46">
      <c r="B144" s="408"/>
      <c r="C144" s="409"/>
      <c r="D144" s="333"/>
      <c r="E144" s="410"/>
      <c r="F144" s="411"/>
      <c r="G144" s="333"/>
      <c r="H144" s="333"/>
      <c r="I144" s="411"/>
      <c r="J144" s="333"/>
      <c r="K144" s="405"/>
      <c r="L144" s="405"/>
      <c r="O144" s="1053">
        <v>3</v>
      </c>
      <c r="P144" s="1053"/>
      <c r="Q144" s="1053" t="s">
        <v>79</v>
      </c>
      <c r="R144" s="1053"/>
      <c r="S144" s="1053"/>
      <c r="T144" s="1053"/>
      <c r="U144" s="1053"/>
      <c r="V144" s="1053"/>
      <c r="W144" s="1053"/>
      <c r="X144" s="1053"/>
      <c r="Y144" s="1053"/>
      <c r="Z144" s="1053"/>
      <c r="AG144" s="267"/>
      <c r="AH144" s="267"/>
      <c r="AI144" s="267"/>
      <c r="AJ144" s="267"/>
      <c r="AK144" s="267"/>
      <c r="AL144" s="267"/>
      <c r="AM144" s="267"/>
      <c r="AN144" s="267"/>
      <c r="AO144" s="267"/>
    </row>
    <row r="145" spans="2:46">
      <c r="B145" s="408"/>
      <c r="C145" s="409"/>
      <c r="D145" s="333"/>
      <c r="E145" s="410"/>
      <c r="F145" s="411"/>
      <c r="G145" s="333"/>
      <c r="H145" s="333"/>
      <c r="I145" s="411"/>
      <c r="J145" s="333"/>
      <c r="K145" s="405"/>
      <c r="L145" s="405"/>
      <c r="O145" s="1053">
        <f>+O144+O143</f>
        <v>45.584671428571433</v>
      </c>
      <c r="P145" s="1053"/>
      <c r="AG145" s="267"/>
      <c r="AH145" s="267"/>
      <c r="AI145" s="267"/>
      <c r="AJ145" s="267"/>
      <c r="AK145" s="267"/>
      <c r="AL145" s="267"/>
      <c r="AM145" s="267"/>
      <c r="AN145" s="267"/>
      <c r="AO145" s="267"/>
    </row>
    <row r="146" spans="2:46">
      <c r="B146" s="168"/>
      <c r="AG146" s="267"/>
      <c r="AH146" s="267"/>
      <c r="AI146" s="267"/>
      <c r="AJ146" s="267"/>
      <c r="AK146" s="267"/>
      <c r="AL146" s="267"/>
      <c r="AM146" s="267"/>
      <c r="AN146" s="267"/>
      <c r="AO146" s="267"/>
    </row>
    <row r="147" spans="2:46" ht="26.25" thickBot="1">
      <c r="B147" s="377" t="s">
        <v>53</v>
      </c>
      <c r="H147" s="1052">
        <v>42744</v>
      </c>
      <c r="I147" s="1052"/>
      <c r="J147" s="1052"/>
      <c r="K147" s="1052"/>
      <c r="L147" s="1052"/>
      <c r="M147" s="1052"/>
      <c r="N147" s="1052"/>
      <c r="AD147" s="378"/>
      <c r="AE147" s="378"/>
      <c r="AF147" s="378"/>
      <c r="AG147" s="167"/>
      <c r="AH147" s="167"/>
      <c r="AI147" s="167"/>
      <c r="AJ147" s="376"/>
      <c r="AK147" s="376"/>
    </row>
    <row r="148" spans="2:46" ht="16.5" thickBot="1">
      <c r="B148" s="379">
        <v>1232.1400000000001</v>
      </c>
      <c r="C148" s="240" t="s">
        <v>67</v>
      </c>
      <c r="AD148" s="296"/>
      <c r="AE148" s="296"/>
      <c r="AF148" s="296"/>
      <c r="AG148" s="296"/>
      <c r="AH148" s="296"/>
      <c r="AI148" s="296"/>
      <c r="AJ148" s="296"/>
      <c r="AK148" s="296"/>
      <c r="AL148" s="296"/>
      <c r="AM148" s="296"/>
      <c r="AN148" s="296"/>
      <c r="AO148" s="296"/>
      <c r="AP148" s="267"/>
      <c r="AQ148" s="267"/>
      <c r="AR148" s="267"/>
      <c r="AS148" s="267"/>
      <c r="AT148" s="267"/>
    </row>
    <row r="149" spans="2:46" ht="15.75">
      <c r="B149" s="168">
        <f>+B148/30*7</f>
        <v>287.49933333333337</v>
      </c>
      <c r="C149" s="240" t="s">
        <v>68</v>
      </c>
      <c r="D149" s="380"/>
      <c r="O149" s="1053" t="s">
        <v>69</v>
      </c>
      <c r="P149" s="1053"/>
      <c r="Q149" s="1053"/>
      <c r="R149" s="1053"/>
      <c r="S149" s="1053"/>
      <c r="T149" s="1053"/>
      <c r="U149" s="1053"/>
      <c r="V149" s="1053"/>
      <c r="W149" s="1053"/>
      <c r="X149" s="1053"/>
      <c r="Y149" s="1053"/>
      <c r="Z149" s="1053"/>
      <c r="AD149" s="296"/>
      <c r="AE149" s="369"/>
      <c r="AF149" s="369"/>
      <c r="AG149" s="296"/>
      <c r="AH149" s="296"/>
      <c r="AI149" s="296"/>
      <c r="AJ149" s="369"/>
      <c r="AK149" s="369"/>
      <c r="AL149" s="296"/>
      <c r="AM149" s="296"/>
      <c r="AN149" s="296"/>
      <c r="AO149" s="296"/>
      <c r="AP149" s="267"/>
      <c r="AQ149" s="267"/>
      <c r="AR149" s="267"/>
      <c r="AS149" s="267"/>
      <c r="AT149" s="267"/>
    </row>
    <row r="150" spans="2:46">
      <c r="B150" s="168">
        <f>+B149-18</f>
        <v>269.49933333333337</v>
      </c>
      <c r="C150" s="240" t="s">
        <v>70</v>
      </c>
      <c r="O150" s="1053">
        <f>+B148</f>
        <v>1232.1400000000001</v>
      </c>
      <c r="P150" s="1053"/>
      <c r="Q150" s="1053" t="s">
        <v>71</v>
      </c>
      <c r="R150" s="1053"/>
      <c r="S150" s="1053"/>
      <c r="T150" s="1053"/>
      <c r="U150" s="1053"/>
      <c r="V150" s="1053"/>
      <c r="W150" s="1053"/>
      <c r="X150" s="1053"/>
      <c r="Y150" s="1053"/>
      <c r="Z150" s="1053"/>
      <c r="AA150" s="7" t="s">
        <v>72</v>
      </c>
      <c r="AD150" s="296"/>
      <c r="AE150" s="369"/>
      <c r="AF150" s="369"/>
      <c r="AG150" s="296"/>
      <c r="AH150" s="296"/>
      <c r="AI150" s="296"/>
      <c r="AJ150" s="369"/>
      <c r="AK150" s="369"/>
      <c r="AL150" s="296"/>
      <c r="AM150" s="296"/>
      <c r="AN150" s="296"/>
      <c r="AO150" s="296"/>
      <c r="AP150" s="267"/>
      <c r="AQ150" s="267"/>
      <c r="AR150" s="267"/>
      <c r="AS150" s="267"/>
      <c r="AT150" s="267"/>
    </row>
    <row r="151" spans="2:46">
      <c r="B151" s="381">
        <f>+B150/7+0</f>
        <v>38.499904761904766</v>
      </c>
      <c r="C151" s="382" t="s">
        <v>73</v>
      </c>
      <c r="D151" s="383"/>
      <c r="O151" s="1053">
        <f>+O150/30*7</f>
        <v>287.49933333333337</v>
      </c>
      <c r="P151" s="1053"/>
      <c r="Q151" s="1053" t="s">
        <v>74</v>
      </c>
      <c r="R151" s="1053"/>
      <c r="S151" s="1053"/>
      <c r="T151" s="1053"/>
      <c r="U151" s="1053"/>
      <c r="V151" s="1053"/>
      <c r="W151" s="1053"/>
      <c r="X151" s="1053"/>
      <c r="Y151" s="1053"/>
      <c r="Z151" s="1053"/>
      <c r="AA151" s="1064">
        <f>+O151*0.87</f>
        <v>250.12442000000001</v>
      </c>
      <c r="AB151" s="1064"/>
      <c r="AD151" s="296"/>
      <c r="AE151" s="384"/>
      <c r="AF151" s="384"/>
      <c r="AG151" s="296"/>
      <c r="AH151" s="296"/>
      <c r="AI151" s="296"/>
      <c r="AJ151" s="384"/>
      <c r="AK151" s="384"/>
      <c r="AL151" s="385"/>
      <c r="AM151" s="385"/>
      <c r="AN151" s="385"/>
      <c r="AO151" s="385"/>
      <c r="AP151" s="386"/>
      <c r="AQ151" s="386"/>
      <c r="AR151" s="267"/>
      <c r="AS151" s="267"/>
      <c r="AT151" s="267"/>
    </row>
    <row r="152" spans="2:46">
      <c r="O152" s="1053">
        <f>+O151/7</f>
        <v>41.071333333333335</v>
      </c>
      <c r="P152" s="1053"/>
      <c r="Q152" s="1053" t="s">
        <v>75</v>
      </c>
      <c r="R152" s="1053"/>
      <c r="S152" s="1053"/>
      <c r="T152" s="1053"/>
      <c r="U152" s="1053"/>
      <c r="V152" s="1053"/>
      <c r="W152" s="1053"/>
      <c r="X152" s="1053"/>
      <c r="Y152" s="1053"/>
      <c r="Z152" s="1053"/>
      <c r="AD152" s="296"/>
      <c r="AE152" s="369"/>
      <c r="AF152" s="369"/>
      <c r="AG152" s="296"/>
      <c r="AH152" s="296"/>
      <c r="AI152" s="296"/>
      <c r="AJ152" s="369"/>
      <c r="AK152" s="369"/>
      <c r="AL152" s="387"/>
      <c r="AM152" s="387"/>
      <c r="AN152" s="385"/>
      <c r="AO152" s="385"/>
      <c r="AP152" s="386"/>
      <c r="AQ152" s="386"/>
      <c r="AR152" s="267"/>
      <c r="AS152" s="267"/>
      <c r="AT152" s="267"/>
    </row>
    <row r="153" spans="2:46" ht="15.75">
      <c r="B153" s="427">
        <f>+B151</f>
        <v>38.499904761904766</v>
      </c>
      <c r="C153" s="389" t="s">
        <v>76</v>
      </c>
      <c r="D153" s="390"/>
      <c r="E153" s="390"/>
      <c r="F153" s="390"/>
      <c r="O153" s="1065">
        <f>(O151-18)/7</f>
        <v>38.499904761904766</v>
      </c>
      <c r="P153" s="1065"/>
      <c r="Q153" s="1065" t="s">
        <v>77</v>
      </c>
      <c r="R153" s="1065"/>
      <c r="S153" s="1065"/>
      <c r="T153" s="1065"/>
      <c r="U153" s="1065"/>
      <c r="V153" s="1065"/>
      <c r="W153" s="1065"/>
      <c r="X153" s="1065"/>
      <c r="Y153" s="1065"/>
      <c r="Z153" s="1065"/>
      <c r="AD153" s="296"/>
      <c r="AE153" s="391"/>
      <c r="AF153" s="391"/>
      <c r="AG153" s="392"/>
      <c r="AH153" s="392"/>
      <c r="AI153" s="392"/>
      <c r="AJ153" s="391"/>
      <c r="AK153" s="391"/>
      <c r="AL153" s="385"/>
      <c r="AM153" s="385"/>
      <c r="AN153" s="385"/>
      <c r="AO153" s="385"/>
      <c r="AP153" s="386"/>
      <c r="AQ153" s="386"/>
      <c r="AR153" s="267"/>
      <c r="AS153" s="267"/>
      <c r="AT153" s="267"/>
    </row>
    <row r="154" spans="2:46">
      <c r="B154" s="168">
        <v>3</v>
      </c>
      <c r="C154" s="240" t="s">
        <v>78</v>
      </c>
      <c r="O154" s="1053">
        <v>3</v>
      </c>
      <c r="P154" s="1053"/>
      <c r="Q154" s="1053" t="s">
        <v>79</v>
      </c>
      <c r="R154" s="1053"/>
      <c r="S154" s="1053"/>
      <c r="T154" s="1053"/>
      <c r="U154" s="1053"/>
      <c r="V154" s="1053"/>
      <c r="W154" s="1053"/>
      <c r="X154" s="1053"/>
      <c r="Y154" s="1053"/>
      <c r="Z154" s="1053"/>
      <c r="AD154" s="296"/>
      <c r="AE154" s="296"/>
      <c r="AF154" s="996">
        <v>993814365</v>
      </c>
      <c r="AG154" s="996"/>
      <c r="AH154" s="996"/>
      <c r="AI154" s="996"/>
      <c r="AJ154" s="996"/>
      <c r="AK154" s="296"/>
      <c r="AL154" s="385"/>
      <c r="AM154" s="385"/>
      <c r="AN154" s="385"/>
      <c r="AO154" s="385"/>
      <c r="AP154" s="386"/>
      <c r="AQ154" s="386"/>
      <c r="AR154" s="267"/>
      <c r="AS154" s="267"/>
      <c r="AT154" s="267"/>
    </row>
    <row r="155" spans="2:46">
      <c r="B155" s="381">
        <f>+B154+B153</f>
        <v>41.499904761904766</v>
      </c>
      <c r="C155" s="382" t="s">
        <v>80</v>
      </c>
      <c r="D155" s="393"/>
      <c r="E155" s="394"/>
      <c r="F155" s="395"/>
      <c r="G155" s="393"/>
      <c r="H155" s="393"/>
      <c r="I155" s="395"/>
      <c r="J155" s="393"/>
      <c r="K155" s="396"/>
      <c r="L155" s="396"/>
      <c r="M155" s="383"/>
      <c r="O155" s="1053">
        <f>+O154+O153</f>
        <v>41.499904761904766</v>
      </c>
      <c r="P155" s="1053"/>
      <c r="AD155" s="296"/>
      <c r="AE155" s="369"/>
      <c r="AF155" s="369"/>
      <c r="AG155" s="296"/>
      <c r="AH155" s="296"/>
      <c r="AI155" s="296"/>
      <c r="AJ155" s="369"/>
      <c r="AK155" s="369"/>
      <c r="AL155" s="387"/>
      <c r="AM155" s="387"/>
      <c r="AN155" s="387"/>
      <c r="AO155" s="387"/>
      <c r="AP155" s="397"/>
      <c r="AQ155" s="267"/>
      <c r="AR155" s="267"/>
      <c r="AS155" s="267"/>
      <c r="AT155" s="267"/>
    </row>
    <row r="156" spans="2:46">
      <c r="B156" s="168"/>
      <c r="AD156" s="296"/>
      <c r="AE156" s="398"/>
      <c r="AF156" s="398"/>
      <c r="AG156" s="398"/>
      <c r="AH156" s="296"/>
      <c r="AI156" s="296"/>
      <c r="AJ156" s="398"/>
      <c r="AK156" s="398"/>
      <c r="AL156" s="385"/>
      <c r="AM156" s="296"/>
      <c r="AN156" s="296"/>
      <c r="AO156" s="296"/>
      <c r="AP156" s="267"/>
      <c r="AQ156" s="267"/>
      <c r="AR156" s="267"/>
      <c r="AS156" s="267"/>
      <c r="AT156" s="267"/>
    </row>
    <row r="157" spans="2:46">
      <c r="B157" s="168">
        <f>+B155*6</f>
        <v>248.99942857142861</v>
      </c>
      <c r="C157" s="240" t="s">
        <v>81</v>
      </c>
      <c r="O157" s="1053" t="s">
        <v>82</v>
      </c>
      <c r="P157" s="1053"/>
      <c r="Q157" s="1053"/>
      <c r="R157" s="1053"/>
      <c r="S157" s="1053"/>
      <c r="T157" s="1053"/>
      <c r="U157" s="1053"/>
      <c r="V157" s="1053"/>
      <c r="W157" s="1053"/>
      <c r="X157" s="1053"/>
      <c r="Y157" s="1053"/>
      <c r="Z157" s="1053"/>
      <c r="AD157" s="296"/>
      <c r="AE157" s="296"/>
      <c r="AF157" s="296"/>
      <c r="AG157" s="296"/>
      <c r="AH157" s="296"/>
      <c r="AI157" s="385"/>
      <c r="AJ157" s="385"/>
      <c r="AK157" s="387"/>
      <c r="AL157" s="373"/>
      <c r="AM157" s="369"/>
      <c r="AN157" s="373"/>
      <c r="AO157" s="296"/>
      <c r="AP157" s="267"/>
      <c r="AQ157" s="267"/>
      <c r="AR157" s="267"/>
      <c r="AS157" s="267"/>
      <c r="AT157" s="267"/>
    </row>
    <row r="158" spans="2:46">
      <c r="B158" s="399">
        <f>+B153</f>
        <v>38.499904761904766</v>
      </c>
      <c r="C158" s="400" t="s">
        <v>83</v>
      </c>
      <c r="D158" s="401"/>
      <c r="E158" s="402"/>
      <c r="F158" s="403"/>
      <c r="G158" s="401"/>
      <c r="H158" s="401"/>
      <c r="I158" s="403"/>
      <c r="J158" s="401"/>
      <c r="K158" s="404"/>
      <c r="L158" s="405"/>
      <c r="O158" s="1053">
        <f>+O150*1.1</f>
        <v>1355.3540000000003</v>
      </c>
      <c r="P158" s="1053"/>
      <c r="Q158" s="1053" t="s">
        <v>71</v>
      </c>
      <c r="R158" s="1053"/>
      <c r="S158" s="1053"/>
      <c r="T158" s="1053"/>
      <c r="U158" s="1053"/>
      <c r="V158" s="1053"/>
      <c r="W158" s="1053"/>
      <c r="X158" s="1053"/>
      <c r="Y158" s="1053"/>
      <c r="Z158" s="1053"/>
      <c r="AA158" s="7" t="s">
        <v>84</v>
      </c>
      <c r="AG158" s="267"/>
      <c r="AH158" s="267"/>
      <c r="AI158" s="386"/>
      <c r="AJ158" s="386"/>
      <c r="AK158" s="386"/>
      <c r="AL158" s="267"/>
      <c r="AM158" s="267"/>
      <c r="AN158" s="267"/>
      <c r="AO158" s="267"/>
    </row>
    <row r="159" spans="2:46">
      <c r="B159" s="381">
        <f>+B158+B157</f>
        <v>287.49933333333337</v>
      </c>
      <c r="C159" s="382" t="s">
        <v>85</v>
      </c>
      <c r="D159" s="393"/>
      <c r="E159" s="394"/>
      <c r="F159" s="395"/>
      <c r="G159" s="393"/>
      <c r="H159" s="393"/>
      <c r="I159" s="395"/>
      <c r="J159" s="393"/>
      <c r="K159" s="406"/>
      <c r="L159" s="405"/>
      <c r="O159" s="1053">
        <f>+O158/30*7</f>
        <v>316.2492666666667</v>
      </c>
      <c r="P159" s="1053"/>
      <c r="Q159" s="1053" t="s">
        <v>74</v>
      </c>
      <c r="R159" s="1053"/>
      <c r="S159" s="1053"/>
      <c r="T159" s="1053"/>
      <c r="U159" s="1053"/>
      <c r="V159" s="1053"/>
      <c r="W159" s="1053"/>
      <c r="X159" s="1053"/>
      <c r="Y159" s="1053"/>
      <c r="Z159" s="1053"/>
      <c r="AA159" s="1064">
        <f>+O159*0.87</f>
        <v>275.13686200000001</v>
      </c>
      <c r="AB159" s="1064"/>
      <c r="AG159" s="267"/>
      <c r="AH159" s="267"/>
      <c r="AI159" s="386"/>
      <c r="AJ159" s="386"/>
      <c r="AK159" s="407"/>
      <c r="AL159" s="267"/>
      <c r="AM159" s="267"/>
      <c r="AN159" s="267"/>
      <c r="AO159" s="267"/>
    </row>
    <row r="160" spans="2:46">
      <c r="B160" s="408"/>
      <c r="C160" s="409"/>
      <c r="D160" s="333"/>
      <c r="E160" s="410"/>
      <c r="F160" s="411"/>
      <c r="G160" s="333"/>
      <c r="H160" s="333"/>
      <c r="I160" s="411"/>
      <c r="J160" s="333"/>
      <c r="K160" s="405"/>
      <c r="L160" s="405"/>
      <c r="O160" s="1053">
        <f>+O159/7</f>
        <v>45.178466666666672</v>
      </c>
      <c r="P160" s="1053"/>
      <c r="Q160" s="1053" t="s">
        <v>75</v>
      </c>
      <c r="R160" s="1053"/>
      <c r="S160" s="1053"/>
      <c r="T160" s="1053"/>
      <c r="U160" s="1053"/>
      <c r="V160" s="1053"/>
      <c r="W160" s="1053"/>
      <c r="X160" s="1053"/>
      <c r="Y160" s="1053"/>
      <c r="Z160" s="1053"/>
      <c r="AG160" s="267"/>
      <c r="AH160" s="267"/>
      <c r="AI160" s="412"/>
      <c r="AJ160" s="413"/>
      <c r="AK160" s="407"/>
      <c r="AL160" s="267"/>
      <c r="AM160" s="267"/>
      <c r="AN160" s="267"/>
      <c r="AO160" s="267"/>
    </row>
    <row r="161" spans="2:46" ht="15.75">
      <c r="B161" s="426">
        <f>+B159/7</f>
        <v>41.071333333333335</v>
      </c>
      <c r="C161" s="415" t="s">
        <v>86</v>
      </c>
      <c r="D161" s="416"/>
      <c r="E161" s="417"/>
      <c r="F161" s="418"/>
      <c r="G161" s="419"/>
      <c r="H161" s="419"/>
      <c r="I161" s="411"/>
      <c r="J161" s="333"/>
      <c r="K161" s="405"/>
      <c r="L161" s="405"/>
      <c r="O161" s="1065">
        <f>(O159-18)/7</f>
        <v>42.607038095238103</v>
      </c>
      <c r="P161" s="1065"/>
      <c r="Q161" s="1065" t="s">
        <v>77</v>
      </c>
      <c r="R161" s="1065"/>
      <c r="S161" s="1065"/>
      <c r="T161" s="1065"/>
      <c r="U161" s="1065"/>
      <c r="V161" s="1065"/>
      <c r="W161" s="1065"/>
      <c r="X161" s="1065"/>
      <c r="Y161" s="1065"/>
      <c r="Z161" s="1065"/>
      <c r="AG161" s="267"/>
      <c r="AH161" s="267"/>
      <c r="AI161" s="267"/>
      <c r="AJ161" s="267"/>
      <c r="AK161" s="407"/>
      <c r="AL161" s="267"/>
      <c r="AM161" s="267"/>
      <c r="AN161" s="267"/>
      <c r="AO161" s="267"/>
    </row>
    <row r="162" spans="2:46">
      <c r="B162" s="408"/>
      <c r="C162" s="409"/>
      <c r="D162" s="333"/>
      <c r="E162" s="410"/>
      <c r="F162" s="411"/>
      <c r="G162" s="333"/>
      <c r="H162" s="333"/>
      <c r="I162" s="411"/>
      <c r="J162" s="333"/>
      <c r="K162" s="405"/>
      <c r="L162" s="405"/>
      <c r="O162" s="1053">
        <v>3</v>
      </c>
      <c r="P162" s="1053"/>
      <c r="Q162" s="1053" t="s">
        <v>79</v>
      </c>
      <c r="R162" s="1053"/>
      <c r="S162" s="1053"/>
      <c r="T162" s="1053"/>
      <c r="U162" s="1053"/>
      <c r="V162" s="1053"/>
      <c r="W162" s="1053"/>
      <c r="X162" s="1053"/>
      <c r="Y162" s="1053"/>
      <c r="Z162" s="1053"/>
      <c r="AG162" s="267"/>
      <c r="AH162" s="267"/>
      <c r="AI162" s="267"/>
      <c r="AJ162" s="267"/>
      <c r="AK162" s="267"/>
      <c r="AL162" s="267"/>
      <c r="AM162" s="267"/>
      <c r="AN162" s="267"/>
      <c r="AO162" s="267"/>
    </row>
    <row r="163" spans="2:46">
      <c r="B163" s="408"/>
      <c r="C163" s="409"/>
      <c r="D163" s="333"/>
      <c r="E163" s="410"/>
      <c r="F163" s="411"/>
      <c r="G163" s="333"/>
      <c r="H163" s="333"/>
      <c r="I163" s="411"/>
      <c r="J163" s="333"/>
      <c r="K163" s="405"/>
      <c r="L163" s="405"/>
      <c r="O163" s="1053">
        <f>+O162+O161</f>
        <v>45.607038095238103</v>
      </c>
      <c r="P163" s="1053"/>
      <c r="AG163" s="267"/>
      <c r="AH163" s="267"/>
      <c r="AI163" s="267"/>
      <c r="AJ163" s="267"/>
      <c r="AK163" s="267"/>
      <c r="AL163" s="267"/>
      <c r="AM163" s="267"/>
      <c r="AN163" s="267"/>
      <c r="AO163" s="267"/>
    </row>
    <row r="164" spans="2:46">
      <c r="B164" s="168"/>
      <c r="AG164" s="267"/>
      <c r="AH164" s="267"/>
      <c r="AI164" s="267"/>
      <c r="AJ164" s="267"/>
      <c r="AK164" s="267"/>
      <c r="AL164" s="267"/>
      <c r="AM164" s="267"/>
      <c r="AN164" s="267"/>
      <c r="AO164" s="267"/>
    </row>
    <row r="165" spans="2:46">
      <c r="AG165" s="267"/>
      <c r="AH165" s="267"/>
      <c r="AI165" s="267"/>
      <c r="AJ165" s="267"/>
      <c r="AK165" s="267"/>
      <c r="AL165" s="267"/>
      <c r="AM165" s="267"/>
      <c r="AN165" s="267"/>
      <c r="AO165" s="267"/>
    </row>
    <row r="166" spans="2:46">
      <c r="AG166" s="267"/>
      <c r="AH166" s="267"/>
      <c r="AI166" s="267"/>
      <c r="AJ166" s="267"/>
      <c r="AK166" s="267"/>
      <c r="AL166" s="267"/>
      <c r="AM166" s="267"/>
      <c r="AN166" s="267"/>
      <c r="AO166" s="267"/>
    </row>
    <row r="167" spans="2:46" ht="26.25" thickBot="1">
      <c r="B167" s="377" t="s">
        <v>90</v>
      </c>
      <c r="H167" s="1052">
        <v>42736</v>
      </c>
      <c r="I167" s="1052"/>
      <c r="J167" s="1052"/>
      <c r="K167" s="1052"/>
      <c r="L167" s="1052"/>
      <c r="M167" s="1052"/>
      <c r="N167" s="1052"/>
      <c r="AG167" s="267"/>
      <c r="AH167" s="267"/>
      <c r="AI167" s="267"/>
      <c r="AJ167" s="267"/>
      <c r="AK167" s="267"/>
      <c r="AL167" s="267"/>
      <c r="AM167" s="267"/>
      <c r="AN167" s="267"/>
      <c r="AO167" s="267"/>
    </row>
    <row r="168" spans="2:46" ht="16.5" thickBot="1">
      <c r="B168" s="379">
        <v>850</v>
      </c>
      <c r="C168" s="240" t="s">
        <v>67</v>
      </c>
      <c r="AD168" s="296"/>
      <c r="AE168" s="296"/>
      <c r="AF168" s="296"/>
      <c r="AG168" s="296"/>
      <c r="AH168" s="296"/>
      <c r="AI168" s="296"/>
      <c r="AJ168" s="296"/>
      <c r="AK168" s="296"/>
      <c r="AL168" s="296"/>
      <c r="AM168" s="296"/>
      <c r="AN168" s="296"/>
      <c r="AO168" s="296"/>
      <c r="AP168" s="267"/>
      <c r="AQ168" s="267"/>
      <c r="AR168" s="267"/>
      <c r="AS168" s="267"/>
      <c r="AT168" s="267"/>
    </row>
    <row r="169" spans="2:46" ht="15.75">
      <c r="B169" s="168">
        <f>+B168/30*7</f>
        <v>198.33333333333331</v>
      </c>
      <c r="C169" s="240" t="s">
        <v>68</v>
      </c>
      <c r="D169" s="380"/>
      <c r="O169" s="1053" t="s">
        <v>69</v>
      </c>
      <c r="P169" s="1053"/>
      <c r="Q169" s="1053"/>
      <c r="R169" s="1053"/>
      <c r="S169" s="1053"/>
      <c r="T169" s="1053"/>
      <c r="U169" s="1053"/>
      <c r="V169" s="1053"/>
      <c r="W169" s="1053"/>
      <c r="X169" s="1053"/>
      <c r="Y169" s="1053"/>
      <c r="Z169" s="1053"/>
      <c r="AD169" s="296"/>
      <c r="AE169" s="369"/>
      <c r="AF169" s="369"/>
      <c r="AG169" s="296"/>
      <c r="AH169" s="296"/>
      <c r="AI169" s="296"/>
      <c r="AJ169" s="369"/>
      <c r="AK169" s="369"/>
      <c r="AL169" s="296"/>
      <c r="AM169" s="296"/>
      <c r="AN169" s="296"/>
      <c r="AO169" s="296"/>
      <c r="AP169" s="267"/>
      <c r="AQ169" s="267"/>
      <c r="AR169" s="267"/>
      <c r="AS169" s="267"/>
      <c r="AT169" s="267"/>
    </row>
    <row r="170" spans="2:46">
      <c r="B170" s="168">
        <f>+B169-18</f>
        <v>180.33333333333331</v>
      </c>
      <c r="C170" s="240" t="s">
        <v>70</v>
      </c>
      <c r="O170" s="1053">
        <f>+B168</f>
        <v>850</v>
      </c>
      <c r="P170" s="1053"/>
      <c r="Q170" s="1053" t="s">
        <v>71</v>
      </c>
      <c r="R170" s="1053"/>
      <c r="S170" s="1053"/>
      <c r="T170" s="1053"/>
      <c r="U170" s="1053"/>
      <c r="V170" s="1053"/>
      <c r="W170" s="1053"/>
      <c r="X170" s="1053"/>
      <c r="Y170" s="1053"/>
      <c r="Z170" s="1053"/>
      <c r="AA170" s="7" t="s">
        <v>72</v>
      </c>
      <c r="AD170" s="428" t="s">
        <v>91</v>
      </c>
      <c r="AE170" s="429"/>
      <c r="AF170" s="429"/>
      <c r="AG170" s="1075">
        <v>233.32</v>
      </c>
      <c r="AH170" s="1075"/>
      <c r="AI170" s="430"/>
      <c r="AJ170" s="1076">
        <f>233.32-AG170</f>
        <v>0</v>
      </c>
      <c r="AK170" s="1076"/>
      <c r="AL170" s="431"/>
      <c r="AM170" s="296"/>
      <c r="AN170" s="296"/>
      <c r="AO170" s="296"/>
      <c r="AP170" s="267"/>
      <c r="AQ170" s="267"/>
      <c r="AR170" s="267"/>
      <c r="AS170" s="267"/>
      <c r="AT170" s="267"/>
    </row>
    <row r="171" spans="2:46">
      <c r="B171" s="381">
        <f>+B170/7</f>
        <v>25.761904761904759</v>
      </c>
      <c r="C171" s="382" t="s">
        <v>73</v>
      </c>
      <c r="D171" s="383"/>
      <c r="O171" s="1053">
        <f>+O170/30*7</f>
        <v>198.33333333333331</v>
      </c>
      <c r="P171" s="1053"/>
      <c r="Q171" s="1053" t="s">
        <v>74</v>
      </c>
      <c r="R171" s="1053"/>
      <c r="S171" s="1053"/>
      <c r="T171" s="1053"/>
      <c r="U171" s="1053"/>
      <c r="V171" s="1053"/>
      <c r="W171" s="1053"/>
      <c r="X171" s="1053"/>
      <c r="Y171" s="1053"/>
      <c r="Z171" s="1053"/>
      <c r="AA171" s="1064">
        <f>+O171*0.87</f>
        <v>172.54999999999998</v>
      </c>
      <c r="AB171" s="1064"/>
      <c r="AD171" s="432" t="s">
        <v>92</v>
      </c>
      <c r="AE171" s="433"/>
      <c r="AF171" s="433"/>
      <c r="AG171" s="1077">
        <f>218.15-19.83</f>
        <v>198.32</v>
      </c>
      <c r="AH171" s="1077"/>
      <c r="AI171" s="434"/>
      <c r="AJ171" s="1078">
        <f>233.32-AG171</f>
        <v>35</v>
      </c>
      <c r="AK171" s="1078"/>
      <c r="AL171" s="435"/>
      <c r="AM171" s="385"/>
      <c r="AN171" s="385"/>
      <c r="AO171" s="385"/>
      <c r="AP171" s="386"/>
      <c r="AQ171" s="386"/>
      <c r="AR171" s="267"/>
      <c r="AS171" s="267"/>
      <c r="AT171" s="267"/>
    </row>
    <row r="172" spans="2:46">
      <c r="O172" s="1053">
        <f>+O171/7</f>
        <v>28.333333333333332</v>
      </c>
      <c r="P172" s="1053"/>
      <c r="Q172" s="1053" t="s">
        <v>75</v>
      </c>
      <c r="R172" s="1053"/>
      <c r="S172" s="1053"/>
      <c r="T172" s="1053"/>
      <c r="U172" s="1053"/>
      <c r="V172" s="1053"/>
      <c r="W172" s="1053"/>
      <c r="X172" s="1053"/>
      <c r="Y172" s="1053"/>
      <c r="Z172" s="1053"/>
      <c r="AD172" s="432" t="s">
        <v>93</v>
      </c>
      <c r="AE172" s="436"/>
      <c r="AF172" s="436"/>
      <c r="AG172" s="1077">
        <f>218.15-19.83</f>
        <v>198.32</v>
      </c>
      <c r="AH172" s="1077"/>
      <c r="AI172" s="434"/>
      <c r="AJ172" s="1078">
        <f>233.32-AG172</f>
        <v>35</v>
      </c>
      <c r="AK172" s="1078"/>
      <c r="AL172" s="437"/>
      <c r="AM172" s="387"/>
      <c r="AN172" s="385"/>
      <c r="AO172" s="385"/>
      <c r="AP172" s="386"/>
      <c r="AQ172" s="386"/>
      <c r="AR172" s="267"/>
      <c r="AS172" s="267"/>
      <c r="AT172" s="267"/>
    </row>
    <row r="173" spans="2:46" ht="15.75">
      <c r="B173" s="427">
        <f>+B171</f>
        <v>25.761904761904759</v>
      </c>
      <c r="C173" s="389" t="s">
        <v>76</v>
      </c>
      <c r="D173" s="390"/>
      <c r="E173" s="390"/>
      <c r="F173" s="390"/>
      <c r="O173" s="1065">
        <f>(O171-18)/7</f>
        <v>25.761904761904759</v>
      </c>
      <c r="P173" s="1065"/>
      <c r="Q173" s="1065" t="s">
        <v>77</v>
      </c>
      <c r="R173" s="1065"/>
      <c r="S173" s="1065"/>
      <c r="T173" s="1065"/>
      <c r="U173" s="1065"/>
      <c r="V173" s="1065"/>
      <c r="W173" s="1065"/>
      <c r="X173" s="1065"/>
      <c r="Y173" s="1065"/>
      <c r="Z173" s="1065"/>
      <c r="AD173" s="432" t="s">
        <v>94</v>
      </c>
      <c r="AE173" s="438"/>
      <c r="AF173" s="438"/>
      <c r="AG173" s="1077">
        <f>228.07-29.75</f>
        <v>198.32</v>
      </c>
      <c r="AH173" s="1077"/>
      <c r="AI173" s="439"/>
      <c r="AJ173" s="1078">
        <f>233.32-AG173</f>
        <v>35</v>
      </c>
      <c r="AK173" s="1078"/>
      <c r="AL173" s="435"/>
      <c r="AM173" s="385"/>
      <c r="AN173" s="385"/>
      <c r="AO173" s="385"/>
      <c r="AP173" s="386"/>
      <c r="AQ173" s="386"/>
      <c r="AR173" s="267"/>
      <c r="AS173" s="267"/>
      <c r="AT173" s="267"/>
    </row>
    <row r="174" spans="2:46">
      <c r="B174" s="168">
        <v>3</v>
      </c>
      <c r="C174" s="240" t="s">
        <v>78</v>
      </c>
      <c r="O174" s="1053">
        <v>3</v>
      </c>
      <c r="P174" s="1053"/>
      <c r="Q174" s="1053" t="s">
        <v>79</v>
      </c>
      <c r="R174" s="1053"/>
      <c r="S174" s="1053"/>
      <c r="T174" s="1053"/>
      <c r="U174" s="1053"/>
      <c r="V174" s="1053"/>
      <c r="W174" s="1053"/>
      <c r="X174" s="1053"/>
      <c r="Y174" s="1053"/>
      <c r="Z174" s="1053"/>
      <c r="AD174" s="432" t="s">
        <v>95</v>
      </c>
      <c r="AE174" s="434"/>
      <c r="AF174" s="438"/>
      <c r="AG174" s="1077">
        <f>208.24-9.92</f>
        <v>198.32000000000002</v>
      </c>
      <c r="AH174" s="1077"/>
      <c r="AI174" s="439"/>
      <c r="AJ174" s="1078">
        <f>233.32-AG174</f>
        <v>34.999999999999972</v>
      </c>
      <c r="AK174" s="1078"/>
      <c r="AL174" s="435"/>
      <c r="AM174" s="385"/>
      <c r="AN174" s="385"/>
      <c r="AO174" s="385"/>
      <c r="AP174" s="386"/>
      <c r="AQ174" s="386"/>
      <c r="AR174" s="267"/>
      <c r="AS174" s="267"/>
      <c r="AT174" s="267"/>
    </row>
    <row r="175" spans="2:46">
      <c r="B175" s="381">
        <f>+B174+B173</f>
        <v>28.761904761904759</v>
      </c>
      <c r="C175" s="382" t="s">
        <v>80</v>
      </c>
      <c r="D175" s="393"/>
      <c r="E175" s="394"/>
      <c r="F175" s="395"/>
      <c r="G175" s="393"/>
      <c r="H175" s="393"/>
      <c r="I175" s="395"/>
      <c r="J175" s="393"/>
      <c r="K175" s="396"/>
      <c r="L175" s="396"/>
      <c r="M175" s="383"/>
      <c r="O175" s="1053">
        <f>+O174+O173</f>
        <v>28.761904761904759</v>
      </c>
      <c r="P175" s="1053"/>
      <c r="AD175" s="440"/>
      <c r="AE175" s="436"/>
      <c r="AF175" s="436"/>
      <c r="AG175" s="441" t="s">
        <v>96</v>
      </c>
      <c r="AH175" s="442"/>
      <c r="AI175" s="434"/>
      <c r="AJ175" s="436"/>
      <c r="AK175" s="1079">
        <f>SUM(AJ170:AK174)</f>
        <v>139.99999999999997</v>
      </c>
      <c r="AL175" s="1080"/>
      <c r="AM175" s="387"/>
      <c r="AN175" s="387"/>
      <c r="AO175" s="387"/>
      <c r="AP175" s="397"/>
      <c r="AQ175" s="267"/>
      <c r="AR175" s="267"/>
      <c r="AS175" s="267"/>
      <c r="AT175" s="267"/>
    </row>
    <row r="176" spans="2:46">
      <c r="B176" s="168"/>
      <c r="AD176" s="443"/>
      <c r="AE176" s="444"/>
      <c r="AF176" s="444"/>
      <c r="AG176" s="445"/>
      <c r="AH176" s="446"/>
      <c r="AI176" s="447" t="s">
        <v>97</v>
      </c>
      <c r="AJ176" s="444"/>
      <c r="AK176" s="444"/>
      <c r="AL176" s="448"/>
      <c r="AM176" s="296"/>
      <c r="AN176" s="296"/>
      <c r="AO176" s="296"/>
      <c r="AP176" s="267"/>
      <c r="AQ176" s="267"/>
      <c r="AR176" s="267"/>
      <c r="AS176" s="267"/>
      <c r="AT176" s="267"/>
    </row>
    <row r="177" spans="2:46">
      <c r="B177" s="168">
        <f>+B175*6</f>
        <v>172.57142857142856</v>
      </c>
      <c r="C177" s="240" t="s">
        <v>81</v>
      </c>
      <c r="O177" s="1053" t="s">
        <v>82</v>
      </c>
      <c r="P177" s="1053"/>
      <c r="Q177" s="1053"/>
      <c r="R177" s="1053"/>
      <c r="S177" s="1053"/>
      <c r="T177" s="1053"/>
      <c r="U177" s="1053"/>
      <c r="V177" s="1053"/>
      <c r="W177" s="1053"/>
      <c r="X177" s="1053"/>
      <c r="Y177" s="1053"/>
      <c r="Z177" s="1053"/>
      <c r="AD177" s="296"/>
      <c r="AE177" s="296"/>
      <c r="AF177" s="296"/>
      <c r="AG177" s="296"/>
      <c r="AH177" s="296"/>
      <c r="AI177" s="385"/>
      <c r="AJ177" s="385"/>
      <c r="AK177" s="387"/>
      <c r="AL177" s="373"/>
      <c r="AM177" s="369"/>
      <c r="AN177" s="373"/>
      <c r="AO177" s="296"/>
      <c r="AP177" s="267"/>
      <c r="AQ177" s="267"/>
      <c r="AR177" s="267"/>
      <c r="AS177" s="267"/>
      <c r="AT177" s="267"/>
    </row>
    <row r="178" spans="2:46">
      <c r="B178" s="399">
        <f>+B173</f>
        <v>25.761904761904759</v>
      </c>
      <c r="C178" s="400" t="s">
        <v>83</v>
      </c>
      <c r="D178" s="401"/>
      <c r="E178" s="402"/>
      <c r="F178" s="403"/>
      <c r="G178" s="401"/>
      <c r="H178" s="401"/>
      <c r="I178" s="403"/>
      <c r="J178" s="401"/>
      <c r="K178" s="404"/>
      <c r="L178" s="405"/>
      <c r="O178" s="1053">
        <f>+O170*1.1</f>
        <v>935.00000000000011</v>
      </c>
      <c r="P178" s="1053"/>
      <c r="Q178" s="1053" t="s">
        <v>71</v>
      </c>
      <c r="R178" s="1053"/>
      <c r="S178" s="1053"/>
      <c r="T178" s="1053"/>
      <c r="U178" s="1053"/>
      <c r="V178" s="1053"/>
      <c r="W178" s="1053"/>
      <c r="X178" s="1053"/>
      <c r="Y178" s="1053"/>
      <c r="Z178" s="1053"/>
      <c r="AA178" s="7" t="s">
        <v>84</v>
      </c>
      <c r="AG178" s="267"/>
      <c r="AH178" s="267"/>
      <c r="AI178" s="386"/>
      <c r="AJ178" s="386"/>
      <c r="AK178" s="386"/>
      <c r="AL178" s="267"/>
      <c r="AM178" s="267"/>
      <c r="AN178" s="267"/>
      <c r="AO178" s="267"/>
    </row>
    <row r="179" spans="2:46">
      <c r="B179" s="381">
        <f>+B178+B177</f>
        <v>198.33333333333331</v>
      </c>
      <c r="C179" s="382" t="s">
        <v>85</v>
      </c>
      <c r="D179" s="393"/>
      <c r="E179" s="394"/>
      <c r="F179" s="395"/>
      <c r="G179" s="393"/>
      <c r="H179" s="393"/>
      <c r="I179" s="395"/>
      <c r="J179" s="393"/>
      <c r="K179" s="406"/>
      <c r="L179" s="405"/>
      <c r="O179" s="1053">
        <f>+O178/30*7</f>
        <v>218.16666666666669</v>
      </c>
      <c r="P179" s="1053"/>
      <c r="Q179" s="1053" t="s">
        <v>74</v>
      </c>
      <c r="R179" s="1053"/>
      <c r="S179" s="1053"/>
      <c r="T179" s="1053"/>
      <c r="U179" s="1053"/>
      <c r="V179" s="1053"/>
      <c r="W179" s="1053"/>
      <c r="X179" s="1053"/>
      <c r="Y179" s="1053"/>
      <c r="Z179" s="1053"/>
      <c r="AA179" s="1064">
        <f>+O179*0.87</f>
        <v>189.80500000000001</v>
      </c>
      <c r="AB179" s="1064"/>
      <c r="AG179" s="267"/>
      <c r="AH179" s="267"/>
      <c r="AI179" s="386"/>
      <c r="AJ179" s="386"/>
      <c r="AK179" s="407"/>
      <c r="AL179" s="267"/>
      <c r="AM179" s="267"/>
      <c r="AN179" s="267"/>
      <c r="AO179" s="267"/>
    </row>
    <row r="180" spans="2:46">
      <c r="B180" s="408"/>
      <c r="C180" s="409"/>
      <c r="D180" s="333"/>
      <c r="E180" s="410"/>
      <c r="F180" s="411"/>
      <c r="G180" s="333"/>
      <c r="H180" s="333"/>
      <c r="I180" s="411"/>
      <c r="J180" s="333"/>
      <c r="K180" s="405"/>
      <c r="L180" s="405"/>
      <c r="O180" s="1053">
        <f>+O179/7</f>
        <v>31.166666666666668</v>
      </c>
      <c r="P180" s="1053"/>
      <c r="Q180" s="1053" t="s">
        <v>75</v>
      </c>
      <c r="R180" s="1053"/>
      <c r="S180" s="1053"/>
      <c r="T180" s="1053"/>
      <c r="U180" s="1053"/>
      <c r="V180" s="1053"/>
      <c r="W180" s="1053"/>
      <c r="X180" s="1053"/>
      <c r="Y180" s="1053"/>
      <c r="Z180" s="1053"/>
      <c r="AG180" s="267"/>
      <c r="AH180" s="267"/>
      <c r="AI180" s="412"/>
      <c r="AJ180" s="413"/>
      <c r="AK180" s="407"/>
      <c r="AL180" s="267"/>
      <c r="AM180" s="267"/>
      <c r="AN180" s="267"/>
      <c r="AO180" s="267"/>
    </row>
    <row r="181" spans="2:46">
      <c r="B181" s="449">
        <f>+B179/7</f>
        <v>28.333333333333332</v>
      </c>
      <c r="C181" s="450" t="s">
        <v>86</v>
      </c>
      <c r="F181" s="411"/>
      <c r="G181" s="333"/>
      <c r="H181" s="333"/>
      <c r="I181" s="411"/>
      <c r="J181" s="333"/>
      <c r="K181" s="405"/>
      <c r="L181" s="405"/>
      <c r="O181" s="1065">
        <f>(O179-18)/7</f>
        <v>28.595238095238098</v>
      </c>
      <c r="P181" s="1065"/>
      <c r="Q181" s="1065" t="s">
        <v>77</v>
      </c>
      <c r="R181" s="1065"/>
      <c r="S181" s="1065"/>
      <c r="T181" s="1065"/>
      <c r="U181" s="1065"/>
      <c r="V181" s="1065"/>
      <c r="W181" s="1065"/>
      <c r="X181" s="1065"/>
      <c r="Y181" s="1065"/>
      <c r="Z181" s="1065"/>
      <c r="AG181" s="267"/>
      <c r="AH181" s="267"/>
      <c r="AI181" s="267"/>
      <c r="AJ181" s="267"/>
      <c r="AK181" s="407"/>
      <c r="AL181" s="267"/>
      <c r="AM181" s="267"/>
      <c r="AN181" s="267"/>
      <c r="AO181" s="267"/>
    </row>
    <row r="182" spans="2:46">
      <c r="B182" s="408"/>
      <c r="C182" s="409"/>
      <c r="D182" s="333"/>
      <c r="E182" s="410"/>
      <c r="F182" s="411"/>
      <c r="G182" s="333"/>
      <c r="H182" s="333"/>
      <c r="I182" s="411"/>
      <c r="J182" s="333"/>
      <c r="K182" s="405"/>
      <c r="L182" s="405"/>
      <c r="O182" s="1053">
        <v>3</v>
      </c>
      <c r="P182" s="1053"/>
      <c r="Q182" s="1053" t="s">
        <v>79</v>
      </c>
      <c r="R182" s="1053"/>
      <c r="S182" s="1053"/>
      <c r="T182" s="1053"/>
      <c r="U182" s="1053"/>
      <c r="V182" s="1053"/>
      <c r="W182" s="1053"/>
      <c r="X182" s="1053"/>
      <c r="Y182" s="1053"/>
      <c r="Z182" s="1053"/>
      <c r="AG182" s="267"/>
      <c r="AH182" s="267"/>
      <c r="AI182" s="267"/>
      <c r="AJ182" s="267"/>
      <c r="AK182" s="267"/>
      <c r="AL182" s="267"/>
      <c r="AM182" s="267"/>
      <c r="AN182" s="267"/>
      <c r="AO182" s="267"/>
    </row>
    <row r="183" spans="2:46">
      <c r="B183" s="408"/>
      <c r="C183" s="409"/>
      <c r="D183" s="333"/>
      <c r="E183" s="410"/>
      <c r="F183" s="411"/>
      <c r="G183" s="333"/>
      <c r="H183" s="333"/>
      <c r="I183" s="411"/>
      <c r="J183" s="333"/>
      <c r="K183" s="405"/>
      <c r="L183" s="405"/>
      <c r="O183" s="1053">
        <f>+O182+O181</f>
        <v>31.595238095238098</v>
      </c>
      <c r="P183" s="1053"/>
      <c r="AG183" s="267"/>
      <c r="AH183" s="267"/>
      <c r="AI183" s="267"/>
      <c r="AJ183" s="267"/>
      <c r="AK183" s="267"/>
      <c r="AL183" s="267"/>
      <c r="AM183" s="267"/>
      <c r="AN183" s="267"/>
      <c r="AO183" s="267"/>
    </row>
    <row r="184" spans="2:46">
      <c r="B184" s="168"/>
      <c r="AG184" s="267"/>
      <c r="AH184" s="267"/>
      <c r="AI184" s="267"/>
      <c r="AJ184" s="267"/>
      <c r="AK184" s="267"/>
      <c r="AL184" s="267"/>
      <c r="AM184" s="267"/>
      <c r="AN184" s="267"/>
      <c r="AO184" s="267"/>
    </row>
    <row r="185" spans="2:46">
      <c r="AG185" s="267"/>
      <c r="AH185" s="267"/>
      <c r="AI185" s="267"/>
      <c r="AJ185" s="267"/>
      <c r="AK185" s="267"/>
      <c r="AL185" s="267"/>
      <c r="AM185" s="267"/>
      <c r="AN185" s="267"/>
      <c r="AO185" s="267"/>
    </row>
    <row r="186" spans="2:46" ht="15.75" thickBot="1">
      <c r="AG186" s="267"/>
      <c r="AH186" s="267"/>
      <c r="AI186" s="267"/>
      <c r="AJ186" s="267"/>
      <c r="AK186" s="267"/>
      <c r="AL186" s="267"/>
      <c r="AM186" s="267"/>
      <c r="AN186" s="267"/>
      <c r="AO186" s="267"/>
    </row>
    <row r="187" spans="2:46" ht="17.25" thickTop="1" thickBot="1">
      <c r="B187" s="451">
        <f>850+80</f>
        <v>930</v>
      </c>
      <c r="C187" s="452" t="s">
        <v>67</v>
      </c>
      <c r="D187" s="453"/>
      <c r="E187" s="454" t="s">
        <v>98</v>
      </c>
      <c r="F187" s="455"/>
      <c r="G187" s="453"/>
      <c r="H187" s="453"/>
      <c r="I187" s="455"/>
      <c r="J187" s="453"/>
      <c r="K187" s="456"/>
      <c r="L187" s="456"/>
      <c r="M187" s="453"/>
      <c r="N187" s="453"/>
      <c r="O187" s="453"/>
      <c r="P187" s="453"/>
      <c r="Q187" s="453"/>
      <c r="R187" s="453"/>
      <c r="S187" s="453"/>
      <c r="T187" s="453"/>
      <c r="U187" s="453"/>
      <c r="V187" s="453"/>
      <c r="W187" s="453"/>
      <c r="X187" s="453"/>
      <c r="Y187" s="453"/>
      <c r="Z187" s="453"/>
      <c r="AA187" s="457"/>
      <c r="AB187" s="457"/>
      <c r="AC187" s="458"/>
      <c r="AD187" s="296"/>
      <c r="AE187" s="296"/>
      <c r="AF187" s="296"/>
      <c r="AG187" s="296"/>
      <c r="AH187" s="296"/>
      <c r="AI187" s="296"/>
      <c r="AJ187" s="296"/>
      <c r="AK187" s="296"/>
      <c r="AL187" s="296"/>
      <c r="AM187" s="296"/>
      <c r="AN187" s="296"/>
      <c r="AO187" s="296"/>
      <c r="AP187" s="267"/>
      <c r="AQ187" s="267"/>
      <c r="AR187" s="267"/>
      <c r="AS187" s="267"/>
      <c r="AT187" s="267"/>
    </row>
    <row r="188" spans="2:46" ht="15.75">
      <c r="B188" s="459">
        <f>+B187/30*7</f>
        <v>217</v>
      </c>
      <c r="C188" s="409" t="s">
        <v>68</v>
      </c>
      <c r="D188" s="460"/>
      <c r="E188" s="410"/>
      <c r="F188" s="411"/>
      <c r="G188" s="333"/>
      <c r="H188" s="333"/>
      <c r="I188" s="411"/>
      <c r="J188" s="333"/>
      <c r="K188" s="405"/>
      <c r="L188" s="405"/>
      <c r="M188" s="333"/>
      <c r="N188" s="333"/>
      <c r="O188" s="1053" t="s">
        <v>69</v>
      </c>
      <c r="P188" s="1053"/>
      <c r="Q188" s="1053"/>
      <c r="R188" s="1053"/>
      <c r="S188" s="1053"/>
      <c r="T188" s="1053"/>
      <c r="U188" s="1053"/>
      <c r="V188" s="1053"/>
      <c r="W188" s="1053"/>
      <c r="X188" s="1053"/>
      <c r="Y188" s="1053"/>
      <c r="Z188" s="1053"/>
      <c r="AA188" s="167"/>
      <c r="AB188" s="167"/>
      <c r="AC188" s="461"/>
      <c r="AD188" s="296"/>
      <c r="AE188" s="369"/>
      <c r="AF188" s="369"/>
      <c r="AG188" s="296"/>
      <c r="AH188" s="296"/>
      <c r="AI188" s="296"/>
      <c r="AJ188" s="369"/>
      <c r="AK188" s="369"/>
      <c r="AL188" s="296"/>
      <c r="AM188" s="296"/>
      <c r="AN188" s="296"/>
      <c r="AO188" s="296"/>
      <c r="AP188" s="267"/>
      <c r="AQ188" s="267"/>
      <c r="AR188" s="267"/>
      <c r="AS188" s="267"/>
      <c r="AT188" s="267"/>
    </row>
    <row r="189" spans="2:46">
      <c r="B189" s="459">
        <f>+B188-18</f>
        <v>199</v>
      </c>
      <c r="C189" s="409" t="s">
        <v>70</v>
      </c>
      <c r="D189" s="333"/>
      <c r="E189" s="410"/>
      <c r="F189" s="411"/>
      <c r="G189" s="333"/>
      <c r="H189" s="333"/>
      <c r="I189" s="411"/>
      <c r="J189" s="333"/>
      <c r="K189" s="405"/>
      <c r="L189" s="405"/>
      <c r="M189" s="333"/>
      <c r="N189" s="333"/>
      <c r="O189" s="1053">
        <f>+B187</f>
        <v>930</v>
      </c>
      <c r="P189" s="1053"/>
      <c r="Q189" s="1053" t="s">
        <v>71</v>
      </c>
      <c r="R189" s="1053"/>
      <c r="S189" s="1053"/>
      <c r="T189" s="1053"/>
      <c r="U189" s="1053"/>
      <c r="V189" s="1053"/>
      <c r="W189" s="1053"/>
      <c r="X189" s="1053"/>
      <c r="Y189" s="1053"/>
      <c r="Z189" s="1053"/>
      <c r="AA189" s="167" t="s">
        <v>72</v>
      </c>
      <c r="AB189" s="167"/>
      <c r="AC189" s="461"/>
      <c r="AD189" s="296"/>
      <c r="AE189" s="369"/>
      <c r="AF189" s="369"/>
      <c r="AG189" s="296"/>
      <c r="AH189" s="296"/>
      <c r="AI189" s="296"/>
      <c r="AJ189" s="369"/>
      <c r="AK189" s="369"/>
      <c r="AL189" s="296"/>
      <c r="AM189" s="296"/>
      <c r="AN189" s="296"/>
      <c r="AO189" s="296"/>
      <c r="AP189" s="267"/>
      <c r="AQ189" s="267"/>
      <c r="AR189" s="267"/>
      <c r="AS189" s="267"/>
      <c r="AT189" s="267"/>
    </row>
    <row r="190" spans="2:46">
      <c r="B190" s="462">
        <f>+B189/7</f>
        <v>28.428571428571427</v>
      </c>
      <c r="C190" s="382" t="s">
        <v>73</v>
      </c>
      <c r="D190" s="383"/>
      <c r="E190" s="410"/>
      <c r="F190" s="411"/>
      <c r="G190" s="333"/>
      <c r="H190" s="333"/>
      <c r="I190" s="411"/>
      <c r="J190" s="333"/>
      <c r="K190" s="405"/>
      <c r="L190" s="405"/>
      <c r="M190" s="333"/>
      <c r="N190" s="333"/>
      <c r="O190" s="1053">
        <f>+O189/30*7</f>
        <v>217</v>
      </c>
      <c r="P190" s="1053"/>
      <c r="Q190" s="1053" t="s">
        <v>74</v>
      </c>
      <c r="R190" s="1053"/>
      <c r="S190" s="1053"/>
      <c r="T190" s="1053"/>
      <c r="U190" s="1053"/>
      <c r="V190" s="1053"/>
      <c r="W190" s="1053"/>
      <c r="X190" s="1053"/>
      <c r="Y190" s="1053"/>
      <c r="Z190" s="1053"/>
      <c r="AA190" s="1064">
        <f>+O190*0.87</f>
        <v>188.79</v>
      </c>
      <c r="AB190" s="1064"/>
      <c r="AC190" s="461"/>
      <c r="AD190" s="296"/>
      <c r="AE190" s="384"/>
      <c r="AF190" s="384"/>
      <c r="AG190" s="296"/>
      <c r="AH190" s="296"/>
      <c r="AI190" s="296"/>
      <c r="AJ190" s="384"/>
      <c r="AK190" s="384"/>
      <c r="AL190" s="385"/>
      <c r="AM190" s="385"/>
      <c r="AN190" s="385"/>
      <c r="AO190" s="385"/>
      <c r="AP190" s="386"/>
      <c r="AQ190" s="386"/>
      <c r="AR190" s="267"/>
      <c r="AS190" s="267"/>
      <c r="AT190" s="267"/>
    </row>
    <row r="191" spans="2:46">
      <c r="B191" s="463"/>
      <c r="C191" s="333"/>
      <c r="D191" s="333"/>
      <c r="E191" s="410"/>
      <c r="F191" s="411"/>
      <c r="G191" s="333"/>
      <c r="H191" s="333"/>
      <c r="I191" s="411"/>
      <c r="J191" s="333"/>
      <c r="K191" s="405"/>
      <c r="L191" s="405"/>
      <c r="M191" s="333"/>
      <c r="N191" s="333"/>
      <c r="O191" s="1053">
        <f>+O190/7</f>
        <v>31</v>
      </c>
      <c r="P191" s="1053"/>
      <c r="Q191" s="1053" t="s">
        <v>75</v>
      </c>
      <c r="R191" s="1053"/>
      <c r="S191" s="1053"/>
      <c r="T191" s="1053"/>
      <c r="U191" s="1053"/>
      <c r="V191" s="1053"/>
      <c r="W191" s="1053"/>
      <c r="X191" s="1053"/>
      <c r="Y191" s="1053"/>
      <c r="Z191" s="1053"/>
      <c r="AA191" s="167"/>
      <c r="AB191" s="167"/>
      <c r="AC191" s="461"/>
      <c r="AD191" s="296"/>
      <c r="AE191" s="369"/>
      <c r="AF191" s="369"/>
      <c r="AG191" s="296"/>
      <c r="AH191" s="296"/>
      <c r="AI191" s="296"/>
      <c r="AJ191" s="369"/>
      <c r="AK191" s="369"/>
      <c r="AL191" s="387"/>
      <c r="AM191" s="387"/>
      <c r="AN191" s="385"/>
      <c r="AO191" s="385"/>
      <c r="AP191" s="386"/>
      <c r="AQ191" s="386"/>
      <c r="AR191" s="267"/>
      <c r="AS191" s="267"/>
      <c r="AT191" s="267"/>
    </row>
    <row r="192" spans="2:46" ht="15.75">
      <c r="B192" s="464">
        <f>+B190</f>
        <v>28.428571428571427</v>
      </c>
      <c r="C192" s="465" t="s">
        <v>76</v>
      </c>
      <c r="D192" s="418"/>
      <c r="E192" s="418"/>
      <c r="F192" s="418"/>
      <c r="G192" s="333"/>
      <c r="H192" s="333"/>
      <c r="I192" s="411"/>
      <c r="J192" s="333"/>
      <c r="K192" s="405"/>
      <c r="L192" s="405"/>
      <c r="M192" s="333"/>
      <c r="N192" s="333"/>
      <c r="O192" s="1065">
        <f>(O190-18)/7</f>
        <v>28.428571428571427</v>
      </c>
      <c r="P192" s="1065"/>
      <c r="Q192" s="1065" t="s">
        <v>77</v>
      </c>
      <c r="R192" s="1065"/>
      <c r="S192" s="1065"/>
      <c r="T192" s="1065"/>
      <c r="U192" s="1065"/>
      <c r="V192" s="1065"/>
      <c r="W192" s="1065"/>
      <c r="X192" s="1065"/>
      <c r="Y192" s="1065"/>
      <c r="Z192" s="1065"/>
      <c r="AA192" s="167"/>
      <c r="AB192" s="167"/>
      <c r="AC192" s="461"/>
      <c r="AD192" s="296"/>
      <c r="AE192" s="391"/>
      <c r="AF192" s="391"/>
      <c r="AG192" s="392"/>
      <c r="AH192" s="392"/>
      <c r="AI192" s="392"/>
      <c r="AJ192" s="391"/>
      <c r="AK192" s="391"/>
      <c r="AL192" s="385"/>
      <c r="AM192" s="385"/>
      <c r="AN192" s="385"/>
      <c r="AO192" s="385"/>
      <c r="AP192" s="386"/>
      <c r="AQ192" s="386"/>
      <c r="AR192" s="267"/>
      <c r="AS192" s="267"/>
      <c r="AT192" s="267"/>
    </row>
    <row r="193" spans="2:50">
      <c r="B193" s="459">
        <v>3</v>
      </c>
      <c r="C193" s="409" t="s">
        <v>78</v>
      </c>
      <c r="D193" s="333"/>
      <c r="E193" s="410"/>
      <c r="F193" s="411"/>
      <c r="G193" s="333"/>
      <c r="H193" s="333"/>
      <c r="I193" s="411"/>
      <c r="J193" s="333"/>
      <c r="K193" s="405"/>
      <c r="L193" s="405"/>
      <c r="M193" s="333"/>
      <c r="N193" s="333"/>
      <c r="O193" s="1053">
        <v>3</v>
      </c>
      <c r="P193" s="1053"/>
      <c r="Q193" s="1053" t="s">
        <v>79</v>
      </c>
      <c r="R193" s="1053"/>
      <c r="S193" s="1053"/>
      <c r="T193" s="1053"/>
      <c r="U193" s="1053"/>
      <c r="V193" s="1053"/>
      <c r="W193" s="1053"/>
      <c r="X193" s="1053"/>
      <c r="Y193" s="1053"/>
      <c r="Z193" s="1053"/>
      <c r="AA193" s="167"/>
      <c r="AB193" s="167"/>
      <c r="AC193" s="461"/>
      <c r="AD193" s="296"/>
      <c r="AE193" s="296"/>
      <c r="AF193" s="391"/>
      <c r="AG193" s="392"/>
      <c r="AH193" s="392"/>
      <c r="AI193" s="392"/>
      <c r="AJ193" s="391"/>
      <c r="AK193" s="391"/>
      <c r="AL193" s="385"/>
      <c r="AM193" s="385"/>
      <c r="AN193" s="385"/>
      <c r="AO193" s="385"/>
      <c r="AP193" s="386"/>
      <c r="AQ193" s="386"/>
      <c r="AR193" s="267"/>
      <c r="AS193" s="267"/>
      <c r="AT193" s="267"/>
    </row>
    <row r="194" spans="2:50">
      <c r="B194" s="462">
        <f>+B193+B192</f>
        <v>31.428571428571427</v>
      </c>
      <c r="C194" s="382" t="s">
        <v>80</v>
      </c>
      <c r="D194" s="393"/>
      <c r="E194" s="394"/>
      <c r="F194" s="395"/>
      <c r="G194" s="393"/>
      <c r="H194" s="393"/>
      <c r="I194" s="395"/>
      <c r="J194" s="393"/>
      <c r="K194" s="396"/>
      <c r="L194" s="396"/>
      <c r="M194" s="383"/>
      <c r="N194" s="333"/>
      <c r="O194" s="1053">
        <f>+O193+O192</f>
        <v>31.428571428571427</v>
      </c>
      <c r="P194" s="105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167"/>
      <c r="AB194" s="167"/>
      <c r="AC194" s="461"/>
      <c r="AD194" s="296"/>
      <c r="AE194" s="369"/>
      <c r="AF194" s="369"/>
      <c r="AG194" s="296"/>
      <c r="AH194" s="296"/>
      <c r="AI194" s="296"/>
      <c r="AJ194" s="369"/>
      <c r="AK194" s="369"/>
      <c r="AL194" s="387"/>
      <c r="AM194" s="387"/>
      <c r="AN194" s="387"/>
      <c r="AO194" s="387"/>
      <c r="AP194" s="397"/>
      <c r="AQ194" s="267"/>
      <c r="AR194" s="267"/>
      <c r="AS194" s="267"/>
      <c r="AT194" s="267"/>
    </row>
    <row r="195" spans="2:50">
      <c r="B195" s="459"/>
      <c r="C195" s="333"/>
      <c r="D195" s="333"/>
      <c r="E195" s="410"/>
      <c r="F195" s="411"/>
      <c r="G195" s="333"/>
      <c r="H195" s="333"/>
      <c r="I195" s="411"/>
      <c r="J195" s="333"/>
      <c r="K195" s="405"/>
      <c r="L195" s="405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167"/>
      <c r="AB195" s="167"/>
      <c r="AC195" s="461"/>
      <c r="AD195" s="296"/>
      <c r="AE195" s="398"/>
      <c r="AF195" s="398"/>
      <c r="AG195" s="398"/>
      <c r="AH195" s="296"/>
      <c r="AI195" s="296"/>
      <c r="AJ195" s="398"/>
      <c r="AK195" s="398"/>
      <c r="AL195" s="385"/>
      <c r="AM195" s="296"/>
      <c r="AN195" s="296"/>
      <c r="AO195" s="296"/>
      <c r="AP195" s="267"/>
      <c r="AQ195" s="267"/>
      <c r="AR195" s="267"/>
      <c r="AS195" s="267"/>
      <c r="AT195" s="267"/>
    </row>
    <row r="196" spans="2:50">
      <c r="B196" s="459">
        <f>+B194*6</f>
        <v>188.57142857142856</v>
      </c>
      <c r="C196" s="409" t="s">
        <v>81</v>
      </c>
      <c r="D196" s="333"/>
      <c r="E196" s="410"/>
      <c r="F196" s="411"/>
      <c r="G196" s="333"/>
      <c r="H196" s="333"/>
      <c r="I196" s="411"/>
      <c r="J196" s="333"/>
      <c r="K196" s="405"/>
      <c r="L196" s="405"/>
      <c r="M196" s="333"/>
      <c r="N196" s="333"/>
      <c r="O196" s="1053" t="s">
        <v>82</v>
      </c>
      <c r="P196" s="1053"/>
      <c r="Q196" s="1053"/>
      <c r="R196" s="1053"/>
      <c r="S196" s="1053"/>
      <c r="T196" s="1053"/>
      <c r="U196" s="1053"/>
      <c r="V196" s="1053"/>
      <c r="W196" s="1053"/>
      <c r="X196" s="1053"/>
      <c r="Y196" s="1053"/>
      <c r="Z196" s="1053"/>
      <c r="AA196" s="167"/>
      <c r="AB196" s="167"/>
      <c r="AC196" s="461"/>
      <c r="AD196" s="296"/>
      <c r="AE196" s="296"/>
      <c r="AF196" s="296"/>
      <c r="AG196" s="296"/>
      <c r="AH196" s="296"/>
      <c r="AI196" s="385"/>
      <c r="AJ196" s="385"/>
      <c r="AK196" s="387"/>
      <c r="AL196" s="373"/>
      <c r="AM196" s="369"/>
      <c r="AN196" s="373"/>
      <c r="AO196" s="296"/>
      <c r="AP196" s="267"/>
      <c r="AQ196" s="267"/>
      <c r="AR196" s="267"/>
      <c r="AS196" s="267"/>
      <c r="AT196" s="267"/>
    </row>
    <row r="197" spans="2:50">
      <c r="B197" s="466">
        <f>+B192</f>
        <v>28.428571428571427</v>
      </c>
      <c r="C197" s="400" t="s">
        <v>83</v>
      </c>
      <c r="D197" s="401"/>
      <c r="E197" s="402"/>
      <c r="F197" s="403"/>
      <c r="G197" s="401"/>
      <c r="H197" s="401"/>
      <c r="I197" s="403"/>
      <c r="J197" s="401"/>
      <c r="K197" s="404"/>
      <c r="L197" s="405"/>
      <c r="M197" s="333"/>
      <c r="N197" s="333"/>
      <c r="O197" s="1053">
        <f>+O189*1.1</f>
        <v>1023.0000000000001</v>
      </c>
      <c r="P197" s="1053"/>
      <c r="Q197" s="1053" t="s">
        <v>71</v>
      </c>
      <c r="R197" s="1053"/>
      <c r="S197" s="1053"/>
      <c r="T197" s="1053"/>
      <c r="U197" s="1053"/>
      <c r="V197" s="1053"/>
      <c r="W197" s="1053"/>
      <c r="X197" s="1053"/>
      <c r="Y197" s="1053"/>
      <c r="Z197" s="1053"/>
      <c r="AA197" s="167" t="s">
        <v>84</v>
      </c>
      <c r="AB197" s="167"/>
      <c r="AC197" s="461"/>
      <c r="AG197" s="267"/>
      <c r="AH197" s="267"/>
      <c r="AI197" s="386"/>
      <c r="AJ197" s="386"/>
      <c r="AK197" s="386"/>
      <c r="AL197" s="267"/>
      <c r="AM197" s="267"/>
      <c r="AN197" s="267"/>
      <c r="AO197" s="267"/>
    </row>
    <row r="198" spans="2:50">
      <c r="B198" s="462">
        <f>+B197+B196</f>
        <v>216.99999999999997</v>
      </c>
      <c r="C198" s="382" t="s">
        <v>85</v>
      </c>
      <c r="D198" s="393"/>
      <c r="E198" s="394"/>
      <c r="F198" s="395"/>
      <c r="G198" s="393"/>
      <c r="H198" s="393"/>
      <c r="I198" s="395"/>
      <c r="J198" s="393"/>
      <c r="K198" s="406"/>
      <c r="L198" s="405"/>
      <c r="M198" s="333"/>
      <c r="N198" s="333"/>
      <c r="O198" s="1053">
        <f>+O197/30*7</f>
        <v>238.70000000000002</v>
      </c>
      <c r="P198" s="1053"/>
      <c r="Q198" s="1053" t="s">
        <v>74</v>
      </c>
      <c r="R198" s="1053"/>
      <c r="S198" s="1053"/>
      <c r="T198" s="1053"/>
      <c r="U198" s="1053"/>
      <c r="V198" s="1053"/>
      <c r="W198" s="1053"/>
      <c r="X198" s="1053"/>
      <c r="Y198" s="1053"/>
      <c r="Z198" s="1053"/>
      <c r="AA198" s="1064">
        <f>+O198*0.87</f>
        <v>207.66900000000001</v>
      </c>
      <c r="AB198" s="1064"/>
      <c r="AC198" s="461"/>
      <c r="AG198" s="267"/>
      <c r="AH198" s="267"/>
      <c r="AI198" s="386"/>
      <c r="AJ198" s="386"/>
      <c r="AK198" s="407"/>
      <c r="AL198" s="267"/>
      <c r="AM198" s="267"/>
      <c r="AN198" s="267"/>
      <c r="AO198" s="267"/>
    </row>
    <row r="199" spans="2:50">
      <c r="B199" s="459"/>
      <c r="C199" s="409"/>
      <c r="D199" s="333"/>
      <c r="E199" s="410"/>
      <c r="F199" s="411"/>
      <c r="G199" s="333"/>
      <c r="H199" s="333"/>
      <c r="I199" s="411"/>
      <c r="J199" s="333"/>
      <c r="K199" s="405"/>
      <c r="L199" s="405"/>
      <c r="M199" s="333"/>
      <c r="N199" s="333"/>
      <c r="O199" s="1053">
        <f>+O198/7</f>
        <v>34.1</v>
      </c>
      <c r="P199" s="1053"/>
      <c r="Q199" s="1053" t="s">
        <v>75</v>
      </c>
      <c r="R199" s="1053"/>
      <c r="S199" s="1053"/>
      <c r="T199" s="1053"/>
      <c r="U199" s="1053"/>
      <c r="V199" s="1053"/>
      <c r="W199" s="1053"/>
      <c r="X199" s="1053"/>
      <c r="Y199" s="1053"/>
      <c r="Z199" s="1053"/>
      <c r="AA199" s="167"/>
      <c r="AB199" s="167"/>
      <c r="AC199" s="461"/>
      <c r="AG199" s="267"/>
      <c r="AH199" s="267"/>
      <c r="AI199" s="412"/>
      <c r="AJ199" s="413"/>
      <c r="AK199" s="407"/>
      <c r="AL199" s="267"/>
      <c r="AM199" s="267"/>
      <c r="AN199" s="267"/>
      <c r="AO199" s="267"/>
    </row>
    <row r="200" spans="2:50">
      <c r="B200" s="467">
        <f>+B198/7</f>
        <v>30.999999999999996</v>
      </c>
      <c r="C200" s="468" t="s">
        <v>86</v>
      </c>
      <c r="D200" s="333"/>
      <c r="E200" s="410"/>
      <c r="F200" s="411"/>
      <c r="G200" s="333"/>
      <c r="H200" s="333"/>
      <c r="I200" s="411"/>
      <c r="J200" s="333"/>
      <c r="K200" s="405"/>
      <c r="L200" s="405"/>
      <c r="M200" s="333"/>
      <c r="N200" s="333"/>
      <c r="O200" s="1065">
        <f>(O198-18)/7</f>
        <v>31.528571428571432</v>
      </c>
      <c r="P200" s="1065"/>
      <c r="Q200" s="1065" t="s">
        <v>77</v>
      </c>
      <c r="R200" s="1065"/>
      <c r="S200" s="1065"/>
      <c r="T200" s="1065"/>
      <c r="U200" s="1065"/>
      <c r="V200" s="1065"/>
      <c r="W200" s="1065"/>
      <c r="X200" s="1065"/>
      <c r="Y200" s="1065"/>
      <c r="Z200" s="1065"/>
      <c r="AA200" s="167"/>
      <c r="AB200" s="167"/>
      <c r="AC200" s="461"/>
      <c r="AG200" s="267"/>
      <c r="AH200" s="267"/>
      <c r="AI200" s="267"/>
      <c r="AJ200" s="267"/>
      <c r="AK200" s="407"/>
      <c r="AL200" s="267"/>
      <c r="AM200" s="267"/>
      <c r="AN200" s="267"/>
      <c r="AO200" s="267"/>
    </row>
    <row r="201" spans="2:50">
      <c r="B201" s="459"/>
      <c r="C201" s="409"/>
      <c r="D201" s="333"/>
      <c r="E201" s="410"/>
      <c r="F201" s="411"/>
      <c r="G201" s="333"/>
      <c r="H201" s="333"/>
      <c r="I201" s="411"/>
      <c r="J201" s="333"/>
      <c r="K201" s="405"/>
      <c r="L201" s="405"/>
      <c r="M201" s="333"/>
      <c r="N201" s="333"/>
      <c r="O201" s="1053">
        <v>3</v>
      </c>
      <c r="P201" s="1053"/>
      <c r="Q201" s="1053" t="s">
        <v>79</v>
      </c>
      <c r="R201" s="1053"/>
      <c r="S201" s="1053"/>
      <c r="T201" s="1053"/>
      <c r="U201" s="1053"/>
      <c r="V201" s="1053"/>
      <c r="W201" s="1053"/>
      <c r="X201" s="1053"/>
      <c r="Y201" s="1053"/>
      <c r="Z201" s="1053"/>
      <c r="AA201" s="167"/>
      <c r="AB201" s="167"/>
      <c r="AC201" s="461"/>
      <c r="AG201" s="267"/>
      <c r="AH201" s="267"/>
      <c r="AI201" s="267"/>
      <c r="AJ201" s="267"/>
      <c r="AK201" s="267"/>
      <c r="AL201" s="267"/>
      <c r="AM201" s="267"/>
      <c r="AN201" s="267"/>
      <c r="AO201" s="267"/>
    </row>
    <row r="202" spans="2:50" ht="15.75" thickBot="1">
      <c r="B202" s="469"/>
      <c r="C202" s="470"/>
      <c r="D202" s="471"/>
      <c r="E202" s="472"/>
      <c r="F202" s="473"/>
      <c r="G202" s="471"/>
      <c r="H202" s="471"/>
      <c r="I202" s="473"/>
      <c r="J202" s="471"/>
      <c r="K202" s="474"/>
      <c r="L202" s="474"/>
      <c r="M202" s="471"/>
      <c r="N202" s="471"/>
      <c r="O202" s="1081">
        <f>+O201+O200</f>
        <v>34.528571428571432</v>
      </c>
      <c r="P202" s="1081"/>
      <c r="Q202" s="471"/>
      <c r="R202" s="471"/>
      <c r="S202" s="471"/>
      <c r="T202" s="471"/>
      <c r="U202" s="471"/>
      <c r="V202" s="471"/>
      <c r="W202" s="471"/>
      <c r="X202" s="471"/>
      <c r="Y202" s="471"/>
      <c r="Z202" s="471"/>
      <c r="AA202" s="475"/>
      <c r="AB202" s="475"/>
      <c r="AC202" s="476"/>
      <c r="AG202" s="267"/>
      <c r="AH202" s="267"/>
      <c r="AI202" s="267"/>
      <c r="AJ202" s="267"/>
      <c r="AK202" s="267"/>
      <c r="AL202" s="267"/>
      <c r="AM202" s="267"/>
      <c r="AN202" s="267"/>
      <c r="AO202" s="267"/>
    </row>
    <row r="203" spans="2:50" ht="15.75" thickTop="1">
      <c r="B203" s="168"/>
      <c r="AG203" s="267"/>
      <c r="AH203" s="267"/>
      <c r="AI203" s="267"/>
      <c r="AJ203" s="267"/>
      <c r="AK203" s="267"/>
      <c r="AL203" s="267"/>
      <c r="AM203" s="267"/>
      <c r="AN203" s="267"/>
      <c r="AO203" s="267"/>
    </row>
    <row r="204" spans="2:50" ht="3" customHeight="1">
      <c r="Q204" s="308"/>
      <c r="R204" s="309"/>
      <c r="S204" s="310"/>
      <c r="T204" s="311"/>
      <c r="AA204" s="3"/>
      <c r="AB204" s="256"/>
      <c r="AC204" s="256"/>
      <c r="AD204" s="256"/>
      <c r="AE204" s="256"/>
      <c r="AF204" s="256"/>
      <c r="AG204" s="256"/>
      <c r="AH204" s="256"/>
      <c r="AI204" s="256"/>
      <c r="AJ204" s="256"/>
      <c r="AK204" s="256"/>
      <c r="AL204" s="256"/>
      <c r="AM204" s="254"/>
      <c r="AN204" s="254"/>
      <c r="AO204" s="254"/>
      <c r="AP204" s="254"/>
      <c r="AQ204" s="253"/>
      <c r="AS204" s="255"/>
      <c r="AT204" s="255"/>
      <c r="AX204" s="257"/>
    </row>
    <row r="205" spans="2:50" ht="14.1" customHeight="1">
      <c r="B205" s="7" t="s">
        <v>29</v>
      </c>
      <c r="C205" s="997" t="s">
        <v>30</v>
      </c>
      <c r="D205" s="997"/>
      <c r="E205" s="997" t="s">
        <v>31</v>
      </c>
      <c r="F205" s="997"/>
      <c r="G205" s="998" t="s">
        <v>32</v>
      </c>
      <c r="H205" s="999"/>
      <c r="I205" s="1004" t="s">
        <v>33</v>
      </c>
      <c r="J205" s="1005"/>
      <c r="K205" s="1006" t="s">
        <v>34</v>
      </c>
      <c r="L205" s="1006"/>
      <c r="M205" s="6"/>
      <c r="N205" s="1007" t="s">
        <v>35</v>
      </c>
      <c r="O205" s="1007"/>
      <c r="P205" s="6"/>
      <c r="Q205" s="1008" t="s">
        <v>36</v>
      </c>
      <c r="R205" s="1009"/>
      <c r="U205" s="1019" t="s">
        <v>37</v>
      </c>
      <c r="V205" s="1022" t="s">
        <v>38</v>
      </c>
      <c r="W205" s="1025" t="s">
        <v>39</v>
      </c>
      <c r="X205" s="983" t="s">
        <v>40</v>
      </c>
      <c r="AA205" s="3"/>
      <c r="AB205" s="256"/>
      <c r="AC205" s="256"/>
      <c r="AD205" s="256"/>
      <c r="AE205" s="256"/>
      <c r="AF205" s="256"/>
      <c r="AG205" s="256"/>
      <c r="AH205" s="256"/>
      <c r="AI205" s="256"/>
      <c r="AJ205" s="256"/>
      <c r="AK205" s="256"/>
      <c r="AL205" s="256"/>
      <c r="AM205" s="254"/>
      <c r="AN205" s="254"/>
      <c r="AO205" s="254"/>
      <c r="AP205" s="254"/>
      <c r="AQ205" s="253"/>
      <c r="AS205" s="255"/>
      <c r="AT205" s="255"/>
      <c r="AX205" s="257"/>
    </row>
    <row r="206" spans="2:50" ht="14.1" customHeight="1">
      <c r="B206" s="7" t="s">
        <v>41</v>
      </c>
      <c r="C206" s="997"/>
      <c r="D206" s="997"/>
      <c r="E206" s="997"/>
      <c r="F206" s="997"/>
      <c r="G206" s="1000"/>
      <c r="H206" s="1001"/>
      <c r="I206" s="1004"/>
      <c r="J206" s="1005"/>
      <c r="K206" s="1006"/>
      <c r="L206" s="1006"/>
      <c r="M206" s="6"/>
      <c r="N206" s="1007"/>
      <c r="O206" s="1007"/>
      <c r="P206" s="6"/>
      <c r="Q206" s="1010"/>
      <c r="R206" s="1011"/>
      <c r="U206" s="1020"/>
      <c r="V206" s="1023"/>
      <c r="W206" s="1026"/>
      <c r="X206" s="984"/>
      <c r="AA206" s="3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254"/>
      <c r="AN206" s="254"/>
      <c r="AO206" s="254"/>
      <c r="AP206" s="254"/>
      <c r="AQ206" s="253"/>
      <c r="AS206" s="255"/>
      <c r="AT206" s="255"/>
      <c r="AX206" s="257"/>
    </row>
    <row r="207" spans="2:50" ht="14.1" customHeight="1">
      <c r="B207" s="7" t="s">
        <v>42</v>
      </c>
      <c r="C207" s="997"/>
      <c r="D207" s="997"/>
      <c r="E207" s="997"/>
      <c r="F207" s="997"/>
      <c r="G207" s="1000"/>
      <c r="H207" s="1001"/>
      <c r="I207" s="1004"/>
      <c r="J207" s="1005"/>
      <c r="K207" s="1006"/>
      <c r="L207" s="1006"/>
      <c r="M207" s="6"/>
      <c r="N207" s="1007"/>
      <c r="O207" s="1007"/>
      <c r="P207" s="6"/>
      <c r="Q207" s="1012"/>
      <c r="R207" s="1013"/>
      <c r="U207" s="1020"/>
      <c r="V207" s="1023"/>
      <c r="W207" s="1026"/>
      <c r="X207" s="984"/>
      <c r="AA207" s="3"/>
      <c r="AB207" s="256"/>
      <c r="AC207" s="256"/>
      <c r="AD207" s="256"/>
      <c r="AE207" s="256"/>
      <c r="AF207" s="256"/>
      <c r="AG207" s="256"/>
      <c r="AH207" s="256"/>
      <c r="AI207" s="256"/>
      <c r="AJ207" s="256"/>
      <c r="AK207" s="256"/>
      <c r="AL207" s="256"/>
      <c r="AM207" s="254"/>
      <c r="AN207" s="254"/>
      <c r="AO207" s="254"/>
      <c r="AP207" s="254"/>
      <c r="AQ207" s="253"/>
      <c r="AS207" s="255"/>
      <c r="AT207" s="255"/>
      <c r="AV207" s="254"/>
      <c r="AX207" s="257"/>
    </row>
    <row r="208" spans="2:50" ht="26.25">
      <c r="B208" s="325" t="s">
        <v>44</v>
      </c>
      <c r="C208" s="986">
        <f>+E208*7</f>
        <v>198.33333333333331</v>
      </c>
      <c r="D208" s="986"/>
      <c r="E208" s="987">
        <f>+K208/30</f>
        <v>28.333333333333332</v>
      </c>
      <c r="F208" s="987"/>
      <c r="G208" s="1000"/>
      <c r="H208" s="1001"/>
      <c r="I208" s="988">
        <f>+E208/8</f>
        <v>3.5416666666666665</v>
      </c>
      <c r="J208" s="989"/>
      <c r="K208" s="990">
        <v>850</v>
      </c>
      <c r="L208" s="990"/>
      <c r="M208" s="326"/>
      <c r="N208" s="991">
        <f>+I208/6*7</f>
        <v>4.1319444444444446</v>
      </c>
      <c r="O208" s="992"/>
      <c r="P208" s="326"/>
      <c r="Q208" s="993">
        <f>+$I$71-I208</f>
        <v>1.6895833333333337</v>
      </c>
      <c r="R208" s="993"/>
      <c r="U208" s="1020"/>
      <c r="V208" s="1023"/>
      <c r="W208" s="1026"/>
      <c r="X208" s="984"/>
      <c r="AA208" s="3"/>
      <c r="AB208" s="3"/>
      <c r="AC208" s="3"/>
      <c r="AD208" s="3"/>
    </row>
    <row r="209" spans="1:46" ht="24.75">
      <c r="B209" s="332" t="s">
        <v>46</v>
      </c>
      <c r="C209" s="1014">
        <f>+E209*7</f>
        <v>267.75</v>
      </c>
      <c r="D209" s="1014"/>
      <c r="E209" s="1015">
        <f>+K209/30</f>
        <v>38.25</v>
      </c>
      <c r="F209" s="1015"/>
      <c r="G209" s="1002"/>
      <c r="H209" s="1003"/>
      <c r="I209" s="1016">
        <f>+E209/8</f>
        <v>4.78125</v>
      </c>
      <c r="J209" s="1017"/>
      <c r="K209" s="1018">
        <f>+K208*1.35</f>
        <v>1147.5</v>
      </c>
      <c r="L209" s="1018"/>
      <c r="M209" s="326"/>
      <c r="N209" s="991">
        <f>+I209/6*7</f>
        <v>5.578125</v>
      </c>
      <c r="O209" s="992"/>
      <c r="P209" s="326"/>
      <c r="Q209" s="993">
        <f>+$I$71-I209</f>
        <v>0.45000000000000018</v>
      </c>
      <c r="R209" s="993"/>
      <c r="U209" s="1020"/>
      <c r="V209" s="1023"/>
      <c r="W209" s="1026"/>
      <c r="X209" s="984"/>
      <c r="Z209" s="477"/>
      <c r="AA209" s="368"/>
      <c r="AB209" s="368"/>
      <c r="AC209" s="368"/>
      <c r="AD209" s="368"/>
      <c r="AE209" s="296"/>
      <c r="AF209" s="296"/>
      <c r="AG209" s="478"/>
      <c r="AH209" s="296"/>
      <c r="AI209" s="296"/>
      <c r="AJ209" s="296"/>
      <c r="AK209" s="296"/>
      <c r="AL209" s="296"/>
      <c r="AM209" s="296"/>
      <c r="AN209" s="296"/>
      <c r="AO209" s="296"/>
      <c r="AP209" s="296"/>
      <c r="AQ209" s="296"/>
      <c r="AR209" s="296"/>
      <c r="AS209" s="296"/>
      <c r="AT209" s="296"/>
    </row>
    <row r="210" spans="1:46" ht="2.1" customHeight="1">
      <c r="B210" s="334"/>
      <c r="C210" s="258"/>
      <c r="D210" s="258"/>
      <c r="G210" s="335"/>
      <c r="H210" s="335"/>
      <c r="I210" s="336"/>
      <c r="J210" s="336"/>
      <c r="K210" s="337"/>
      <c r="L210" s="337"/>
      <c r="M210" s="6"/>
      <c r="N210" s="338"/>
      <c r="O210" s="338"/>
      <c r="P210" s="6"/>
      <c r="Q210" s="339"/>
      <c r="R210" s="339"/>
      <c r="U210" s="1021"/>
      <c r="V210" s="1024"/>
      <c r="W210" s="1027"/>
      <c r="X210" s="985"/>
      <c r="Z210" s="477"/>
      <c r="AA210" s="368"/>
      <c r="AB210" s="368"/>
      <c r="AC210" s="368"/>
      <c r="AD210" s="368"/>
      <c r="AE210" s="296"/>
      <c r="AF210" s="296"/>
      <c r="AG210" s="478"/>
      <c r="AH210" s="296"/>
      <c r="AI210" s="296"/>
      <c r="AJ210" s="296"/>
      <c r="AK210" s="296"/>
      <c r="AL210" s="296"/>
      <c r="AM210" s="296"/>
      <c r="AN210" s="296"/>
      <c r="AO210" s="296"/>
      <c r="AP210" s="296"/>
      <c r="AQ210" s="296"/>
      <c r="AR210" s="296"/>
      <c r="AS210" s="296"/>
      <c r="AT210" s="296"/>
    </row>
    <row r="211" spans="1:46" ht="16.5">
      <c r="A211" s="1">
        <v>1</v>
      </c>
      <c r="B211" s="340" t="s">
        <v>47</v>
      </c>
      <c r="C211" s="1040">
        <f>6*3+7*33.8</f>
        <v>254.59999999999997</v>
      </c>
      <c r="D211" s="1041"/>
      <c r="E211" s="1030">
        <f t="shared" ref="E211:E218" si="73">+C211/7</f>
        <v>36.371428571428567</v>
      </c>
      <c r="F211" s="1031"/>
      <c r="G211" s="341"/>
      <c r="H211" s="341"/>
      <c r="I211" s="1032">
        <f t="shared" ref="I211:I218" si="74">+E211/8</f>
        <v>4.5464285714285708</v>
      </c>
      <c r="J211" s="1033"/>
      <c r="K211" s="1034">
        <f t="shared" ref="K211:K221" si="75">+E211*30</f>
        <v>1091.1428571428569</v>
      </c>
      <c r="L211" s="1034"/>
      <c r="M211" s="6"/>
      <c r="N211" s="1035">
        <f t="shared" ref="N211:N225" si="76">+I211/6*7</f>
        <v>5.3041666666666654</v>
      </c>
      <c r="O211" s="1035"/>
      <c r="P211" s="6"/>
      <c r="Q211" s="1036">
        <f t="shared" ref="Q211:Q225" si="77">+$I$71-I211</f>
        <v>0.68482142857142936</v>
      </c>
      <c r="R211" s="1037"/>
      <c r="U211" s="342">
        <f t="shared" ref="U211:U217" si="78">+AE172+U172+K172+AO151+AE151+U151+K151</f>
        <v>0</v>
      </c>
      <c r="V211" s="343">
        <v>48</v>
      </c>
      <c r="W211" s="344">
        <f t="shared" ref="W211:W225" si="79">+V211-U211</f>
        <v>48</v>
      </c>
      <c r="X211" s="345" t="e">
        <f t="shared" ref="X211:X217" si="80">+J151+T151+AD151+J172+T172+AD172</f>
        <v>#VALUE!</v>
      </c>
      <c r="Z211" s="477"/>
      <c r="AA211" s="368"/>
      <c r="AB211" s="368"/>
      <c r="AC211" s="368"/>
      <c r="AD211" s="368"/>
      <c r="AE211" s="296"/>
      <c r="AF211" s="296"/>
      <c r="AG211" s="478"/>
      <c r="AH211" s="296"/>
      <c r="AI211" s="296"/>
      <c r="AJ211" s="296"/>
      <c r="AK211" s="296"/>
      <c r="AL211" s="296"/>
      <c r="AM211" s="296"/>
      <c r="AN211" s="296"/>
      <c r="AO211" s="296"/>
      <c r="AP211" s="296"/>
      <c r="AQ211" s="296"/>
      <c r="AR211" s="296"/>
      <c r="AS211" s="296"/>
      <c r="AT211" s="296"/>
    </row>
    <row r="212" spans="1:46" ht="16.5">
      <c r="A212" s="1">
        <v>2</v>
      </c>
      <c r="B212" s="340" t="s">
        <v>48</v>
      </c>
      <c r="C212" s="1040">
        <f>6*3+7*38.5</f>
        <v>287.5</v>
      </c>
      <c r="D212" s="1041"/>
      <c r="E212" s="1030">
        <f t="shared" si="73"/>
        <v>41.071428571428569</v>
      </c>
      <c r="F212" s="1031"/>
      <c r="G212" s="341"/>
      <c r="H212" s="341"/>
      <c r="I212" s="1032">
        <f t="shared" si="74"/>
        <v>5.1339285714285712</v>
      </c>
      <c r="J212" s="1033"/>
      <c r="K212" s="1034">
        <f t="shared" si="75"/>
        <v>1232.1428571428571</v>
      </c>
      <c r="L212" s="1034"/>
      <c r="M212" s="6"/>
      <c r="N212" s="1035">
        <f t="shared" si="76"/>
        <v>5.989583333333333</v>
      </c>
      <c r="O212" s="1035"/>
      <c r="P212" s="6"/>
      <c r="Q212" s="1036">
        <f t="shared" si="77"/>
        <v>9.7321428571429003E-2</v>
      </c>
      <c r="R212" s="1037"/>
      <c r="U212" s="342">
        <f t="shared" si="78"/>
        <v>0</v>
      </c>
      <c r="V212" s="343">
        <v>48</v>
      </c>
      <c r="W212" s="344">
        <f t="shared" si="79"/>
        <v>48</v>
      </c>
      <c r="X212" s="345" t="e">
        <f t="shared" si="80"/>
        <v>#VALUE!</v>
      </c>
      <c r="Z212" s="477"/>
      <c r="AA212" s="368"/>
      <c r="AB212" s="368"/>
      <c r="AC212" s="368"/>
      <c r="AD212" s="368"/>
      <c r="AE212" s="296"/>
      <c r="AF212" s="296"/>
      <c r="AG212" s="478"/>
      <c r="AH212" s="296"/>
      <c r="AI212" s="296"/>
      <c r="AJ212" s="296"/>
      <c r="AK212" s="296"/>
      <c r="AL212" s="296"/>
      <c r="AM212" s="296"/>
      <c r="AN212" s="296"/>
      <c r="AO212" s="296"/>
      <c r="AP212" s="296"/>
      <c r="AQ212" s="296"/>
      <c r="AR212" s="296"/>
      <c r="AS212" s="296"/>
      <c r="AT212" s="296"/>
    </row>
    <row r="213" spans="1:46" ht="16.5">
      <c r="A213" s="1">
        <v>2</v>
      </c>
      <c r="B213" s="340" t="s">
        <v>61</v>
      </c>
      <c r="C213" s="1040">
        <f>6*3+7*38.5</f>
        <v>287.5</v>
      </c>
      <c r="D213" s="1041"/>
      <c r="E213" s="1030">
        <f t="shared" si="73"/>
        <v>41.071428571428569</v>
      </c>
      <c r="F213" s="1031"/>
      <c r="G213" s="341"/>
      <c r="H213" s="341"/>
      <c r="I213" s="1032">
        <f t="shared" si="74"/>
        <v>5.1339285714285712</v>
      </c>
      <c r="J213" s="1033"/>
      <c r="K213" s="1034">
        <f t="shared" si="75"/>
        <v>1232.1428571428571</v>
      </c>
      <c r="L213" s="1034"/>
      <c r="M213" s="6"/>
      <c r="N213" s="1035">
        <f t="shared" si="76"/>
        <v>5.989583333333333</v>
      </c>
      <c r="O213" s="1035"/>
      <c r="P213" s="6"/>
      <c r="Q213" s="1036">
        <f t="shared" si="77"/>
        <v>9.7321428571429003E-2</v>
      </c>
      <c r="R213" s="1037"/>
      <c r="U213" s="342">
        <f t="shared" si="78"/>
        <v>0</v>
      </c>
      <c r="V213" s="343">
        <v>48</v>
      </c>
      <c r="W213" s="344">
        <f t="shared" si="79"/>
        <v>48</v>
      </c>
      <c r="X213" s="345" t="e">
        <f t="shared" si="80"/>
        <v>#VALUE!</v>
      </c>
      <c r="Z213" s="477"/>
      <c r="AA213" s="368"/>
      <c r="AB213" s="368"/>
      <c r="AC213" s="368"/>
      <c r="AD213" s="368"/>
      <c r="AE213" s="296"/>
      <c r="AF213" s="296"/>
      <c r="AG213" s="478"/>
      <c r="AH213" s="296"/>
      <c r="AI213" s="296"/>
      <c r="AJ213" s="296"/>
      <c r="AK213" s="296"/>
      <c r="AL213" s="296"/>
      <c r="AM213" s="296"/>
      <c r="AN213" s="296"/>
      <c r="AO213" s="296"/>
      <c r="AP213" s="296"/>
      <c r="AQ213" s="296"/>
      <c r="AR213" s="296"/>
      <c r="AS213" s="296"/>
      <c r="AT213" s="296"/>
    </row>
    <row r="214" spans="1:46" ht="16.5">
      <c r="A214" s="1">
        <v>4</v>
      </c>
      <c r="B214" s="359" t="s">
        <v>50</v>
      </c>
      <c r="C214" s="1028">
        <f>6*3+7*30.762</f>
        <v>233.334</v>
      </c>
      <c r="D214" s="1029"/>
      <c r="E214" s="1030">
        <f t="shared" si="73"/>
        <v>33.33342857142857</v>
      </c>
      <c r="F214" s="1031"/>
      <c r="G214" s="341"/>
      <c r="H214" s="341"/>
      <c r="I214" s="1032">
        <f t="shared" si="74"/>
        <v>4.1666785714285712</v>
      </c>
      <c r="J214" s="1033"/>
      <c r="K214" s="1034">
        <f t="shared" si="75"/>
        <v>1000.0028571428571</v>
      </c>
      <c r="L214" s="1034"/>
      <c r="M214" s="6"/>
      <c r="N214" s="1035">
        <f t="shared" si="76"/>
        <v>4.8611250000000004</v>
      </c>
      <c r="O214" s="1035"/>
      <c r="P214" s="6"/>
      <c r="Q214" s="1036">
        <f t="shared" si="77"/>
        <v>1.0645714285714289</v>
      </c>
      <c r="R214" s="1037"/>
      <c r="S214" s="1082">
        <f>20*30/180*117</f>
        <v>390</v>
      </c>
      <c r="T214" s="1083"/>
      <c r="U214" s="342">
        <f t="shared" si="78"/>
        <v>0</v>
      </c>
      <c r="V214" s="343">
        <v>48</v>
      </c>
      <c r="W214" s="344">
        <f t="shared" si="79"/>
        <v>48</v>
      </c>
      <c r="X214" s="345">
        <f t="shared" si="80"/>
        <v>0</v>
      </c>
      <c r="Z214" s="1084" t="s">
        <v>99</v>
      </c>
      <c r="AA214" s="1084"/>
      <c r="AB214" s="1084"/>
      <c r="AC214" s="1084"/>
      <c r="AD214" s="477" t="s">
        <v>100</v>
      </c>
      <c r="AE214" s="368"/>
      <c r="AF214" s="296"/>
      <c r="AG214" s="369"/>
      <c r="AH214" s="369"/>
      <c r="AI214" s="296"/>
      <c r="AJ214" s="296"/>
      <c r="AK214" s="373"/>
      <c r="AL214" s="373"/>
      <c r="AM214" s="373"/>
      <c r="AN214" s="373"/>
      <c r="AO214" s="373"/>
      <c r="AP214" s="373"/>
      <c r="AQ214" s="373"/>
      <c r="AR214" s="373"/>
      <c r="AS214" s="296"/>
      <c r="AT214" s="296"/>
    </row>
    <row r="215" spans="1:46" ht="16.5">
      <c r="A215" s="1">
        <v>5</v>
      </c>
      <c r="B215" s="340" t="s">
        <v>52</v>
      </c>
      <c r="C215" s="1028">
        <f>6*3+7*38.5</f>
        <v>287.5</v>
      </c>
      <c r="D215" s="1029"/>
      <c r="E215" s="1030">
        <f t="shared" si="73"/>
        <v>41.071428571428569</v>
      </c>
      <c r="F215" s="1031"/>
      <c r="G215" s="341"/>
      <c r="H215" s="341"/>
      <c r="I215" s="1032">
        <f t="shared" si="74"/>
        <v>5.1339285714285712</v>
      </c>
      <c r="J215" s="1033"/>
      <c r="K215" s="1034">
        <f t="shared" si="75"/>
        <v>1232.1428571428571</v>
      </c>
      <c r="L215" s="1034"/>
      <c r="M215" s="6"/>
      <c r="N215" s="1035">
        <f t="shared" si="76"/>
        <v>5.989583333333333</v>
      </c>
      <c r="O215" s="1035"/>
      <c r="P215" s="6"/>
      <c r="Q215" s="1036">
        <f t="shared" si="77"/>
        <v>9.7321428571429003E-2</v>
      </c>
      <c r="R215" s="1037"/>
      <c r="U215" s="342">
        <f t="shared" si="78"/>
        <v>0</v>
      </c>
      <c r="V215" s="343">
        <v>48</v>
      </c>
      <c r="W215" s="344">
        <f t="shared" si="79"/>
        <v>48</v>
      </c>
      <c r="X215" s="345">
        <f t="shared" si="80"/>
        <v>0</v>
      </c>
      <c r="Z215" s="368"/>
      <c r="AA215" s="368"/>
      <c r="AB215" s="368"/>
      <c r="AC215" s="368"/>
      <c r="AD215" s="368"/>
      <c r="AE215" s="296"/>
      <c r="AF215" s="296"/>
      <c r="AG215" s="479"/>
      <c r="AH215" s="479"/>
      <c r="AI215" s="369"/>
      <c r="AJ215" s="369"/>
      <c r="AK215" s="369"/>
      <c r="AL215" s="369"/>
      <c r="AM215" s="369"/>
      <c r="AN215" s="369"/>
      <c r="AO215" s="369"/>
      <c r="AP215" s="369"/>
      <c r="AQ215" s="369"/>
      <c r="AR215" s="369"/>
      <c r="AS215" s="296"/>
      <c r="AT215" s="296"/>
    </row>
    <row r="216" spans="1:46" ht="16.5">
      <c r="A216" s="1">
        <v>7</v>
      </c>
      <c r="B216" s="365" t="s">
        <v>53</v>
      </c>
      <c r="C216" s="1042">
        <f>6*3+7*(38.5)</f>
        <v>287.5</v>
      </c>
      <c r="D216" s="1043"/>
      <c r="E216" s="1030">
        <f t="shared" si="73"/>
        <v>41.071428571428569</v>
      </c>
      <c r="F216" s="1031"/>
      <c r="G216" s="1046"/>
      <c r="H216" s="1047"/>
      <c r="I216" s="1032">
        <f t="shared" si="74"/>
        <v>5.1339285714285712</v>
      </c>
      <c r="J216" s="1033"/>
      <c r="K216" s="1034">
        <f t="shared" si="75"/>
        <v>1232.1428571428571</v>
      </c>
      <c r="L216" s="1034"/>
      <c r="M216" s="6"/>
      <c r="N216" s="1035">
        <f t="shared" si="76"/>
        <v>5.989583333333333</v>
      </c>
      <c r="O216" s="1035"/>
      <c r="P216" s="6"/>
      <c r="Q216" s="1036">
        <f t="shared" si="77"/>
        <v>9.7321428571429003E-2</v>
      </c>
      <c r="R216" s="1037"/>
      <c r="U216" s="342">
        <f t="shared" si="78"/>
        <v>0</v>
      </c>
      <c r="V216" s="343">
        <v>48</v>
      </c>
      <c r="W216" s="344">
        <f t="shared" si="79"/>
        <v>48</v>
      </c>
      <c r="X216" s="345">
        <f t="shared" si="80"/>
        <v>0</v>
      </c>
      <c r="Z216" s="372"/>
      <c r="AA216" s="372"/>
      <c r="AB216" s="1085" t="s">
        <v>101</v>
      </c>
      <c r="AC216" s="1086"/>
      <c r="AD216" s="1086"/>
      <c r="AE216" s="1086"/>
      <c r="AF216" s="1086"/>
      <c r="AG216" s="1086"/>
      <c r="AH216" s="1086"/>
      <c r="AI216" s="1086"/>
      <c r="AJ216" s="1086"/>
      <c r="AK216" s="1086"/>
      <c r="AL216" s="370"/>
      <c r="AM216" s="369"/>
      <c r="AN216" s="369"/>
      <c r="AO216" s="369"/>
      <c r="AP216" s="369"/>
      <c r="AQ216" s="369"/>
      <c r="AR216" s="369"/>
      <c r="AS216" s="296"/>
      <c r="AT216" s="296"/>
    </row>
    <row r="217" spans="1:46" s="371" customFormat="1" ht="16.5">
      <c r="A217" s="366">
        <v>6</v>
      </c>
      <c r="B217" s="365" t="s">
        <v>102</v>
      </c>
      <c r="C217" s="1042">
        <f>6*3+7*(27)</f>
        <v>207</v>
      </c>
      <c r="D217" s="1043"/>
      <c r="E217" s="1030">
        <f t="shared" si="73"/>
        <v>29.571428571428573</v>
      </c>
      <c r="F217" s="1031"/>
      <c r="G217" s="1087"/>
      <c r="H217" s="1088"/>
      <c r="I217" s="1032">
        <f t="shared" si="74"/>
        <v>3.6964285714285716</v>
      </c>
      <c r="J217" s="1033"/>
      <c r="K217" s="1034">
        <f t="shared" si="75"/>
        <v>887.14285714285722</v>
      </c>
      <c r="L217" s="1034"/>
      <c r="M217" s="6"/>
      <c r="N217" s="1035">
        <f t="shared" si="76"/>
        <v>4.3125</v>
      </c>
      <c r="O217" s="1035"/>
      <c r="P217" s="6"/>
      <c r="Q217" s="1036">
        <f t="shared" si="77"/>
        <v>1.5348214285714286</v>
      </c>
      <c r="R217" s="1037"/>
      <c r="S217" s="1082">
        <f>20*30/180*117</f>
        <v>390</v>
      </c>
      <c r="T217" s="1083"/>
      <c r="U217" s="342">
        <f t="shared" si="78"/>
        <v>0</v>
      </c>
      <c r="V217" s="343">
        <v>48</v>
      </c>
      <c r="W217" s="344">
        <f t="shared" si="79"/>
        <v>48</v>
      </c>
      <c r="X217" s="345">
        <f t="shared" si="80"/>
        <v>0</v>
      </c>
      <c r="Y217" s="367"/>
      <c r="Z217" s="368"/>
      <c r="AA217" s="368"/>
      <c r="AB217" s="368"/>
      <c r="AC217" s="368"/>
      <c r="AD217" s="368"/>
      <c r="AE217" s="296"/>
      <c r="AF217" s="296"/>
      <c r="AG217" s="369"/>
      <c r="AH217" s="369"/>
      <c r="AI217" s="370"/>
      <c r="AJ217" s="370"/>
      <c r="AK217" s="370"/>
      <c r="AL217" s="370"/>
      <c r="AM217" s="369"/>
      <c r="AN217" s="369"/>
      <c r="AO217" s="369"/>
      <c r="AP217" s="369"/>
      <c r="AQ217" s="369"/>
      <c r="AR217" s="369"/>
      <c r="AS217" s="296"/>
      <c r="AT217" s="296"/>
    </row>
    <row r="218" spans="1:46" s="371" customFormat="1" ht="16.5">
      <c r="A218" s="1">
        <v>8</v>
      </c>
      <c r="B218" s="365" t="s">
        <v>87</v>
      </c>
      <c r="C218" s="1042">
        <f>6*3+7*(25.7619)</f>
        <v>198.33330000000001</v>
      </c>
      <c r="D218" s="1043"/>
      <c r="E218" s="1030">
        <f t="shared" si="73"/>
        <v>28.333328571428574</v>
      </c>
      <c r="F218" s="1031"/>
      <c r="G218" s="1044">
        <v>25.761900000000001</v>
      </c>
      <c r="H218" s="1045"/>
      <c r="I218" s="1032">
        <f t="shared" si="74"/>
        <v>3.5416660714285717</v>
      </c>
      <c r="J218" s="1033"/>
      <c r="K218" s="1034">
        <f t="shared" si="75"/>
        <v>849.99985714285719</v>
      </c>
      <c r="L218" s="1034"/>
      <c r="M218" s="6"/>
      <c r="N218" s="1035">
        <f t="shared" si="76"/>
        <v>4.1319437500000005</v>
      </c>
      <c r="O218" s="1035"/>
      <c r="P218" s="6"/>
      <c r="Q218" s="1036">
        <f t="shared" si="77"/>
        <v>1.6895839285714285</v>
      </c>
      <c r="R218" s="1037"/>
      <c r="S218" s="3"/>
      <c r="T218" s="3"/>
      <c r="U218" s="342">
        <f>+AE180+U180+K180+AO159+AE159+U159+K159</f>
        <v>0</v>
      </c>
      <c r="V218" s="343">
        <v>48</v>
      </c>
      <c r="W218" s="344">
        <f t="shared" si="79"/>
        <v>48</v>
      </c>
      <c r="X218" s="345">
        <f>+J159+T159+AD159+J180+T180+AD180</f>
        <v>0</v>
      </c>
      <c r="Y218" s="3"/>
      <c r="Z218" s="368"/>
      <c r="AA218" s="368"/>
      <c r="AB218" s="368"/>
      <c r="AC218" s="368"/>
      <c r="AD218" s="368"/>
      <c r="AE218" s="296"/>
      <c r="AF218" s="296"/>
      <c r="AG218" s="369"/>
      <c r="AH218" s="369"/>
      <c r="AI218" s="370"/>
      <c r="AJ218" s="370"/>
      <c r="AK218" s="370"/>
      <c r="AL218" s="370"/>
      <c r="AM218" s="369"/>
      <c r="AN218" s="369"/>
      <c r="AO218" s="369"/>
      <c r="AP218" s="369"/>
      <c r="AQ218" s="369"/>
      <c r="AR218" s="369"/>
      <c r="AS218" s="296"/>
      <c r="AT218" s="296"/>
    </row>
    <row r="219" spans="1:46" ht="16.5">
      <c r="B219" s="365" t="s">
        <v>54</v>
      </c>
      <c r="C219" s="1042"/>
      <c r="D219" s="1043"/>
      <c r="E219" s="1030"/>
      <c r="F219" s="1031"/>
      <c r="G219" s="1087"/>
      <c r="H219" s="1088"/>
      <c r="I219" s="1032"/>
      <c r="J219" s="1033"/>
      <c r="K219" s="1034">
        <f t="shared" si="75"/>
        <v>0</v>
      </c>
      <c r="L219" s="1034"/>
      <c r="M219" s="6"/>
      <c r="N219" s="1035">
        <f t="shared" si="76"/>
        <v>0</v>
      </c>
      <c r="O219" s="1035"/>
      <c r="P219" s="6"/>
      <c r="Q219" s="1036">
        <f t="shared" si="77"/>
        <v>5.2312500000000002</v>
      </c>
      <c r="R219" s="1037"/>
      <c r="U219" s="342">
        <f>+AE184+U184+K184+AO163+AE163+U163+K163</f>
        <v>0</v>
      </c>
      <c r="V219" s="343">
        <v>48</v>
      </c>
      <c r="W219" s="344">
        <f t="shared" si="79"/>
        <v>48</v>
      </c>
      <c r="X219" s="345" t="e">
        <f>+#REF!+#REF!+#REF!+#REF!+#REF!+#REF!</f>
        <v>#REF!</v>
      </c>
      <c r="Z219" s="372"/>
      <c r="AA219" s="372"/>
      <c r="AB219" s="368"/>
      <c r="AC219" s="368"/>
      <c r="AD219" s="368"/>
      <c r="AE219" s="296"/>
      <c r="AF219" s="296"/>
      <c r="AG219" s="369"/>
      <c r="AH219" s="369"/>
      <c r="AI219" s="369"/>
      <c r="AJ219" s="369"/>
      <c r="AK219" s="369"/>
      <c r="AL219" s="369"/>
      <c r="AM219" s="369"/>
      <c r="AN219" s="369"/>
      <c r="AO219" s="369"/>
      <c r="AP219" s="369"/>
      <c r="AQ219" s="369"/>
      <c r="AR219" s="369"/>
      <c r="AS219" s="296"/>
      <c r="AT219" s="296"/>
    </row>
    <row r="220" spans="1:46" ht="16.5">
      <c r="B220" s="365" t="s">
        <v>54</v>
      </c>
      <c r="C220" s="1028">
        <f>6*3+7*35</f>
        <v>263</v>
      </c>
      <c r="D220" s="1029"/>
      <c r="E220" s="1030">
        <f t="shared" ref="E220:E225" si="81">+C220/7</f>
        <v>37.571428571428569</v>
      </c>
      <c r="F220" s="1031"/>
      <c r="G220" s="341"/>
      <c r="H220" s="341"/>
      <c r="I220" s="1032">
        <f>+E220/8</f>
        <v>4.6964285714285712</v>
      </c>
      <c r="J220" s="1033"/>
      <c r="K220" s="1034">
        <f t="shared" si="75"/>
        <v>1127.1428571428571</v>
      </c>
      <c r="L220" s="1034"/>
      <c r="M220" s="374"/>
      <c r="N220" s="1035">
        <f t="shared" si="76"/>
        <v>5.479166666666667</v>
      </c>
      <c r="O220" s="1035"/>
      <c r="P220" s="6"/>
      <c r="Q220" s="1036">
        <f t="shared" si="77"/>
        <v>0.534821428571429</v>
      </c>
      <c r="R220" s="1037"/>
      <c r="U220" s="342">
        <f>+AE181+U181+K181+AO160+AE160+U160+K160</f>
        <v>0</v>
      </c>
      <c r="V220" s="343">
        <v>48</v>
      </c>
      <c r="W220" s="344">
        <f t="shared" si="79"/>
        <v>48</v>
      </c>
      <c r="X220" s="345">
        <f>+J160+T160+AD160+J181+T181+AD181</f>
        <v>0</v>
      </c>
      <c r="Z220" s="1084">
        <f>+K220/E220</f>
        <v>30</v>
      </c>
      <c r="AA220" s="1084"/>
      <c r="AB220" s="1084"/>
      <c r="AC220" s="1084"/>
      <c r="AD220" s="368"/>
      <c r="AE220" s="296"/>
      <c r="AF220" s="296"/>
      <c r="AG220" s="479"/>
      <c r="AH220" s="479"/>
      <c r="AI220" s="369"/>
      <c r="AJ220" s="369"/>
      <c r="AK220" s="369"/>
      <c r="AL220" s="369"/>
      <c r="AM220" s="369"/>
      <c r="AN220" s="369"/>
      <c r="AO220" s="369"/>
      <c r="AP220" s="369"/>
      <c r="AQ220" s="369"/>
      <c r="AR220" s="369"/>
      <c r="AS220" s="296"/>
      <c r="AT220" s="296"/>
    </row>
    <row r="221" spans="1:46" ht="16.5">
      <c r="A221" s="1">
        <v>3</v>
      </c>
      <c r="B221" s="340" t="s">
        <v>66</v>
      </c>
      <c r="C221" s="1028">
        <f>6*3+7*34.0952</f>
        <v>256.66639999999995</v>
      </c>
      <c r="D221" s="1029"/>
      <c r="E221" s="1030">
        <f t="shared" si="81"/>
        <v>36.666628571428568</v>
      </c>
      <c r="F221" s="1031"/>
      <c r="G221" s="1044">
        <f>(C221-18)/7</f>
        <v>34.095199999999991</v>
      </c>
      <c r="H221" s="1045"/>
      <c r="I221" s="1032">
        <f>+E221/8</f>
        <v>4.583328571428571</v>
      </c>
      <c r="J221" s="1089"/>
      <c r="K221" s="1090">
        <f t="shared" si="75"/>
        <v>1099.9988571428571</v>
      </c>
      <c r="L221" s="1091"/>
      <c r="M221" s="374"/>
      <c r="N221" s="1050">
        <f t="shared" si="76"/>
        <v>5.3472166666666663</v>
      </c>
      <c r="O221" s="1051"/>
      <c r="P221" s="6"/>
      <c r="Q221" s="1036">
        <f t="shared" si="77"/>
        <v>0.6479214285714292</v>
      </c>
      <c r="R221" s="1037"/>
      <c r="U221" s="342">
        <f>+AE182+U182+K182+AO161+AE161+U161+K161</f>
        <v>0</v>
      </c>
      <c r="V221" s="343">
        <v>48</v>
      </c>
      <c r="W221" s="344">
        <f t="shared" si="79"/>
        <v>48</v>
      </c>
      <c r="X221" s="345">
        <f>+J161+T161+AD161+J182+T182+AD182</f>
        <v>0</v>
      </c>
      <c r="Z221" s="481"/>
      <c r="AA221" s="482"/>
      <c r="AB221" s="477"/>
      <c r="AC221" s="368"/>
      <c r="AD221" s="368"/>
      <c r="AE221" s="296"/>
      <c r="AF221" s="296"/>
      <c r="AG221" s="369"/>
      <c r="AH221" s="369"/>
      <c r="AI221" s="370"/>
      <c r="AJ221" s="370"/>
      <c r="AK221" s="370"/>
      <c r="AL221" s="370"/>
      <c r="AM221" s="369"/>
      <c r="AN221" s="369"/>
      <c r="AO221" s="369"/>
      <c r="AP221" s="369"/>
      <c r="AQ221" s="369"/>
      <c r="AR221" s="369"/>
      <c r="AS221" s="296"/>
      <c r="AT221" s="296"/>
    </row>
    <row r="222" spans="1:46" ht="16.5">
      <c r="B222" s="483" t="s">
        <v>55</v>
      </c>
      <c r="C222" s="1104">
        <f>+G222*6</f>
        <v>169.99979999999999</v>
      </c>
      <c r="D222" s="1105"/>
      <c r="E222" s="1106">
        <f t="shared" si="81"/>
        <v>24.285685714285712</v>
      </c>
      <c r="F222" s="1107"/>
      <c r="G222" s="1108">
        <f>28.3333</f>
        <v>28.333300000000001</v>
      </c>
      <c r="H222" s="1109"/>
      <c r="I222" s="1106">
        <f>+G222/8</f>
        <v>3.5416625000000002</v>
      </c>
      <c r="J222" s="1107"/>
      <c r="K222" s="1110">
        <f>+G222*30</f>
        <v>849.99900000000002</v>
      </c>
      <c r="L222" s="1111"/>
      <c r="M222" s="6"/>
      <c r="N222" s="1050">
        <f t="shared" si="76"/>
        <v>4.1319395833333337</v>
      </c>
      <c r="O222" s="1051"/>
      <c r="P222" s="6"/>
      <c r="Q222" s="1048">
        <f t="shared" si="77"/>
        <v>1.6895875</v>
      </c>
      <c r="R222" s="1049"/>
      <c r="U222" s="342">
        <f>+AE184+U184+K184+AO163+AE163+U163+K163</f>
        <v>0</v>
      </c>
      <c r="V222" s="343">
        <v>48</v>
      </c>
      <c r="W222" s="344">
        <f t="shared" si="79"/>
        <v>48</v>
      </c>
      <c r="X222" s="345">
        <f>+J162+T162+AD162+J183+T183+AD183</f>
        <v>0</v>
      </c>
      <c r="Z222" s="481"/>
      <c r="AA222" s="482"/>
      <c r="AB222" s="477"/>
      <c r="AC222" s="368"/>
      <c r="AD222" s="368"/>
      <c r="AE222" s="296"/>
      <c r="AF222" s="296"/>
      <c r="AG222" s="370"/>
      <c r="AH222" s="370"/>
      <c r="AI222" s="369"/>
      <c r="AJ222" s="369"/>
      <c r="AK222" s="369"/>
      <c r="AL222" s="369"/>
      <c r="AM222" s="369"/>
      <c r="AN222" s="369"/>
      <c r="AO222" s="369"/>
      <c r="AP222" s="369"/>
      <c r="AQ222" s="369"/>
      <c r="AR222" s="369"/>
      <c r="AS222" s="296"/>
      <c r="AT222" s="296"/>
    </row>
    <row r="223" spans="1:46" ht="16.5">
      <c r="B223" s="483" t="s">
        <v>103</v>
      </c>
      <c r="C223" s="1104">
        <f>+G223*6</f>
        <v>199.99979999999999</v>
      </c>
      <c r="D223" s="1105"/>
      <c r="E223" s="1106">
        <f t="shared" si="81"/>
        <v>28.571400000000001</v>
      </c>
      <c r="F223" s="1107"/>
      <c r="G223" s="1108">
        <v>33.333300000000001</v>
      </c>
      <c r="H223" s="1109"/>
      <c r="I223" s="1106">
        <f>+G223/8</f>
        <v>4.1666625000000002</v>
      </c>
      <c r="J223" s="1107"/>
      <c r="K223" s="1110">
        <f>+G223*30</f>
        <v>999.99900000000002</v>
      </c>
      <c r="L223" s="1111"/>
      <c r="M223" s="6"/>
      <c r="N223" s="1050">
        <f t="shared" si="76"/>
        <v>4.8611062500000006</v>
      </c>
      <c r="O223" s="1051"/>
      <c r="P223" s="6"/>
      <c r="Q223" s="1048">
        <f t="shared" si="77"/>
        <v>1.0645875</v>
      </c>
      <c r="R223" s="1049"/>
      <c r="U223" s="342">
        <f>+AE185+U185+K185+AO164+AE164+U164+K164</f>
        <v>0</v>
      </c>
      <c r="V223" s="343">
        <v>48</v>
      </c>
      <c r="W223" s="344">
        <f t="shared" si="79"/>
        <v>48</v>
      </c>
      <c r="X223" s="345">
        <f>+J163+T163+AD163+J184+T184+AD184</f>
        <v>0</v>
      </c>
      <c r="Z223" s="372"/>
      <c r="AA223" s="372"/>
      <c r="AB223" s="368"/>
      <c r="AC223" s="368"/>
      <c r="AD223" s="368">
        <v>200</v>
      </c>
      <c r="AE223" s="296"/>
      <c r="AF223" s="1092">
        <f>+AD223/6</f>
        <v>33.333333333333336</v>
      </c>
      <c r="AG223" s="1092"/>
      <c r="AH223" s="1092"/>
      <c r="AI223" s="369"/>
      <c r="AJ223" s="369"/>
      <c r="AK223" s="369"/>
      <c r="AL223" s="369"/>
      <c r="AM223" s="369"/>
      <c r="AN223" s="369"/>
      <c r="AO223" s="369"/>
      <c r="AP223" s="369"/>
      <c r="AQ223" s="369"/>
      <c r="AR223" s="369"/>
      <c r="AS223" s="296"/>
      <c r="AT223" s="296"/>
    </row>
    <row r="224" spans="1:46" ht="16.5">
      <c r="A224" s="366"/>
      <c r="B224" s="483" t="s">
        <v>104</v>
      </c>
      <c r="C224" s="1093">
        <v>100</v>
      </c>
      <c r="D224" s="1094"/>
      <c r="E224" s="1095">
        <f t="shared" si="81"/>
        <v>14.285714285714286</v>
      </c>
      <c r="F224" s="1096"/>
      <c r="G224" s="1097">
        <f>+C224/6</f>
        <v>16.666666666666668</v>
      </c>
      <c r="H224" s="1098"/>
      <c r="I224" s="1099">
        <f>+E224/8/6*7</f>
        <v>2.0833333333333335</v>
      </c>
      <c r="J224" s="1100"/>
      <c r="K224" s="1101">
        <f>+G224*30</f>
        <v>500.00000000000006</v>
      </c>
      <c r="L224" s="1101"/>
      <c r="M224" s="6"/>
      <c r="N224" s="1035">
        <f t="shared" si="76"/>
        <v>2.4305555555555558</v>
      </c>
      <c r="O224" s="1035"/>
      <c r="P224" s="6"/>
      <c r="Q224" s="1102">
        <f t="shared" si="77"/>
        <v>3.1479166666666667</v>
      </c>
      <c r="R224" s="1103"/>
      <c r="U224" s="342">
        <f>+AE184+U184+K184+AO163+AE163+U163+K163</f>
        <v>0</v>
      </c>
      <c r="V224" s="343">
        <v>48</v>
      </c>
      <c r="W224" s="344">
        <f t="shared" si="79"/>
        <v>48</v>
      </c>
      <c r="X224" s="345">
        <f>+J163+T163+AD163+J184+T184+AD184</f>
        <v>0</v>
      </c>
      <c r="Y224" s="367"/>
      <c r="Z224" s="368"/>
      <c r="AA224" s="368"/>
      <c r="AB224" s="368"/>
      <c r="AC224" s="368"/>
      <c r="AG224" s="369"/>
      <c r="AH224" s="369"/>
      <c r="AI224" s="296"/>
      <c r="AJ224" s="296"/>
      <c r="AK224" s="373"/>
      <c r="AL224" s="373"/>
      <c r="AM224" s="373"/>
      <c r="AN224" s="373"/>
      <c r="AO224" s="373"/>
      <c r="AP224" s="373"/>
      <c r="AQ224" s="373"/>
      <c r="AR224" s="373"/>
      <c r="AS224" s="296"/>
      <c r="AT224" s="296"/>
    </row>
    <row r="225" spans="2:46" ht="16.5">
      <c r="B225" s="375" t="s">
        <v>65</v>
      </c>
      <c r="C225" s="1054">
        <f>6*3+7*(G225)</f>
        <v>548.33330000000001</v>
      </c>
      <c r="D225" s="1055"/>
      <c r="E225" s="1056">
        <f t="shared" si="81"/>
        <v>78.333328571428567</v>
      </c>
      <c r="F225" s="1057"/>
      <c r="G225" s="1058">
        <v>75.761899999999997</v>
      </c>
      <c r="H225" s="1059"/>
      <c r="I225" s="1060">
        <f>+E225/8</f>
        <v>9.7916660714285708</v>
      </c>
      <c r="J225" s="1061"/>
      <c r="K225" s="1062">
        <f>+E225*30</f>
        <v>2349.9998571428569</v>
      </c>
      <c r="L225" s="1063"/>
      <c r="M225" s="6"/>
      <c r="N225" s="1035">
        <f t="shared" si="76"/>
        <v>11.423610416666666</v>
      </c>
      <c r="O225" s="1035"/>
      <c r="P225" s="6"/>
      <c r="Q225" s="1048">
        <f t="shared" si="77"/>
        <v>-4.5604160714285706</v>
      </c>
      <c r="R225" s="1049"/>
      <c r="U225" s="342">
        <f>+AE188+U188+K188+AO167+AE167+U167+K167</f>
        <v>0</v>
      </c>
      <c r="V225" s="343">
        <v>48</v>
      </c>
      <c r="W225" s="344">
        <f t="shared" si="79"/>
        <v>48</v>
      </c>
      <c r="X225" s="345">
        <f>+J167+T167+AD167+J188+T188+AD188</f>
        <v>0</v>
      </c>
      <c r="Z225" s="372"/>
      <c r="AA225" s="372"/>
      <c r="AB225" s="368"/>
      <c r="AC225" s="368"/>
      <c r="AD225" s="368"/>
      <c r="AE225" s="296"/>
      <c r="AF225" s="296"/>
      <c r="AG225" s="369"/>
      <c r="AH225" s="369"/>
      <c r="AI225" s="369"/>
      <c r="AJ225" s="369"/>
      <c r="AK225" s="369"/>
      <c r="AL225" s="369"/>
      <c r="AM225" s="369"/>
      <c r="AN225" s="369"/>
      <c r="AO225" s="369"/>
      <c r="AP225" s="369"/>
      <c r="AQ225" s="296"/>
      <c r="AR225" s="296"/>
      <c r="AS225" s="296"/>
      <c r="AT225" s="296"/>
    </row>
    <row r="226" spans="2:46">
      <c r="AE226" s="376"/>
      <c r="AF226" s="376"/>
      <c r="AJ226" s="376"/>
      <c r="AK226" s="376"/>
    </row>
    <row r="227" spans="2:46" ht="15.75" thickBot="1">
      <c r="AE227" s="376"/>
      <c r="AF227" s="376"/>
      <c r="AJ227" s="376"/>
      <c r="AK227" s="376"/>
    </row>
    <row r="228" spans="2:46">
      <c r="C228" s="484"/>
      <c r="D228" s="485"/>
      <c r="E228" s="486"/>
      <c r="F228" s="487"/>
      <c r="G228" s="485"/>
      <c r="H228" s="485"/>
      <c r="I228" s="487"/>
      <c r="J228" s="485"/>
      <c r="K228" s="488"/>
      <c r="L228" s="488"/>
      <c r="M228" s="485"/>
      <c r="N228" s="485"/>
      <c r="O228" s="485"/>
      <c r="P228" s="485"/>
      <c r="Q228" s="485"/>
      <c r="R228" s="485"/>
      <c r="S228" s="485"/>
      <c r="T228" s="485"/>
      <c r="U228" s="485"/>
      <c r="V228" s="485"/>
      <c r="W228" s="485"/>
      <c r="X228" s="485"/>
      <c r="Y228" s="485"/>
      <c r="Z228" s="485"/>
      <c r="AA228" s="489"/>
      <c r="AB228" s="489"/>
      <c r="AC228" s="489"/>
      <c r="AD228" s="489"/>
      <c r="AE228" s="490"/>
      <c r="AF228" s="490"/>
      <c r="AG228" s="491"/>
      <c r="AJ228" s="376"/>
      <c r="AK228" s="376"/>
    </row>
    <row r="229" spans="2:46" ht="18">
      <c r="C229" s="492"/>
      <c r="D229" s="333"/>
      <c r="E229" s="493" t="s">
        <v>105</v>
      </c>
      <c r="F229" s="411"/>
      <c r="G229" s="333"/>
      <c r="H229" s="333"/>
      <c r="I229" s="411"/>
      <c r="J229" s="333"/>
      <c r="K229" s="405"/>
      <c r="L229" s="405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167"/>
      <c r="AB229" s="167"/>
      <c r="AC229" s="167"/>
      <c r="AD229" s="167"/>
      <c r="AE229" s="376"/>
      <c r="AF229" s="376"/>
      <c r="AG229" s="494"/>
      <c r="AJ229" s="376"/>
      <c r="AK229" s="376"/>
    </row>
    <row r="230" spans="2:46">
      <c r="C230" s="492"/>
      <c r="D230" s="333"/>
      <c r="E230" s="410"/>
      <c r="F230" s="411"/>
      <c r="G230" s="333"/>
      <c r="H230" s="333"/>
      <c r="I230" s="411"/>
      <c r="J230" s="333"/>
      <c r="K230" s="405"/>
      <c r="L230" s="405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  <c r="AA230" s="1112" t="s">
        <v>106</v>
      </c>
      <c r="AB230" s="1113"/>
      <c r="AC230" s="1114"/>
      <c r="AD230" s="1115" t="s">
        <v>107</v>
      </c>
      <c r="AE230" s="1116"/>
      <c r="AF230" s="1117"/>
      <c r="AG230" s="494"/>
      <c r="AH230" s="167"/>
      <c r="AI230" s="167"/>
      <c r="AJ230" s="376"/>
      <c r="AK230" s="376"/>
    </row>
    <row r="231" spans="2:46" ht="16.5" thickBot="1">
      <c r="C231" s="492"/>
      <c r="D231" s="1118" t="s">
        <v>108</v>
      </c>
      <c r="E231" s="1118"/>
      <c r="F231" s="1118"/>
      <c r="G231" s="1118"/>
      <c r="H231" s="1118"/>
      <c r="I231" s="1119" t="s">
        <v>109</v>
      </c>
      <c r="J231" s="1119"/>
      <c r="K231" s="1119"/>
      <c r="L231" s="1120" t="s">
        <v>110</v>
      </c>
      <c r="M231" s="1120"/>
      <c r="N231" s="1120"/>
      <c r="O231" s="1120" t="s">
        <v>111</v>
      </c>
      <c r="P231" s="1120"/>
      <c r="Q231" s="1120"/>
      <c r="R231" s="1121" t="s">
        <v>112</v>
      </c>
      <c r="S231" s="1121"/>
      <c r="T231" s="1121"/>
      <c r="U231" s="1120" t="s">
        <v>113</v>
      </c>
      <c r="V231" s="1120"/>
      <c r="W231" s="1122"/>
      <c r="X231" s="1123" t="s">
        <v>114</v>
      </c>
      <c r="Y231" s="1124"/>
      <c r="Z231" s="1125"/>
      <c r="AA231" s="1126" t="s">
        <v>115</v>
      </c>
      <c r="AB231" s="1126"/>
      <c r="AC231" s="1127"/>
      <c r="AD231" s="1128" t="s">
        <v>116</v>
      </c>
      <c r="AE231" s="1129"/>
      <c r="AF231" s="1130"/>
      <c r="AG231" s="494"/>
      <c r="AH231" s="167"/>
      <c r="AI231" s="167"/>
      <c r="AJ231" s="376"/>
      <c r="AK231" s="376"/>
    </row>
    <row r="232" spans="2:46" ht="19.5" thickTop="1">
      <c r="C232" s="495">
        <v>1</v>
      </c>
      <c r="D232" s="1131" t="s">
        <v>50</v>
      </c>
      <c r="E232" s="1131"/>
      <c r="F232" s="1131"/>
      <c r="G232" s="1131"/>
      <c r="H232" s="1131"/>
      <c r="I232" s="1132">
        <v>30.762</v>
      </c>
      <c r="J232" s="1132"/>
      <c r="K232" s="1132"/>
      <c r="L232" s="1133">
        <v>1</v>
      </c>
      <c r="M232" s="1133"/>
      <c r="N232" s="1133"/>
      <c r="O232" s="1133">
        <v>2</v>
      </c>
      <c r="P232" s="1133"/>
      <c r="Q232" s="1133"/>
      <c r="R232" s="1134">
        <f t="shared" ref="R232:R239" si="82">+I232+L232+O232</f>
        <v>33.762</v>
      </c>
      <c r="S232" s="1134"/>
      <c r="T232" s="1134"/>
      <c r="U232" s="1135">
        <f t="shared" ref="U232:U239" si="83">+I232*7+(L232+O232)*6</f>
        <v>233.334</v>
      </c>
      <c r="V232" s="1135"/>
      <c r="W232" s="1136"/>
      <c r="X232" s="1137">
        <f t="shared" ref="X232:X239" si="84">+U232/7*30</f>
        <v>1000.0028571428571</v>
      </c>
      <c r="Y232" s="1138"/>
      <c r="Z232" s="1139"/>
      <c r="AA232" s="1140">
        <v>31</v>
      </c>
      <c r="AB232" s="1141"/>
      <c r="AC232" s="1141"/>
      <c r="AD232" s="1142">
        <f>+AA232-I232</f>
        <v>0.23799999999999955</v>
      </c>
      <c r="AE232" s="1142"/>
      <c r="AF232" s="1142"/>
      <c r="AG232" s="494"/>
      <c r="AH232" s="167"/>
      <c r="AI232" s="1143">
        <f>+AD232+I232</f>
        <v>31</v>
      </c>
      <c r="AJ232" s="1143"/>
      <c r="AK232" s="1143"/>
    </row>
    <row r="233" spans="2:46" ht="18.75">
      <c r="C233" s="495">
        <v>2</v>
      </c>
      <c r="D233" s="1144" t="s">
        <v>117</v>
      </c>
      <c r="E233" s="1144"/>
      <c r="F233" s="1144"/>
      <c r="G233" s="1144"/>
      <c r="H233" s="1144"/>
      <c r="I233" s="1145">
        <v>25.762</v>
      </c>
      <c r="J233" s="1145"/>
      <c r="K233" s="1145"/>
      <c r="L233" s="1146">
        <v>1</v>
      </c>
      <c r="M233" s="1146"/>
      <c r="N233" s="1146"/>
      <c r="O233" s="1146">
        <v>2</v>
      </c>
      <c r="P233" s="1146"/>
      <c r="Q233" s="1146"/>
      <c r="R233" s="1147">
        <f t="shared" si="82"/>
        <v>28.762</v>
      </c>
      <c r="S233" s="1147"/>
      <c r="T233" s="1147"/>
      <c r="U233" s="1148">
        <f t="shared" si="83"/>
        <v>198.334</v>
      </c>
      <c r="V233" s="1148"/>
      <c r="W233" s="1149"/>
      <c r="X233" s="1150">
        <f t="shared" si="84"/>
        <v>850.00285714285724</v>
      </c>
      <c r="Y233" s="1151"/>
      <c r="Z233" s="1152"/>
      <c r="AA233" s="1153">
        <v>31</v>
      </c>
      <c r="AB233" s="1154"/>
      <c r="AC233" s="1154"/>
      <c r="AD233" s="1143">
        <f>+AA233-I233</f>
        <v>5.2379999999999995</v>
      </c>
      <c r="AE233" s="1143"/>
      <c r="AF233" s="1143"/>
      <c r="AG233" s="494"/>
      <c r="AH233" s="167"/>
      <c r="AI233" s="1142">
        <f>+AD233+I233</f>
        <v>31</v>
      </c>
      <c r="AJ233" s="1142"/>
      <c r="AK233" s="1142"/>
    </row>
    <row r="234" spans="2:46" ht="18.75">
      <c r="C234" s="495">
        <v>3</v>
      </c>
      <c r="D234" s="1144" t="s">
        <v>118</v>
      </c>
      <c r="E234" s="1144"/>
      <c r="F234" s="1144"/>
      <c r="G234" s="1144"/>
      <c r="H234" s="1144"/>
      <c r="I234" s="1145">
        <v>38.5</v>
      </c>
      <c r="J234" s="1145"/>
      <c r="K234" s="1145"/>
      <c r="L234" s="1146">
        <v>1</v>
      </c>
      <c r="M234" s="1146"/>
      <c r="N234" s="1146"/>
      <c r="O234" s="1146">
        <v>2</v>
      </c>
      <c r="P234" s="1146"/>
      <c r="Q234" s="1146"/>
      <c r="R234" s="1147">
        <f t="shared" si="82"/>
        <v>41.5</v>
      </c>
      <c r="S234" s="1147"/>
      <c r="T234" s="1147"/>
      <c r="U234" s="1148">
        <f t="shared" si="83"/>
        <v>287.5</v>
      </c>
      <c r="V234" s="1148"/>
      <c r="W234" s="1149"/>
      <c r="X234" s="1150">
        <f t="shared" si="84"/>
        <v>1232.1428571428571</v>
      </c>
      <c r="Y234" s="1151"/>
      <c r="Z234" s="1152"/>
      <c r="AA234" s="1153">
        <v>31</v>
      </c>
      <c r="AB234" s="1154"/>
      <c r="AC234" s="1154"/>
      <c r="AD234" s="1143">
        <v>0</v>
      </c>
      <c r="AE234" s="1143"/>
      <c r="AF234" s="1143"/>
      <c r="AG234" s="494"/>
      <c r="AH234" s="167"/>
      <c r="AI234" s="167"/>
      <c r="AJ234" s="376"/>
      <c r="AK234" s="376"/>
    </row>
    <row r="235" spans="2:46" ht="18.75">
      <c r="C235" s="495">
        <v>4</v>
      </c>
      <c r="D235" s="1144" t="s">
        <v>119</v>
      </c>
      <c r="E235" s="1144"/>
      <c r="F235" s="1144"/>
      <c r="G235" s="1144"/>
      <c r="H235" s="1144"/>
      <c r="I235" s="1145">
        <v>38.5</v>
      </c>
      <c r="J235" s="1145"/>
      <c r="K235" s="1145"/>
      <c r="L235" s="1146">
        <v>1</v>
      </c>
      <c r="M235" s="1146"/>
      <c r="N235" s="1146"/>
      <c r="O235" s="1146">
        <v>2</v>
      </c>
      <c r="P235" s="1146"/>
      <c r="Q235" s="1146"/>
      <c r="R235" s="1147">
        <f t="shared" si="82"/>
        <v>41.5</v>
      </c>
      <c r="S235" s="1147"/>
      <c r="T235" s="1147"/>
      <c r="U235" s="1148">
        <f t="shared" si="83"/>
        <v>287.5</v>
      </c>
      <c r="V235" s="1148"/>
      <c r="W235" s="1149"/>
      <c r="X235" s="1150">
        <f t="shared" si="84"/>
        <v>1232.1428571428571</v>
      </c>
      <c r="Y235" s="1151"/>
      <c r="Z235" s="1152"/>
      <c r="AA235" s="1153">
        <v>31</v>
      </c>
      <c r="AB235" s="1154"/>
      <c r="AC235" s="1154"/>
      <c r="AD235" s="1143">
        <v>0</v>
      </c>
      <c r="AE235" s="1143"/>
      <c r="AF235" s="1143"/>
      <c r="AG235" s="494"/>
      <c r="AH235" s="167"/>
      <c r="AI235" s="167"/>
      <c r="AJ235" s="376"/>
      <c r="AK235" s="376"/>
    </row>
    <row r="236" spans="2:46" ht="18.75">
      <c r="C236" s="495">
        <v>5</v>
      </c>
      <c r="D236" s="1144" t="s">
        <v>120</v>
      </c>
      <c r="E236" s="1144"/>
      <c r="F236" s="1144"/>
      <c r="G236" s="1144"/>
      <c r="H236" s="1144"/>
      <c r="I236" s="1145">
        <v>38.5</v>
      </c>
      <c r="J236" s="1145"/>
      <c r="K236" s="1145"/>
      <c r="L236" s="1146">
        <v>1</v>
      </c>
      <c r="M236" s="1146"/>
      <c r="N236" s="1146"/>
      <c r="O236" s="1146">
        <v>2</v>
      </c>
      <c r="P236" s="1146"/>
      <c r="Q236" s="1146"/>
      <c r="R236" s="1147">
        <f t="shared" si="82"/>
        <v>41.5</v>
      </c>
      <c r="S236" s="1147"/>
      <c r="T236" s="1147"/>
      <c r="U236" s="1148">
        <f t="shared" si="83"/>
        <v>287.5</v>
      </c>
      <c r="V236" s="1148"/>
      <c r="W236" s="1149"/>
      <c r="X236" s="1150">
        <f t="shared" si="84"/>
        <v>1232.1428571428571</v>
      </c>
      <c r="Y236" s="1151"/>
      <c r="Z236" s="1152"/>
      <c r="AA236" s="1153">
        <v>31</v>
      </c>
      <c r="AB236" s="1154"/>
      <c r="AC236" s="1154"/>
      <c r="AD236" s="1143">
        <v>0</v>
      </c>
      <c r="AE236" s="1143"/>
      <c r="AF236" s="1143"/>
      <c r="AG236" s="494"/>
      <c r="AH236" s="167"/>
      <c r="AI236" s="167"/>
      <c r="AJ236" s="376"/>
      <c r="AK236" s="376"/>
    </row>
    <row r="237" spans="2:46" ht="18.75">
      <c r="C237" s="495">
        <v>6</v>
      </c>
      <c r="D237" s="1144" t="s">
        <v>121</v>
      </c>
      <c r="E237" s="1144"/>
      <c r="F237" s="1144"/>
      <c r="G237" s="1144"/>
      <c r="H237" s="1144"/>
      <c r="I237" s="1145">
        <v>33.799999999999997</v>
      </c>
      <c r="J237" s="1145"/>
      <c r="K237" s="1145"/>
      <c r="L237" s="1146">
        <v>1</v>
      </c>
      <c r="M237" s="1146"/>
      <c r="N237" s="1146"/>
      <c r="O237" s="1146">
        <v>2</v>
      </c>
      <c r="P237" s="1146"/>
      <c r="Q237" s="1146"/>
      <c r="R237" s="1147">
        <f t="shared" si="82"/>
        <v>36.799999999999997</v>
      </c>
      <c r="S237" s="1147"/>
      <c r="T237" s="1147"/>
      <c r="U237" s="1148">
        <f t="shared" si="83"/>
        <v>254.59999999999997</v>
      </c>
      <c r="V237" s="1148"/>
      <c r="W237" s="1149"/>
      <c r="X237" s="1150">
        <f t="shared" si="84"/>
        <v>1091.1428571428569</v>
      </c>
      <c r="Y237" s="1151"/>
      <c r="Z237" s="1152"/>
      <c r="AA237" s="1153">
        <v>31</v>
      </c>
      <c r="AB237" s="1154"/>
      <c r="AC237" s="1154"/>
      <c r="AD237" s="1143">
        <v>0</v>
      </c>
      <c r="AE237" s="1143"/>
      <c r="AF237" s="1143"/>
      <c r="AG237" s="494"/>
      <c r="AH237" s="167"/>
      <c r="AI237" s="167"/>
      <c r="AJ237" s="376"/>
      <c r="AK237" s="376"/>
    </row>
    <row r="238" spans="2:46" ht="18.75">
      <c r="C238" s="495">
        <v>7</v>
      </c>
      <c r="D238" s="1144" t="s">
        <v>122</v>
      </c>
      <c r="E238" s="1144"/>
      <c r="F238" s="1144"/>
      <c r="G238" s="1144"/>
      <c r="H238" s="1144"/>
      <c r="I238" s="1145">
        <v>38.5</v>
      </c>
      <c r="J238" s="1145"/>
      <c r="K238" s="1145"/>
      <c r="L238" s="1146">
        <v>1</v>
      </c>
      <c r="M238" s="1146"/>
      <c r="N238" s="1146"/>
      <c r="O238" s="1146">
        <v>2</v>
      </c>
      <c r="P238" s="1146"/>
      <c r="Q238" s="1146"/>
      <c r="R238" s="1147">
        <f t="shared" si="82"/>
        <v>41.5</v>
      </c>
      <c r="S238" s="1147"/>
      <c r="T238" s="1147"/>
      <c r="U238" s="1148">
        <f t="shared" si="83"/>
        <v>287.5</v>
      </c>
      <c r="V238" s="1148"/>
      <c r="W238" s="1149"/>
      <c r="X238" s="1150">
        <f t="shared" si="84"/>
        <v>1232.1428571428571</v>
      </c>
      <c r="Y238" s="1151"/>
      <c r="Z238" s="1152"/>
      <c r="AA238" s="1153">
        <v>31</v>
      </c>
      <c r="AB238" s="1154"/>
      <c r="AC238" s="1154"/>
      <c r="AD238" s="1143">
        <v>0</v>
      </c>
      <c r="AE238" s="1143"/>
      <c r="AF238" s="1143"/>
      <c r="AG238" s="494"/>
      <c r="AH238" s="167"/>
      <c r="AI238" s="167"/>
      <c r="AJ238" s="376"/>
      <c r="AK238" s="376"/>
    </row>
    <row r="239" spans="2:46" ht="18.75">
      <c r="C239" s="495">
        <v>8</v>
      </c>
      <c r="D239" s="1144" t="s">
        <v>66</v>
      </c>
      <c r="E239" s="1144"/>
      <c r="F239" s="1144"/>
      <c r="G239" s="1144"/>
      <c r="H239" s="1144"/>
      <c r="I239" s="1145">
        <v>34.095199999999998</v>
      </c>
      <c r="J239" s="1145"/>
      <c r="K239" s="1145"/>
      <c r="L239" s="1146">
        <v>1</v>
      </c>
      <c r="M239" s="1146"/>
      <c r="N239" s="1146"/>
      <c r="O239" s="1146">
        <v>2</v>
      </c>
      <c r="P239" s="1146"/>
      <c r="Q239" s="1146"/>
      <c r="R239" s="1147">
        <f t="shared" si="82"/>
        <v>37.095199999999998</v>
      </c>
      <c r="S239" s="1147"/>
      <c r="T239" s="1147"/>
      <c r="U239" s="1148">
        <f t="shared" si="83"/>
        <v>256.66639999999995</v>
      </c>
      <c r="V239" s="1148"/>
      <c r="W239" s="1149"/>
      <c r="X239" s="1150">
        <f t="shared" si="84"/>
        <v>1099.9988571428571</v>
      </c>
      <c r="Y239" s="1151"/>
      <c r="Z239" s="1152"/>
      <c r="AA239" s="1153">
        <v>31</v>
      </c>
      <c r="AB239" s="1154"/>
      <c r="AC239" s="1154"/>
      <c r="AD239" s="1143">
        <v>0</v>
      </c>
      <c r="AE239" s="1143"/>
      <c r="AF239" s="1143"/>
      <c r="AG239" s="494"/>
      <c r="AH239" s="167"/>
      <c r="AI239" s="167"/>
      <c r="AJ239" s="376"/>
      <c r="AK239" s="376"/>
    </row>
    <row r="240" spans="2:46" ht="17.25">
      <c r="C240" s="495">
        <v>9</v>
      </c>
      <c r="D240" s="1144"/>
      <c r="E240" s="1144"/>
      <c r="F240" s="1144"/>
      <c r="G240" s="1144"/>
      <c r="H240" s="1144"/>
      <c r="I240" s="1165"/>
      <c r="J240" s="1165"/>
      <c r="K240" s="1165"/>
      <c r="L240" s="1146"/>
      <c r="M240" s="1146"/>
      <c r="N240" s="1146"/>
      <c r="O240" s="1146"/>
      <c r="P240" s="1146"/>
      <c r="Q240" s="1146"/>
      <c r="R240" s="1160"/>
      <c r="S240" s="1160"/>
      <c r="T240" s="1160"/>
      <c r="U240" s="1148"/>
      <c r="V240" s="1148"/>
      <c r="W240" s="1149"/>
      <c r="X240" s="1150"/>
      <c r="Y240" s="1151"/>
      <c r="Z240" s="1152"/>
      <c r="AA240" s="1153"/>
      <c r="AB240" s="1154"/>
      <c r="AC240" s="1154"/>
      <c r="AD240" s="1143"/>
      <c r="AE240" s="1143"/>
      <c r="AF240" s="1143"/>
      <c r="AG240" s="494"/>
      <c r="AH240" s="167"/>
      <c r="AI240" s="167"/>
      <c r="AJ240" s="376"/>
      <c r="AK240" s="376"/>
    </row>
    <row r="241" spans="2:46" ht="17.25">
      <c r="C241" s="492"/>
      <c r="D241" s="409"/>
      <c r="E241" s="410"/>
      <c r="F241" s="411"/>
      <c r="G241" s="333"/>
      <c r="H241" s="333"/>
      <c r="I241" s="411"/>
      <c r="J241" s="333"/>
      <c r="K241" s="405"/>
      <c r="L241" s="405"/>
      <c r="M241" s="333"/>
      <c r="N241" s="333"/>
      <c r="O241" s="333"/>
      <c r="P241" s="333"/>
      <c r="Q241" s="333"/>
      <c r="R241" s="333"/>
      <c r="S241" s="1160" t="s">
        <v>23</v>
      </c>
      <c r="T241" s="1160"/>
      <c r="U241" s="1160"/>
      <c r="V241" s="333"/>
      <c r="W241" s="333"/>
      <c r="X241" s="1161">
        <f>SUM(X232:Z240)</f>
        <v>8969.718857142856</v>
      </c>
      <c r="Y241" s="1162"/>
      <c r="Z241" s="1163"/>
      <c r="AA241" s="496"/>
      <c r="AB241" s="496"/>
      <c r="AC241" s="496"/>
      <c r="AD241" s="1164">
        <f>SUM(AD232:AF240)</f>
        <v>5.4759999999999991</v>
      </c>
      <c r="AE241" s="1164"/>
      <c r="AF241" s="1164"/>
      <c r="AG241" s="494"/>
      <c r="AH241" s="167"/>
      <c r="AI241" s="167"/>
      <c r="AJ241" s="376"/>
      <c r="AK241" s="376"/>
    </row>
    <row r="242" spans="2:46" ht="15.75" thickBot="1">
      <c r="C242" s="492"/>
      <c r="D242" s="1155">
        <v>28.333300000000001</v>
      </c>
      <c r="E242" s="1155"/>
      <c r="F242" s="1155"/>
      <c r="G242" s="497" t="s">
        <v>123</v>
      </c>
      <c r="H242" s="333"/>
      <c r="I242" s="411"/>
      <c r="J242" s="333"/>
      <c r="K242" s="405"/>
      <c r="L242" s="405"/>
      <c r="M242" s="333"/>
      <c r="N242" s="333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  <c r="Z242" s="333"/>
      <c r="AA242" s="167"/>
      <c r="AB242" s="167"/>
      <c r="AC242" s="167"/>
      <c r="AD242" s="167"/>
      <c r="AE242" s="376"/>
      <c r="AF242" s="376"/>
      <c r="AG242" s="494"/>
      <c r="AH242" s="167"/>
      <c r="AI242" s="167"/>
      <c r="AJ242" s="376"/>
      <c r="AK242" s="376"/>
    </row>
    <row r="243" spans="2:46" ht="15.75" thickBot="1">
      <c r="C243" s="492"/>
      <c r="D243" s="1155">
        <v>31</v>
      </c>
      <c r="E243" s="1155"/>
      <c r="F243" s="1155"/>
      <c r="G243" s="497" t="s">
        <v>124</v>
      </c>
      <c r="H243" s="333"/>
      <c r="I243" s="411"/>
      <c r="J243" s="333"/>
      <c r="K243" s="405"/>
      <c r="L243" s="405"/>
      <c r="M243" s="1155">
        <f>+D243-D242</f>
        <v>2.6666999999999987</v>
      </c>
      <c r="N243" s="1155"/>
      <c r="O243" s="1155"/>
      <c r="P243" s="498" t="s">
        <v>125</v>
      </c>
      <c r="Q243" s="333"/>
      <c r="R243" s="333"/>
      <c r="S243" s="333"/>
      <c r="T243" s="499"/>
      <c r="U243" s="333"/>
      <c r="V243" s="333"/>
      <c r="W243" s="499" t="s">
        <v>126</v>
      </c>
      <c r="X243" s="333"/>
      <c r="Y243" s="333"/>
      <c r="Z243" s="333"/>
      <c r="AA243" s="167"/>
      <c r="AB243" s="167"/>
      <c r="AC243" s="167"/>
      <c r="AD243" s="1156">
        <f>+AD241</f>
        <v>5.4759999999999991</v>
      </c>
      <c r="AE243" s="1157"/>
      <c r="AF243" s="1158"/>
      <c r="AG243" s="494"/>
      <c r="AH243" s="167"/>
      <c r="AI243" s="167"/>
      <c r="AJ243" s="376"/>
      <c r="AK243" s="376"/>
    </row>
    <row r="244" spans="2:46" ht="15.75" thickBot="1">
      <c r="C244" s="500"/>
      <c r="D244" s="501"/>
      <c r="E244" s="502"/>
      <c r="F244" s="503"/>
      <c r="G244" s="501"/>
      <c r="H244" s="501"/>
      <c r="I244" s="503"/>
      <c r="J244" s="501"/>
      <c r="K244" s="504"/>
      <c r="L244" s="504"/>
      <c r="M244" s="501"/>
      <c r="N244" s="501"/>
      <c r="O244" s="501"/>
      <c r="P244" s="501"/>
      <c r="Q244" s="501"/>
      <c r="R244" s="501"/>
      <c r="S244" s="501"/>
      <c r="T244" s="501"/>
      <c r="U244" s="501"/>
      <c r="V244" s="501"/>
      <c r="W244" s="501"/>
      <c r="X244" s="501"/>
      <c r="Y244" s="501"/>
      <c r="Z244" s="501"/>
      <c r="AA244" s="505"/>
      <c r="AB244" s="505"/>
      <c r="AC244" s="505"/>
      <c r="AD244" s="506"/>
      <c r="AE244" s="506"/>
      <c r="AF244" s="506"/>
      <c r="AG244" s="507"/>
      <c r="AH244" s="167"/>
      <c r="AI244" s="167"/>
      <c r="AJ244" s="376"/>
      <c r="AK244" s="376"/>
    </row>
    <row r="245" spans="2:46">
      <c r="AG245" s="267"/>
      <c r="AH245" s="267"/>
      <c r="AI245" s="267"/>
      <c r="AJ245" s="267"/>
      <c r="AK245" s="267"/>
      <c r="AL245" s="267"/>
      <c r="AM245" s="267"/>
      <c r="AN245" s="267"/>
      <c r="AO245" s="267"/>
    </row>
    <row r="246" spans="2:46" ht="15.75" thickBot="1">
      <c r="AG246" s="267"/>
      <c r="AH246" s="267"/>
      <c r="AI246" s="267"/>
      <c r="AJ246" s="267"/>
      <c r="AK246" s="267"/>
      <c r="AL246" s="267"/>
      <c r="AM246" s="267"/>
      <c r="AN246" s="267"/>
      <c r="AO246" s="267"/>
    </row>
    <row r="247" spans="2:46" ht="16.5" thickBot="1">
      <c r="B247" s="508">
        <v>850</v>
      </c>
      <c r="C247" s="509" t="s">
        <v>67</v>
      </c>
      <c r="D247" s="510"/>
      <c r="E247" s="511" t="s">
        <v>49</v>
      </c>
      <c r="F247" s="512"/>
      <c r="G247" s="510"/>
      <c r="H247" s="510"/>
      <c r="I247" s="512"/>
      <c r="J247" s="510"/>
      <c r="K247" s="512"/>
      <c r="L247" s="512"/>
      <c r="M247" s="510"/>
      <c r="N247" s="510"/>
      <c r="O247" s="510"/>
      <c r="P247" s="510"/>
      <c r="Q247" s="510"/>
      <c r="R247" s="510"/>
      <c r="S247" s="510"/>
      <c r="T247" s="510"/>
      <c r="U247" s="510"/>
      <c r="V247" s="510"/>
      <c r="W247" s="510"/>
      <c r="X247" s="510"/>
      <c r="Y247" s="510"/>
      <c r="Z247" s="510"/>
      <c r="AA247" s="513"/>
      <c r="AB247" s="513"/>
      <c r="AC247" s="514"/>
      <c r="AD247" s="296"/>
      <c r="AE247" s="296"/>
      <c r="AF247" s="296"/>
      <c r="AG247" s="296"/>
      <c r="AH247" s="296"/>
      <c r="AI247" s="296"/>
      <c r="AJ247" s="296"/>
      <c r="AK247" s="296"/>
      <c r="AL247" s="296"/>
      <c r="AM247" s="296"/>
      <c r="AN247" s="296"/>
      <c r="AO247" s="296"/>
      <c r="AP247" s="267"/>
      <c r="AQ247" s="267"/>
      <c r="AR247" s="267"/>
      <c r="AS247" s="267"/>
      <c r="AT247" s="267"/>
    </row>
    <row r="248" spans="2:46" ht="15.75">
      <c r="B248" s="515">
        <f>+B247/30*7</f>
        <v>198.33333333333331</v>
      </c>
      <c r="C248" s="516" t="s">
        <v>68</v>
      </c>
      <c r="D248" s="517"/>
      <c r="E248" s="518"/>
      <c r="F248" s="519"/>
      <c r="G248" s="518"/>
      <c r="H248" s="518"/>
      <c r="I248" s="519"/>
      <c r="J248" s="518"/>
      <c r="K248" s="519"/>
      <c r="L248" s="519"/>
      <c r="M248" s="518"/>
      <c r="N248" s="518"/>
      <c r="O248" s="1159" t="s">
        <v>127</v>
      </c>
      <c r="P248" s="1159"/>
      <c r="Q248" s="1159"/>
      <c r="R248" s="1159"/>
      <c r="S248" s="1159"/>
      <c r="T248" s="1159"/>
      <c r="U248" s="1159"/>
      <c r="V248" s="1159"/>
      <c r="W248" s="1159"/>
      <c r="X248" s="1159"/>
      <c r="Y248" s="1159"/>
      <c r="Z248" s="1159"/>
      <c r="AA248" s="520"/>
      <c r="AB248" s="520"/>
      <c r="AC248" s="521"/>
      <c r="AD248" s="296"/>
      <c r="AE248" s="369"/>
      <c r="AF248" s="369"/>
      <c r="AG248" s="296"/>
      <c r="AH248" s="296"/>
      <c r="AI248" s="296"/>
      <c r="AJ248" s="369"/>
      <c r="AK248" s="369"/>
      <c r="AL248" s="296"/>
      <c r="AM248" s="296"/>
      <c r="AN248" s="296"/>
      <c r="AO248" s="296"/>
      <c r="AP248" s="267"/>
      <c r="AQ248" s="267"/>
      <c r="AR248" s="267"/>
      <c r="AS248" s="267"/>
      <c r="AT248" s="267"/>
    </row>
    <row r="249" spans="2:46">
      <c r="B249" s="515">
        <f>+B248-18</f>
        <v>180.33333333333331</v>
      </c>
      <c r="C249" s="516" t="s">
        <v>70</v>
      </c>
      <c r="D249" s="518"/>
      <c r="E249" s="518"/>
      <c r="F249" s="519"/>
      <c r="G249" s="518"/>
      <c r="H249" s="518"/>
      <c r="I249" s="519"/>
      <c r="J249" s="518"/>
      <c r="K249" s="519"/>
      <c r="L249" s="519"/>
      <c r="M249" s="518"/>
      <c r="N249" s="518"/>
      <c r="O249" s="1159">
        <f>+B247</f>
        <v>850</v>
      </c>
      <c r="P249" s="1159"/>
      <c r="Q249" s="1159" t="s">
        <v>71</v>
      </c>
      <c r="R249" s="1159"/>
      <c r="S249" s="1159"/>
      <c r="T249" s="1159"/>
      <c r="U249" s="1159"/>
      <c r="V249" s="1159"/>
      <c r="W249" s="1159"/>
      <c r="X249" s="1159"/>
      <c r="Y249" s="1159"/>
      <c r="Z249" s="1159"/>
      <c r="AA249" s="520" t="s">
        <v>72</v>
      </c>
      <c r="AB249" s="520"/>
      <c r="AC249" s="521"/>
      <c r="AD249" s="296"/>
      <c r="AE249" s="369"/>
      <c r="AF249" s="369"/>
      <c r="AG249" s="296"/>
      <c r="AH249" s="296"/>
      <c r="AI249" s="296"/>
      <c r="AJ249" s="369"/>
      <c r="AK249" s="369"/>
      <c r="AL249" s="296"/>
      <c r="AM249" s="296"/>
      <c r="AN249" s="296"/>
      <c r="AO249" s="296"/>
      <c r="AP249" s="267"/>
      <c r="AQ249" s="267"/>
      <c r="AR249" s="267"/>
      <c r="AS249" s="267"/>
      <c r="AT249" s="267"/>
    </row>
    <row r="250" spans="2:46">
      <c r="B250" s="522">
        <f>+B249/7</f>
        <v>25.761904761904759</v>
      </c>
      <c r="C250" s="523" t="s">
        <v>73</v>
      </c>
      <c r="D250" s="524"/>
      <c r="E250" s="518"/>
      <c r="F250" s="519"/>
      <c r="G250" s="518"/>
      <c r="H250" s="518"/>
      <c r="I250" s="519"/>
      <c r="J250" s="518"/>
      <c r="K250" s="519"/>
      <c r="L250" s="519"/>
      <c r="M250" s="518"/>
      <c r="N250" s="518"/>
      <c r="O250" s="1159">
        <f>+O249/30*7</f>
        <v>198.33333333333331</v>
      </c>
      <c r="P250" s="1159"/>
      <c r="Q250" s="1159" t="s">
        <v>74</v>
      </c>
      <c r="R250" s="1159"/>
      <c r="S250" s="1159"/>
      <c r="T250" s="1159"/>
      <c r="U250" s="1159"/>
      <c r="V250" s="1159"/>
      <c r="W250" s="1159"/>
      <c r="X250" s="1159"/>
      <c r="Y250" s="1159"/>
      <c r="Z250" s="1159"/>
      <c r="AA250" s="1166">
        <f>+O250*0.87</f>
        <v>172.54999999999998</v>
      </c>
      <c r="AB250" s="1166"/>
      <c r="AC250" s="521"/>
      <c r="AD250" s="296"/>
      <c r="AE250" s="384"/>
      <c r="AF250" s="384"/>
      <c r="AG250" s="296"/>
      <c r="AH250" s="296"/>
      <c r="AI250" s="296"/>
      <c r="AJ250" s="384"/>
      <c r="AK250" s="384"/>
      <c r="AL250" s="385"/>
      <c r="AM250" s="385"/>
      <c r="AN250" s="385"/>
      <c r="AO250" s="385"/>
      <c r="AP250" s="386"/>
      <c r="AQ250" s="386"/>
      <c r="AR250" s="267"/>
      <c r="AS250" s="267"/>
      <c r="AT250" s="267"/>
    </row>
    <row r="251" spans="2:46">
      <c r="B251" s="525"/>
      <c r="C251" s="518"/>
      <c r="D251" s="518"/>
      <c r="E251" s="518"/>
      <c r="F251" s="519"/>
      <c r="G251" s="518"/>
      <c r="H251" s="518"/>
      <c r="I251" s="519"/>
      <c r="J251" s="518"/>
      <c r="K251" s="519"/>
      <c r="L251" s="519"/>
      <c r="M251" s="518"/>
      <c r="N251" s="518"/>
      <c r="O251" s="1159">
        <f>+O250/7</f>
        <v>28.333333333333332</v>
      </c>
      <c r="P251" s="1159"/>
      <c r="Q251" s="1159" t="s">
        <v>75</v>
      </c>
      <c r="R251" s="1159"/>
      <c r="S251" s="1159"/>
      <c r="T251" s="1159"/>
      <c r="U251" s="1159"/>
      <c r="V251" s="1159"/>
      <c r="W251" s="1159"/>
      <c r="X251" s="1159"/>
      <c r="Y251" s="1159"/>
      <c r="Z251" s="1159"/>
      <c r="AA251" s="520"/>
      <c r="AB251" s="520"/>
      <c r="AC251" s="521"/>
      <c r="AD251" s="296"/>
      <c r="AE251" s="369"/>
      <c r="AF251" s="369"/>
      <c r="AG251" s="296"/>
      <c r="AH251" s="296"/>
      <c r="AI251" s="296"/>
      <c r="AJ251" s="369"/>
      <c r="AK251" s="369"/>
      <c r="AL251" s="387"/>
      <c r="AM251" s="387"/>
      <c r="AN251" s="385"/>
      <c r="AO251" s="385"/>
      <c r="AP251" s="386"/>
      <c r="AQ251" s="386"/>
      <c r="AR251" s="267"/>
      <c r="AS251" s="267"/>
      <c r="AT251" s="267"/>
    </row>
    <row r="252" spans="2:46" ht="15.75">
      <c r="B252" s="526">
        <f>+B250</f>
        <v>25.761904761904759</v>
      </c>
      <c r="C252" s="527" t="s">
        <v>128</v>
      </c>
      <c r="D252" s="528"/>
      <c r="E252" s="528"/>
      <c r="F252" s="528"/>
      <c r="G252" s="518"/>
      <c r="H252" s="518"/>
      <c r="I252" s="519"/>
      <c r="J252" s="518"/>
      <c r="K252" s="519"/>
      <c r="L252" s="519"/>
      <c r="M252" s="518"/>
      <c r="N252" s="518"/>
      <c r="O252" s="1159">
        <f>(O250-18)/7</f>
        <v>25.761904761904759</v>
      </c>
      <c r="P252" s="1159"/>
      <c r="Q252" s="1159" t="s">
        <v>77</v>
      </c>
      <c r="R252" s="1159"/>
      <c r="S252" s="1159"/>
      <c r="T252" s="1159"/>
      <c r="U252" s="1159"/>
      <c r="V252" s="1159"/>
      <c r="W252" s="1159"/>
      <c r="X252" s="1159"/>
      <c r="Y252" s="1159"/>
      <c r="Z252" s="1159"/>
      <c r="AA252" s="520"/>
      <c r="AB252" s="520"/>
      <c r="AC252" s="521"/>
      <c r="AD252" s="296"/>
      <c r="AE252" s="391"/>
      <c r="AF252" s="391"/>
      <c r="AG252" s="392"/>
      <c r="AH252" s="392"/>
      <c r="AI252" s="392"/>
      <c r="AJ252" s="391"/>
      <c r="AK252" s="391"/>
      <c r="AL252" s="385"/>
      <c r="AM252" s="385"/>
      <c r="AN252" s="385"/>
      <c r="AO252" s="385"/>
      <c r="AP252" s="386"/>
      <c r="AQ252" s="386"/>
      <c r="AR252" s="267"/>
      <c r="AS252" s="267"/>
      <c r="AT252" s="267"/>
    </row>
    <row r="253" spans="2:46">
      <c r="B253" s="515">
        <v>3</v>
      </c>
      <c r="C253" s="516" t="s">
        <v>78</v>
      </c>
      <c r="D253" s="518"/>
      <c r="E253" s="518"/>
      <c r="F253" s="519"/>
      <c r="G253" s="518"/>
      <c r="H253" s="518"/>
      <c r="I253" s="519"/>
      <c r="J253" s="518"/>
      <c r="K253" s="519"/>
      <c r="L253" s="519"/>
      <c r="M253" s="518"/>
      <c r="N253" s="518"/>
      <c r="O253" s="1159">
        <v>3</v>
      </c>
      <c r="P253" s="1159"/>
      <c r="Q253" s="1159" t="s">
        <v>79</v>
      </c>
      <c r="R253" s="1159"/>
      <c r="S253" s="1159"/>
      <c r="T253" s="1159"/>
      <c r="U253" s="1159"/>
      <c r="V253" s="1159"/>
      <c r="W253" s="1159"/>
      <c r="X253" s="1159"/>
      <c r="Y253" s="1159"/>
      <c r="Z253" s="1159"/>
      <c r="AA253" s="520"/>
      <c r="AB253" s="520"/>
      <c r="AC253" s="521"/>
      <c r="AD253" s="296"/>
      <c r="AE253" s="296"/>
      <c r="AF253" s="996">
        <v>993814365</v>
      </c>
      <c r="AG253" s="996"/>
      <c r="AH253" s="996"/>
      <c r="AI253" s="996"/>
      <c r="AJ253" s="996"/>
      <c r="AK253" s="296"/>
      <c r="AL253" s="385"/>
      <c r="AM253" s="385"/>
      <c r="AN253" s="385"/>
      <c r="AO253" s="385"/>
      <c r="AP253" s="386"/>
      <c r="AQ253" s="386"/>
      <c r="AR253" s="267"/>
      <c r="AS253" s="267"/>
      <c r="AT253" s="267"/>
    </row>
    <row r="254" spans="2:46">
      <c r="B254" s="522">
        <f>+B253+B252</f>
        <v>28.761904761904759</v>
      </c>
      <c r="C254" s="523" t="s">
        <v>80</v>
      </c>
      <c r="D254" s="529"/>
      <c r="E254" s="529"/>
      <c r="F254" s="530"/>
      <c r="G254" s="529"/>
      <c r="H254" s="529"/>
      <c r="I254" s="530"/>
      <c r="J254" s="529"/>
      <c r="K254" s="530"/>
      <c r="L254" s="530"/>
      <c r="M254" s="524"/>
      <c r="N254" s="518"/>
      <c r="O254" s="1159">
        <f>+O253+O252</f>
        <v>28.761904761904759</v>
      </c>
      <c r="P254" s="1159"/>
      <c r="Q254" s="518"/>
      <c r="R254" s="518"/>
      <c r="S254" s="518"/>
      <c r="T254" s="518"/>
      <c r="U254" s="518"/>
      <c r="V254" s="518"/>
      <c r="W254" s="518"/>
      <c r="X254" s="518"/>
      <c r="Y254" s="518"/>
      <c r="Z254" s="518"/>
      <c r="AA254" s="520"/>
      <c r="AB254" s="520"/>
      <c r="AC254" s="521"/>
      <c r="AD254" s="296"/>
      <c r="AE254" s="369"/>
      <c r="AF254" s="369"/>
      <c r="AG254" s="296"/>
      <c r="AH254" s="296"/>
      <c r="AI254" s="296"/>
      <c r="AJ254" s="369"/>
      <c r="AK254" s="369"/>
      <c r="AL254" s="387"/>
      <c r="AM254" s="387"/>
      <c r="AN254" s="387"/>
      <c r="AO254" s="387"/>
      <c r="AP254" s="397"/>
      <c r="AQ254" s="267"/>
      <c r="AR254" s="267"/>
      <c r="AS254" s="267"/>
      <c r="AT254" s="267"/>
    </row>
    <row r="255" spans="2:46">
      <c r="B255" s="515"/>
      <c r="C255" s="518"/>
      <c r="D255" s="518"/>
      <c r="E255" s="518"/>
      <c r="F255" s="519"/>
      <c r="G255" s="518"/>
      <c r="H255" s="518"/>
      <c r="I255" s="519"/>
      <c r="J255" s="518"/>
      <c r="K255" s="519"/>
      <c r="L255" s="519"/>
      <c r="M255" s="518"/>
      <c r="N255" s="518"/>
      <c r="O255" s="518"/>
      <c r="P255" s="518"/>
      <c r="Q255" s="518"/>
      <c r="R255" s="518"/>
      <c r="S255" s="518"/>
      <c r="T255" s="518"/>
      <c r="U255" s="518"/>
      <c r="V255" s="518"/>
      <c r="W255" s="518"/>
      <c r="X255" s="518"/>
      <c r="Y255" s="518"/>
      <c r="Z255" s="518"/>
      <c r="AA255" s="520"/>
      <c r="AB255" s="520"/>
      <c r="AC255" s="521"/>
      <c r="AD255" s="296"/>
      <c r="AE255" s="398"/>
      <c r="AF255" s="398"/>
      <c r="AG255" s="398"/>
      <c r="AH255" s="296"/>
      <c r="AI255" s="296"/>
      <c r="AJ255" s="398"/>
      <c r="AK255" s="398"/>
      <c r="AL255" s="385"/>
      <c r="AM255" s="296"/>
      <c r="AN255" s="296"/>
      <c r="AO255" s="296"/>
      <c r="AP255" s="267"/>
      <c r="AQ255" s="267"/>
      <c r="AR255" s="267"/>
      <c r="AS255" s="267"/>
      <c r="AT255" s="267"/>
    </row>
    <row r="256" spans="2:46">
      <c r="B256" s="515">
        <f>+B254*6</f>
        <v>172.57142857142856</v>
      </c>
      <c r="C256" s="516" t="s">
        <v>81</v>
      </c>
      <c r="D256" s="518"/>
      <c r="E256" s="518"/>
      <c r="F256" s="519"/>
      <c r="G256" s="518"/>
      <c r="H256" s="518"/>
      <c r="I256" s="519"/>
      <c r="J256" s="518"/>
      <c r="K256" s="519"/>
      <c r="L256" s="519"/>
      <c r="M256" s="518"/>
      <c r="N256" s="518"/>
      <c r="O256" s="1159" t="s">
        <v>129</v>
      </c>
      <c r="P256" s="1159"/>
      <c r="Q256" s="1159"/>
      <c r="R256" s="1159"/>
      <c r="S256" s="1159"/>
      <c r="T256" s="1159"/>
      <c r="U256" s="1159"/>
      <c r="V256" s="1159"/>
      <c r="W256" s="1159"/>
      <c r="X256" s="1159"/>
      <c r="Y256" s="1159"/>
      <c r="Z256" s="1159"/>
      <c r="AA256" s="520"/>
      <c r="AB256" s="520"/>
      <c r="AC256" s="521"/>
      <c r="AD256" s="296"/>
      <c r="AE256" s="296"/>
      <c r="AF256" s="296"/>
      <c r="AG256" s="296"/>
      <c r="AH256" s="296"/>
      <c r="AI256" s="385"/>
      <c r="AJ256" s="385"/>
      <c r="AK256" s="387"/>
      <c r="AL256" s="373"/>
      <c r="AM256" s="369"/>
      <c r="AN256" s="373"/>
      <c r="AO256" s="296"/>
      <c r="AP256" s="267"/>
      <c r="AQ256" s="267"/>
      <c r="AR256" s="267"/>
      <c r="AS256" s="267"/>
      <c r="AT256" s="267"/>
    </row>
    <row r="257" spans="2:41">
      <c r="B257" s="531">
        <f>+B252</f>
        <v>25.761904761904759</v>
      </c>
      <c r="C257" s="532" t="s">
        <v>83</v>
      </c>
      <c r="D257" s="533"/>
      <c r="E257" s="533"/>
      <c r="F257" s="534"/>
      <c r="G257" s="533"/>
      <c r="H257" s="533"/>
      <c r="I257" s="534"/>
      <c r="J257" s="533"/>
      <c r="K257" s="534"/>
      <c r="L257" s="519"/>
      <c r="M257" s="518"/>
      <c r="N257" s="518"/>
      <c r="O257" s="1159">
        <f>+O249*1.1</f>
        <v>935.00000000000011</v>
      </c>
      <c r="P257" s="1159"/>
      <c r="Q257" s="1159" t="s">
        <v>71</v>
      </c>
      <c r="R257" s="1159"/>
      <c r="S257" s="1159"/>
      <c r="T257" s="1159"/>
      <c r="U257" s="1159"/>
      <c r="V257" s="1159"/>
      <c r="W257" s="1159"/>
      <c r="X257" s="1159"/>
      <c r="Y257" s="1159"/>
      <c r="Z257" s="1159"/>
      <c r="AA257" s="520" t="s">
        <v>84</v>
      </c>
      <c r="AB257" s="520"/>
      <c r="AC257" s="521"/>
      <c r="AG257" s="267"/>
      <c r="AH257" s="267"/>
      <c r="AI257" s="386"/>
      <c r="AJ257" s="386"/>
      <c r="AK257" s="386"/>
      <c r="AL257" s="267"/>
      <c r="AM257" s="267"/>
      <c r="AN257" s="267"/>
      <c r="AO257" s="267"/>
    </row>
    <row r="258" spans="2:41">
      <c r="B258" s="522">
        <f>+B257+B256</f>
        <v>198.33333333333331</v>
      </c>
      <c r="C258" s="523" t="s">
        <v>85</v>
      </c>
      <c r="D258" s="529"/>
      <c r="E258" s="529"/>
      <c r="F258" s="530"/>
      <c r="G258" s="529"/>
      <c r="H258" s="529"/>
      <c r="I258" s="530"/>
      <c r="J258" s="529"/>
      <c r="K258" s="535"/>
      <c r="L258" s="519"/>
      <c r="M258" s="518"/>
      <c r="N258" s="518"/>
      <c r="O258" s="1159">
        <f>+O257/30*7</f>
        <v>218.16666666666669</v>
      </c>
      <c r="P258" s="1159"/>
      <c r="Q258" s="1159" t="s">
        <v>74</v>
      </c>
      <c r="R258" s="1159"/>
      <c r="S258" s="1159"/>
      <c r="T258" s="1159"/>
      <c r="U258" s="1159"/>
      <c r="V258" s="1159"/>
      <c r="W258" s="1159"/>
      <c r="X258" s="1159"/>
      <c r="Y258" s="1159"/>
      <c r="Z258" s="1159"/>
      <c r="AA258" s="1166">
        <f>+O258*0.87</f>
        <v>189.80500000000001</v>
      </c>
      <c r="AB258" s="1166"/>
      <c r="AC258" s="521"/>
      <c r="AG258" s="267"/>
      <c r="AH258" s="267"/>
      <c r="AI258" s="386"/>
      <c r="AJ258" s="386"/>
      <c r="AK258" s="407"/>
      <c r="AL258" s="267"/>
      <c r="AM258" s="267"/>
      <c r="AN258" s="267"/>
      <c r="AO258" s="267"/>
    </row>
    <row r="259" spans="2:41">
      <c r="B259" s="515"/>
      <c r="C259" s="516"/>
      <c r="D259" s="518"/>
      <c r="E259" s="518"/>
      <c r="F259" s="519"/>
      <c r="G259" s="518"/>
      <c r="H259" s="518"/>
      <c r="I259" s="519"/>
      <c r="J259" s="518"/>
      <c r="K259" s="519"/>
      <c r="L259" s="519"/>
      <c r="M259" s="518"/>
      <c r="N259" s="518"/>
      <c r="O259" s="1159">
        <f>+O258/7</f>
        <v>31.166666666666668</v>
      </c>
      <c r="P259" s="1159"/>
      <c r="Q259" s="1159" t="s">
        <v>75</v>
      </c>
      <c r="R259" s="1159"/>
      <c r="S259" s="1159"/>
      <c r="T259" s="1159"/>
      <c r="U259" s="1159"/>
      <c r="V259" s="1159"/>
      <c r="W259" s="1159"/>
      <c r="X259" s="1159"/>
      <c r="Y259" s="1159"/>
      <c r="Z259" s="1159"/>
      <c r="AA259" s="520"/>
      <c r="AB259" s="520"/>
      <c r="AC259" s="521"/>
      <c r="AG259" s="267"/>
      <c r="AH259" s="267"/>
      <c r="AI259" s="412"/>
      <c r="AJ259" s="413"/>
      <c r="AK259" s="407"/>
      <c r="AL259" s="267"/>
      <c r="AM259" s="267"/>
      <c r="AN259" s="267"/>
      <c r="AO259" s="267"/>
    </row>
    <row r="260" spans="2:41">
      <c r="B260" s="536">
        <f>+B258/7</f>
        <v>28.333333333333332</v>
      </c>
      <c r="C260" s="537" t="s">
        <v>86</v>
      </c>
      <c r="D260" s="518"/>
      <c r="E260" s="518"/>
      <c r="F260" s="519"/>
      <c r="G260" s="518"/>
      <c r="H260" s="518"/>
      <c r="I260" s="519"/>
      <c r="J260" s="518"/>
      <c r="K260" s="519"/>
      <c r="L260" s="519"/>
      <c r="M260" s="518"/>
      <c r="N260" s="518"/>
      <c r="O260" s="1159">
        <f>(O258-18)/7</f>
        <v>28.595238095238098</v>
      </c>
      <c r="P260" s="1159"/>
      <c r="Q260" s="1159" t="s">
        <v>77</v>
      </c>
      <c r="R260" s="1159"/>
      <c r="S260" s="1159"/>
      <c r="T260" s="1159"/>
      <c r="U260" s="1159"/>
      <c r="V260" s="1159"/>
      <c r="W260" s="1159"/>
      <c r="X260" s="1159"/>
      <c r="Y260" s="1159"/>
      <c r="Z260" s="1159"/>
      <c r="AA260" s="520"/>
      <c r="AB260" s="520"/>
      <c r="AC260" s="521"/>
      <c r="AG260" s="267"/>
      <c r="AH260" s="267"/>
      <c r="AI260" s="267"/>
      <c r="AJ260" s="267"/>
      <c r="AK260" s="407"/>
      <c r="AL260" s="267"/>
      <c r="AM260" s="267"/>
      <c r="AN260" s="267"/>
      <c r="AO260" s="267"/>
    </row>
    <row r="261" spans="2:41">
      <c r="B261" s="515"/>
      <c r="C261" s="516"/>
      <c r="D261" s="518"/>
      <c r="E261" s="518"/>
      <c r="F261" s="519"/>
      <c r="G261" s="518"/>
      <c r="H261" s="518"/>
      <c r="I261" s="519"/>
      <c r="J261" s="518"/>
      <c r="K261" s="519"/>
      <c r="L261" s="519"/>
      <c r="M261" s="518"/>
      <c r="N261" s="518"/>
      <c r="O261" s="1159">
        <v>3</v>
      </c>
      <c r="P261" s="1159"/>
      <c r="Q261" s="1159" t="s">
        <v>79</v>
      </c>
      <c r="R261" s="1159"/>
      <c r="S261" s="1159"/>
      <c r="T261" s="1159"/>
      <c r="U261" s="1159"/>
      <c r="V261" s="1159"/>
      <c r="W261" s="1159"/>
      <c r="X261" s="1159"/>
      <c r="Y261" s="1159"/>
      <c r="Z261" s="1159"/>
      <c r="AA261" s="520"/>
      <c r="AB261" s="520"/>
      <c r="AC261" s="521"/>
      <c r="AG261" s="267"/>
      <c r="AH261" s="267"/>
      <c r="AI261" s="267"/>
      <c r="AJ261" s="267"/>
      <c r="AK261" s="267"/>
      <c r="AL261" s="267"/>
      <c r="AM261" s="267"/>
      <c r="AN261" s="267"/>
      <c r="AO261" s="267"/>
    </row>
    <row r="262" spans="2:41" ht="15.75" thickBot="1">
      <c r="B262" s="538"/>
      <c r="C262" s="539"/>
      <c r="D262" s="540"/>
      <c r="E262" s="540"/>
      <c r="F262" s="541"/>
      <c r="G262" s="540"/>
      <c r="H262" s="540"/>
      <c r="I262" s="541"/>
      <c r="J262" s="540"/>
      <c r="K262" s="541"/>
      <c r="L262" s="541"/>
      <c r="M262" s="540"/>
      <c r="N262" s="540"/>
      <c r="O262" s="1167">
        <f>+O261+O260</f>
        <v>31.595238095238098</v>
      </c>
      <c r="P262" s="1167"/>
      <c r="Q262" s="540"/>
      <c r="R262" s="540"/>
      <c r="S262" s="540"/>
      <c r="T262" s="540"/>
      <c r="U262" s="540"/>
      <c r="V262" s="540"/>
      <c r="W262" s="540"/>
      <c r="X262" s="540"/>
      <c r="Y262" s="540"/>
      <c r="Z262" s="540"/>
      <c r="AA262" s="542"/>
      <c r="AB262" s="542"/>
      <c r="AC262" s="543"/>
      <c r="AG262" s="267"/>
      <c r="AH262" s="267"/>
      <c r="AI262" s="267"/>
      <c r="AJ262" s="267"/>
      <c r="AK262" s="267"/>
      <c r="AL262" s="267"/>
      <c r="AM262" s="267"/>
      <c r="AN262" s="267"/>
      <c r="AO262" s="267"/>
    </row>
    <row r="263" spans="2:41">
      <c r="B263" s="168"/>
      <c r="AG263" s="267"/>
      <c r="AH263" s="267"/>
      <c r="AI263" s="267"/>
      <c r="AJ263" s="267"/>
      <c r="AK263" s="267"/>
      <c r="AL263" s="267"/>
      <c r="AM263" s="267"/>
      <c r="AN263" s="267"/>
      <c r="AO263" s="267"/>
    </row>
    <row r="264" spans="2:41" ht="15.75" thickBot="1">
      <c r="AE264" s="376"/>
      <c r="AF264" s="376"/>
      <c r="AJ264" s="376"/>
      <c r="AK264" s="376"/>
    </row>
    <row r="265" spans="2:41">
      <c r="C265" s="484"/>
      <c r="D265" s="485"/>
      <c r="E265" s="486"/>
      <c r="F265" s="487"/>
      <c r="G265" s="485"/>
      <c r="H265" s="485"/>
      <c r="I265" s="487"/>
      <c r="J265" s="485"/>
      <c r="K265" s="488"/>
      <c r="L265" s="488"/>
      <c r="M265" s="485"/>
      <c r="N265" s="485"/>
      <c r="O265" s="485"/>
      <c r="P265" s="485"/>
      <c r="Q265" s="485"/>
      <c r="R265" s="485"/>
      <c r="S265" s="485"/>
      <c r="T265" s="485"/>
      <c r="U265" s="485"/>
      <c r="V265" s="485"/>
      <c r="W265" s="485"/>
      <c r="X265" s="485"/>
      <c r="Y265" s="485"/>
      <c r="Z265" s="485"/>
      <c r="AA265" s="489"/>
      <c r="AB265" s="489"/>
      <c r="AC265" s="489"/>
      <c r="AD265" s="489"/>
      <c r="AE265" s="490"/>
      <c r="AF265" s="490"/>
      <c r="AG265" s="491"/>
      <c r="AJ265" s="376"/>
      <c r="AK265" s="376"/>
    </row>
    <row r="266" spans="2:41" ht="18">
      <c r="C266" s="492"/>
      <c r="D266" s="333"/>
      <c r="E266" s="493" t="s">
        <v>130</v>
      </c>
      <c r="F266" s="411"/>
      <c r="G266" s="333"/>
      <c r="H266" s="333"/>
      <c r="I266" s="411"/>
      <c r="J266" s="333"/>
      <c r="K266" s="405"/>
      <c r="L266" s="405"/>
      <c r="M266" s="333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  <c r="AA266" s="167"/>
      <c r="AB266" s="167"/>
      <c r="AC266" s="167"/>
      <c r="AD266" s="167"/>
      <c r="AE266" s="376"/>
      <c r="AF266" s="376"/>
      <c r="AG266" s="494"/>
      <c r="AJ266" s="376"/>
      <c r="AK266" s="376"/>
    </row>
    <row r="267" spans="2:41">
      <c r="C267" s="492"/>
      <c r="D267" s="333"/>
      <c r="E267" s="410"/>
      <c r="F267" s="411"/>
      <c r="G267" s="333"/>
      <c r="H267" s="333"/>
      <c r="I267" s="411"/>
      <c r="J267" s="333"/>
      <c r="K267" s="405"/>
      <c r="L267" s="405"/>
      <c r="M267" s="333"/>
      <c r="N267" s="333"/>
      <c r="O267" s="333"/>
      <c r="P267" s="333"/>
      <c r="Q267" s="333"/>
      <c r="R267" s="333"/>
      <c r="S267" s="333"/>
      <c r="T267" s="333"/>
      <c r="U267" s="333"/>
      <c r="V267" s="333"/>
      <c r="W267" s="333"/>
      <c r="X267" s="333"/>
      <c r="Y267" s="333"/>
      <c r="Z267" s="333"/>
      <c r="AA267" s="1168" t="s">
        <v>106</v>
      </c>
      <c r="AB267" s="1169"/>
      <c r="AC267" s="1170"/>
      <c r="AD267" s="1115" t="s">
        <v>131</v>
      </c>
      <c r="AE267" s="1116"/>
      <c r="AF267" s="1117"/>
      <c r="AG267" s="494"/>
      <c r="AH267" s="167"/>
      <c r="AI267" s="167"/>
      <c r="AJ267" s="376"/>
      <c r="AK267" s="376"/>
    </row>
    <row r="268" spans="2:41" ht="16.5" thickBot="1">
      <c r="C268" s="492"/>
      <c r="D268" s="1118" t="s">
        <v>108</v>
      </c>
      <c r="E268" s="1118"/>
      <c r="F268" s="1118"/>
      <c r="G268" s="1118"/>
      <c r="H268" s="1118"/>
      <c r="I268" s="1119" t="s">
        <v>109</v>
      </c>
      <c r="J268" s="1119"/>
      <c r="K268" s="1119"/>
      <c r="L268" s="1120" t="s">
        <v>110</v>
      </c>
      <c r="M268" s="1120"/>
      <c r="N268" s="1120"/>
      <c r="O268" s="1120" t="s">
        <v>111</v>
      </c>
      <c r="P268" s="1120"/>
      <c r="Q268" s="1120"/>
      <c r="R268" s="1171" t="s">
        <v>132</v>
      </c>
      <c r="S268" s="1171"/>
      <c r="T268" s="1171"/>
      <c r="U268" s="1120" t="s">
        <v>113</v>
      </c>
      <c r="V268" s="1120"/>
      <c r="W268" s="1122"/>
      <c r="X268" s="1123" t="s">
        <v>114</v>
      </c>
      <c r="Y268" s="1124"/>
      <c r="Z268" s="1125"/>
      <c r="AA268" s="1172" t="s">
        <v>133</v>
      </c>
      <c r="AB268" s="1172"/>
      <c r="AC268" s="1173"/>
      <c r="AD268" s="1128" t="s">
        <v>133</v>
      </c>
      <c r="AE268" s="1129"/>
      <c r="AF268" s="1130"/>
      <c r="AG268" s="494"/>
      <c r="AH268" s="167"/>
      <c r="AI268" s="167"/>
      <c r="AJ268" s="376"/>
      <c r="AK268" s="376"/>
    </row>
    <row r="269" spans="2:41" ht="19.5" thickTop="1">
      <c r="C269" s="495">
        <v>1</v>
      </c>
      <c r="D269" s="1131" t="s">
        <v>119</v>
      </c>
      <c r="E269" s="1131"/>
      <c r="F269" s="1131"/>
      <c r="G269" s="1131"/>
      <c r="H269" s="1131"/>
      <c r="I269" s="1174">
        <v>38.5</v>
      </c>
      <c r="J269" s="1174"/>
      <c r="K269" s="1174"/>
      <c r="L269" s="1133">
        <v>1</v>
      </c>
      <c r="M269" s="1133"/>
      <c r="N269" s="1133"/>
      <c r="O269" s="1133">
        <v>2</v>
      </c>
      <c r="P269" s="1133"/>
      <c r="Q269" s="1133"/>
      <c r="R269" s="1175">
        <f t="shared" ref="R269:R275" si="85">+I269+L269+O269</f>
        <v>41.5</v>
      </c>
      <c r="S269" s="1175"/>
      <c r="T269" s="1175"/>
      <c r="U269" s="1135">
        <f t="shared" ref="U269:U275" si="86">+I269*7+(L269+O269)*6</f>
        <v>287.5</v>
      </c>
      <c r="V269" s="1135"/>
      <c r="W269" s="1136"/>
      <c r="X269" s="1137">
        <f t="shared" ref="X269:X275" si="87">+U269/7*30</f>
        <v>1232.1428571428571</v>
      </c>
      <c r="Y269" s="1138"/>
      <c r="Z269" s="1139"/>
      <c r="AA269" s="1176">
        <v>37.571399999999997</v>
      </c>
      <c r="AB269" s="1177"/>
      <c r="AC269" s="1177"/>
      <c r="AD269" s="1178">
        <f t="shared" ref="AD269:AD275" si="88">+AA269*30</f>
        <v>1127.1419999999998</v>
      </c>
      <c r="AE269" s="1178"/>
      <c r="AF269" s="1178"/>
      <c r="AG269" s="494"/>
      <c r="AH269" s="167" t="s">
        <v>134</v>
      </c>
      <c r="AI269" s="1149" t="s">
        <v>135</v>
      </c>
      <c r="AJ269" s="1179"/>
      <c r="AK269" s="1179"/>
      <c r="AL269" s="1179"/>
      <c r="AM269" s="1180"/>
    </row>
    <row r="270" spans="2:41" ht="17.25">
      <c r="C270" s="495">
        <v>2</v>
      </c>
      <c r="D270" s="1144" t="s">
        <v>120</v>
      </c>
      <c r="E270" s="1144"/>
      <c r="F270" s="1144"/>
      <c r="G270" s="1144"/>
      <c r="H270" s="1144"/>
      <c r="I270" s="1165">
        <v>38.5</v>
      </c>
      <c r="J270" s="1165"/>
      <c r="K270" s="1165"/>
      <c r="L270" s="1146">
        <v>1</v>
      </c>
      <c r="M270" s="1146"/>
      <c r="N270" s="1146"/>
      <c r="O270" s="1146">
        <v>2</v>
      </c>
      <c r="P270" s="1146"/>
      <c r="Q270" s="1146"/>
      <c r="R270" s="1160">
        <f t="shared" si="85"/>
        <v>41.5</v>
      </c>
      <c r="S270" s="1160"/>
      <c r="T270" s="1160"/>
      <c r="U270" s="1148">
        <f t="shared" si="86"/>
        <v>287.5</v>
      </c>
      <c r="V270" s="1148"/>
      <c r="W270" s="1149"/>
      <c r="X270" s="1150">
        <f t="shared" si="87"/>
        <v>1232.1428571428571</v>
      </c>
      <c r="Y270" s="1151"/>
      <c r="Z270" s="1152"/>
      <c r="AA270" s="1181">
        <v>35.571399999999997</v>
      </c>
      <c r="AB270" s="1182"/>
      <c r="AC270" s="1182"/>
      <c r="AD270" s="1183">
        <f t="shared" si="88"/>
        <v>1067.1419999999998</v>
      </c>
      <c r="AE270" s="1183"/>
      <c r="AF270" s="1183"/>
      <c r="AG270" s="494"/>
      <c r="AH270" s="167"/>
      <c r="AI270" s="167"/>
      <c r="AJ270" s="376"/>
      <c r="AK270" s="376"/>
    </row>
    <row r="271" spans="2:41" ht="17.25">
      <c r="C271" s="495">
        <v>3</v>
      </c>
      <c r="D271" s="1144" t="s">
        <v>118</v>
      </c>
      <c r="E271" s="1144"/>
      <c r="F271" s="1144"/>
      <c r="G271" s="1144"/>
      <c r="H271" s="1144"/>
      <c r="I271" s="1165">
        <v>38.5</v>
      </c>
      <c r="J271" s="1165"/>
      <c r="K271" s="1165"/>
      <c r="L271" s="1146">
        <v>1</v>
      </c>
      <c r="M271" s="1146"/>
      <c r="N271" s="1146"/>
      <c r="O271" s="1146">
        <v>2</v>
      </c>
      <c r="P271" s="1146"/>
      <c r="Q271" s="1146"/>
      <c r="R271" s="1160">
        <f t="shared" si="85"/>
        <v>41.5</v>
      </c>
      <c r="S271" s="1160"/>
      <c r="T271" s="1160"/>
      <c r="U271" s="1148">
        <f t="shared" si="86"/>
        <v>287.5</v>
      </c>
      <c r="V271" s="1148"/>
      <c r="W271" s="1149"/>
      <c r="X271" s="1150">
        <f t="shared" si="87"/>
        <v>1232.1428571428571</v>
      </c>
      <c r="Y271" s="1151"/>
      <c r="Z271" s="1152"/>
      <c r="AA271" s="1181">
        <v>32.571399999999997</v>
      </c>
      <c r="AB271" s="1182"/>
      <c r="AC271" s="1182"/>
      <c r="AD271" s="1183">
        <f t="shared" si="88"/>
        <v>977.14199999999994</v>
      </c>
      <c r="AE271" s="1183"/>
      <c r="AF271" s="1183"/>
      <c r="AG271" s="494"/>
      <c r="AH271" s="167"/>
      <c r="AI271" s="167"/>
      <c r="AJ271" s="376"/>
      <c r="AK271" s="376"/>
    </row>
    <row r="272" spans="2:41" ht="17.25">
      <c r="C272" s="495">
        <v>4</v>
      </c>
      <c r="D272" s="1144" t="s">
        <v>136</v>
      </c>
      <c r="E272" s="1144"/>
      <c r="F272" s="1144"/>
      <c r="G272" s="1144"/>
      <c r="H272" s="1144"/>
      <c r="I272" s="1165">
        <v>35</v>
      </c>
      <c r="J272" s="1165"/>
      <c r="K272" s="1165"/>
      <c r="L272" s="1146">
        <v>1</v>
      </c>
      <c r="M272" s="1146"/>
      <c r="N272" s="1146"/>
      <c r="O272" s="1146">
        <v>2</v>
      </c>
      <c r="P272" s="1146"/>
      <c r="Q272" s="1146"/>
      <c r="R272" s="1160">
        <f t="shared" si="85"/>
        <v>38</v>
      </c>
      <c r="S272" s="1160"/>
      <c r="T272" s="1160"/>
      <c r="U272" s="1148">
        <f t="shared" si="86"/>
        <v>263</v>
      </c>
      <c r="V272" s="1148"/>
      <c r="W272" s="1149"/>
      <c r="X272" s="1150">
        <f t="shared" si="87"/>
        <v>1127.1428571428571</v>
      </c>
      <c r="Y272" s="1151"/>
      <c r="Z272" s="1152"/>
      <c r="AA272" s="1181">
        <v>35.321399999999997</v>
      </c>
      <c r="AB272" s="1182"/>
      <c r="AC272" s="1182"/>
      <c r="AD272" s="1183">
        <f t="shared" si="88"/>
        <v>1059.6419999999998</v>
      </c>
      <c r="AE272" s="1183"/>
      <c r="AF272" s="1183"/>
      <c r="AG272" s="494"/>
      <c r="AH272" s="167"/>
      <c r="AI272" s="167"/>
      <c r="AJ272" s="376"/>
      <c r="AK272" s="376"/>
    </row>
    <row r="273" spans="3:41" ht="17.25">
      <c r="C273" s="495">
        <v>5</v>
      </c>
      <c r="D273" s="1144" t="s">
        <v>137</v>
      </c>
      <c r="E273" s="1144"/>
      <c r="F273" s="1144"/>
      <c r="G273" s="1144"/>
      <c r="H273" s="1144"/>
      <c r="I273" s="1165">
        <v>33.799999999999997</v>
      </c>
      <c r="J273" s="1165"/>
      <c r="K273" s="1165"/>
      <c r="L273" s="1146">
        <v>1</v>
      </c>
      <c r="M273" s="1146"/>
      <c r="N273" s="1146"/>
      <c r="O273" s="1146">
        <v>2</v>
      </c>
      <c r="P273" s="1146"/>
      <c r="Q273" s="1146"/>
      <c r="R273" s="1160">
        <f t="shared" si="85"/>
        <v>36.799999999999997</v>
      </c>
      <c r="S273" s="1160"/>
      <c r="T273" s="1160"/>
      <c r="U273" s="1148">
        <f t="shared" si="86"/>
        <v>254.59999999999997</v>
      </c>
      <c r="V273" s="1148"/>
      <c r="W273" s="1149"/>
      <c r="X273" s="1150">
        <f t="shared" si="87"/>
        <v>1091.1428571428569</v>
      </c>
      <c r="Y273" s="1151"/>
      <c r="Z273" s="1152"/>
      <c r="AA273" s="1181">
        <v>31.571400000000001</v>
      </c>
      <c r="AB273" s="1182"/>
      <c r="AC273" s="1182"/>
      <c r="AD273" s="1183">
        <f t="shared" si="88"/>
        <v>947.14200000000005</v>
      </c>
      <c r="AE273" s="1183"/>
      <c r="AF273" s="1183"/>
      <c r="AG273" s="494"/>
      <c r="AH273" s="167"/>
      <c r="AI273" s="167"/>
      <c r="AJ273" s="376"/>
      <c r="AK273" s="376"/>
    </row>
    <row r="274" spans="3:41" ht="17.25">
      <c r="C274" s="495">
        <v>6</v>
      </c>
      <c r="D274" s="1144" t="s">
        <v>138</v>
      </c>
      <c r="E274" s="1144"/>
      <c r="F274" s="1144"/>
      <c r="G274" s="1144"/>
      <c r="H274" s="1144"/>
      <c r="I274" s="1165">
        <v>33.799999999999997</v>
      </c>
      <c r="J274" s="1165"/>
      <c r="K274" s="1165"/>
      <c r="L274" s="1146">
        <v>1</v>
      </c>
      <c r="M274" s="1146"/>
      <c r="N274" s="1146"/>
      <c r="O274" s="1146">
        <v>2</v>
      </c>
      <c r="P274" s="1146"/>
      <c r="Q274" s="1146"/>
      <c r="R274" s="1160">
        <f t="shared" si="85"/>
        <v>36.799999999999997</v>
      </c>
      <c r="S274" s="1160"/>
      <c r="T274" s="1160"/>
      <c r="U274" s="1148">
        <f t="shared" si="86"/>
        <v>254.59999999999997</v>
      </c>
      <c r="V274" s="1148"/>
      <c r="W274" s="1149"/>
      <c r="X274" s="1150">
        <f t="shared" si="87"/>
        <v>1091.1428571428569</v>
      </c>
      <c r="Y274" s="1151"/>
      <c r="Z274" s="1152"/>
      <c r="AA274" s="1181">
        <v>33.333300000000001</v>
      </c>
      <c r="AB274" s="1182"/>
      <c r="AC274" s="1182"/>
      <c r="AD274" s="1183">
        <f t="shared" si="88"/>
        <v>999.99900000000002</v>
      </c>
      <c r="AE274" s="1183"/>
      <c r="AF274" s="1183"/>
      <c r="AG274" s="494"/>
      <c r="AH274" s="167"/>
      <c r="AI274" s="167"/>
      <c r="AJ274" s="376"/>
      <c r="AK274" s="376"/>
    </row>
    <row r="275" spans="3:41" ht="17.25">
      <c r="C275" s="495">
        <v>7</v>
      </c>
      <c r="D275" s="1144" t="s">
        <v>139</v>
      </c>
      <c r="E275" s="1144"/>
      <c r="F275" s="1144"/>
      <c r="G275" s="1144"/>
      <c r="H275" s="1144"/>
      <c r="I275" s="1165">
        <v>26</v>
      </c>
      <c r="J275" s="1165"/>
      <c r="K275" s="1165"/>
      <c r="L275" s="1146">
        <v>1</v>
      </c>
      <c r="M275" s="1146"/>
      <c r="N275" s="1146"/>
      <c r="O275" s="1146">
        <v>2</v>
      </c>
      <c r="P275" s="1146"/>
      <c r="Q275" s="1146"/>
      <c r="R275" s="1160">
        <f t="shared" si="85"/>
        <v>29</v>
      </c>
      <c r="S275" s="1160"/>
      <c r="T275" s="1160"/>
      <c r="U275" s="1148">
        <f t="shared" si="86"/>
        <v>200</v>
      </c>
      <c r="V275" s="1148"/>
      <c r="W275" s="1149"/>
      <c r="X275" s="1150">
        <f t="shared" si="87"/>
        <v>857.14285714285722</v>
      </c>
      <c r="Y275" s="1151"/>
      <c r="Z275" s="1152"/>
      <c r="AA275" s="1181">
        <v>25</v>
      </c>
      <c r="AB275" s="1182"/>
      <c r="AC275" s="1182"/>
      <c r="AD275" s="1183">
        <f t="shared" si="88"/>
        <v>750</v>
      </c>
      <c r="AE275" s="1183"/>
      <c r="AF275" s="1183"/>
      <c r="AG275" s="494"/>
      <c r="AH275" s="167"/>
      <c r="AI275" s="167"/>
      <c r="AJ275" s="376"/>
      <c r="AK275" s="376"/>
    </row>
    <row r="276" spans="3:41" ht="17.25">
      <c r="C276" s="492"/>
      <c r="D276" s="409"/>
      <c r="E276" s="410"/>
      <c r="F276" s="411"/>
      <c r="G276" s="333"/>
      <c r="H276" s="333"/>
      <c r="I276" s="411"/>
      <c r="J276" s="333"/>
      <c r="K276" s="405"/>
      <c r="L276" s="405"/>
      <c r="M276" s="333"/>
      <c r="N276" s="333"/>
      <c r="O276" s="333"/>
      <c r="P276" s="333"/>
      <c r="Q276" s="333"/>
      <c r="R276" s="333"/>
      <c r="S276" s="1160" t="s">
        <v>23</v>
      </c>
      <c r="T276" s="1160"/>
      <c r="U276" s="1160"/>
      <c r="V276" s="333"/>
      <c r="W276" s="333"/>
      <c r="X276" s="1161">
        <f>SUM(X269:Z275)</f>
        <v>7862.9999999999991</v>
      </c>
      <c r="Y276" s="1162"/>
      <c r="Z276" s="1163"/>
      <c r="AA276" s="496"/>
      <c r="AB276" s="496"/>
      <c r="AC276" s="496"/>
      <c r="AD276" s="1184">
        <f>SUM(AD269:AF275)</f>
        <v>6928.2089999999989</v>
      </c>
      <c r="AE276" s="1184"/>
      <c r="AF276" s="1184"/>
      <c r="AG276" s="494"/>
      <c r="AH276" s="167"/>
      <c r="AI276" s="167"/>
      <c r="AJ276" s="376"/>
      <c r="AK276" s="376"/>
    </row>
    <row r="277" spans="3:41" ht="15.75" thickBot="1">
      <c r="C277" s="492"/>
      <c r="D277" s="333"/>
      <c r="E277" s="410"/>
      <c r="F277" s="411"/>
      <c r="G277" s="333"/>
      <c r="H277" s="333"/>
      <c r="I277" s="411"/>
      <c r="J277" s="333"/>
      <c r="K277" s="405"/>
      <c r="L277" s="405"/>
      <c r="M277" s="333"/>
      <c r="N277" s="333"/>
      <c r="O277" s="333"/>
      <c r="P277" s="333"/>
      <c r="Q277" s="333"/>
      <c r="R277" s="333"/>
      <c r="S277" s="333"/>
      <c r="T277" s="333"/>
      <c r="U277" s="333"/>
      <c r="V277" s="333"/>
      <c r="W277" s="333"/>
      <c r="X277" s="333"/>
      <c r="Y277" s="333"/>
      <c r="Z277" s="333"/>
      <c r="AA277" s="167"/>
      <c r="AB277" s="167"/>
      <c r="AC277" s="167"/>
      <c r="AD277" s="167"/>
      <c r="AE277" s="376"/>
      <c r="AF277" s="376"/>
      <c r="AG277" s="494"/>
      <c r="AH277" s="167"/>
      <c r="AI277" s="167"/>
      <c r="AJ277" s="376"/>
      <c r="AK277" s="376"/>
    </row>
    <row r="278" spans="3:41" ht="15.75" thickBot="1">
      <c r="C278" s="492"/>
      <c r="D278" s="333"/>
      <c r="E278" s="410"/>
      <c r="F278" s="411"/>
      <c r="G278" s="333"/>
      <c r="H278" s="333"/>
      <c r="I278" s="411"/>
      <c r="J278" s="333"/>
      <c r="K278" s="405"/>
      <c r="L278" s="1185" t="s">
        <v>140</v>
      </c>
      <c r="M278" s="1185"/>
      <c r="N278" s="1185"/>
      <c r="O278" s="333"/>
      <c r="P278" s="333"/>
      <c r="Q278" s="333"/>
      <c r="R278" s="333"/>
      <c r="S278" s="333"/>
      <c r="T278" s="499" t="s">
        <v>141</v>
      </c>
      <c r="U278" s="333"/>
      <c r="V278" s="333"/>
      <c r="W278" s="333"/>
      <c r="X278" s="333"/>
      <c r="Y278" s="333"/>
      <c r="Z278" s="333"/>
      <c r="AA278" s="167"/>
      <c r="AB278" s="167"/>
      <c r="AC278" s="167"/>
      <c r="AD278" s="1156">
        <f>+X276-AD276+0.01</f>
        <v>934.80100000000016</v>
      </c>
      <c r="AE278" s="1157"/>
      <c r="AF278" s="1158"/>
      <c r="AG278" s="494"/>
      <c r="AH278" s="167"/>
      <c r="AI278" s="167"/>
      <c r="AJ278" s="376"/>
      <c r="AK278" s="376"/>
    </row>
    <row r="279" spans="3:41" ht="15.75" thickBot="1">
      <c r="C279" s="500"/>
      <c r="D279" s="501"/>
      <c r="E279" s="502"/>
      <c r="F279" s="503"/>
      <c r="G279" s="501"/>
      <c r="H279" s="501"/>
      <c r="I279" s="503"/>
      <c r="J279" s="501"/>
      <c r="K279" s="504"/>
      <c r="L279" s="504"/>
      <c r="M279" s="501"/>
      <c r="N279" s="501"/>
      <c r="O279" s="501"/>
      <c r="P279" s="501"/>
      <c r="Q279" s="501"/>
      <c r="R279" s="501"/>
      <c r="S279" s="501"/>
      <c r="T279" s="501"/>
      <c r="U279" s="501"/>
      <c r="V279" s="501"/>
      <c r="W279" s="501"/>
      <c r="X279" s="501"/>
      <c r="Y279" s="501"/>
      <c r="Z279" s="501"/>
      <c r="AA279" s="505"/>
      <c r="AB279" s="505"/>
      <c r="AC279" s="505"/>
      <c r="AD279" s="506"/>
      <c r="AE279" s="506"/>
      <c r="AF279" s="506"/>
      <c r="AG279" s="507"/>
      <c r="AH279" s="167"/>
      <c r="AI279" s="167"/>
      <c r="AJ279" s="376"/>
      <c r="AK279" s="376"/>
    </row>
    <row r="280" spans="3:41">
      <c r="AG280" s="267"/>
      <c r="AH280" s="267"/>
      <c r="AI280" s="267"/>
      <c r="AJ280" s="267"/>
      <c r="AK280" s="267"/>
      <c r="AL280" s="267"/>
      <c r="AM280" s="267"/>
      <c r="AN280" s="267"/>
      <c r="AO280" s="267"/>
    </row>
    <row r="281" spans="3:41">
      <c r="AG281" s="267"/>
      <c r="AH281" s="267"/>
      <c r="AI281" s="267"/>
      <c r="AJ281" s="267"/>
      <c r="AK281" s="267"/>
      <c r="AL281" s="267"/>
      <c r="AM281" s="267"/>
      <c r="AN281" s="267"/>
      <c r="AO281" s="267"/>
    </row>
    <row r="282" spans="3:41">
      <c r="AG282" s="267"/>
      <c r="AH282" s="267"/>
      <c r="AI282" s="267"/>
      <c r="AJ282" s="267"/>
      <c r="AK282" s="267"/>
      <c r="AL282" s="267"/>
      <c r="AM282" s="267"/>
      <c r="AN282" s="267"/>
      <c r="AO282" s="267"/>
    </row>
  </sheetData>
  <mergeCells count="864"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25:AQ25"/>
    <mergeCell ref="AR25:AS25"/>
    <mergeCell ref="BE26:BE27"/>
    <mergeCell ref="BF26:BF27"/>
    <mergeCell ref="B27:B32"/>
    <mergeCell ref="C27:J28"/>
    <mergeCell ref="K27:L28"/>
    <mergeCell ref="M27:T28"/>
    <mergeCell ref="U27:V28"/>
    <mergeCell ref="W27:AD28"/>
    <mergeCell ref="AZ27:BC27"/>
    <mergeCell ref="AZ28:BB29"/>
    <mergeCell ref="C29:D32"/>
    <mergeCell ref="E29:E32"/>
    <mergeCell ref="F29:F32"/>
    <mergeCell ref="G29:H32"/>
    <mergeCell ref="I29:I32"/>
    <mergeCell ref="J29:J32"/>
    <mergeCell ref="AM27:AM32"/>
    <mergeCell ref="AN27:AN32"/>
    <mergeCell ref="AO27:AO32"/>
    <mergeCell ref="AP27:AP32"/>
    <mergeCell ref="AQ27:AQ32"/>
    <mergeCell ref="AR27:AS32"/>
    <mergeCell ref="K29:K32"/>
    <mergeCell ref="L29:L32"/>
    <mergeCell ref="M29:N32"/>
    <mergeCell ref="O29:O32"/>
    <mergeCell ref="P29:P32"/>
    <mergeCell ref="Q29:R32"/>
    <mergeCell ref="AR33:AS33"/>
    <mergeCell ref="AW33:AX33"/>
    <mergeCell ref="AR34:AS34"/>
    <mergeCell ref="AW34:AX34"/>
    <mergeCell ref="AH27:AH32"/>
    <mergeCell ref="AI27:AI32"/>
    <mergeCell ref="AJ27:AJ32"/>
    <mergeCell ref="AK27:AK32"/>
    <mergeCell ref="AL27:AL32"/>
    <mergeCell ref="S29:S32"/>
    <mergeCell ref="T29:T32"/>
    <mergeCell ref="U29:U32"/>
    <mergeCell ref="V29:V32"/>
    <mergeCell ref="W29:X32"/>
    <mergeCell ref="Y29:Y32"/>
    <mergeCell ref="AR35:AS35"/>
    <mergeCell ref="AW35:AX35"/>
    <mergeCell ref="Z29:Z32"/>
    <mergeCell ref="AA29:AB32"/>
    <mergeCell ref="AC29:AC32"/>
    <mergeCell ref="AD29:AD32"/>
    <mergeCell ref="AE29:AE32"/>
    <mergeCell ref="AF29:AF32"/>
    <mergeCell ref="AT27:AT32"/>
    <mergeCell ref="AW27:AX32"/>
    <mergeCell ref="AE27:AF28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45:AS45"/>
    <mergeCell ref="AW45:AX45"/>
    <mergeCell ref="AR46:AS46"/>
    <mergeCell ref="AW46:AX46"/>
    <mergeCell ref="AR47:AS47"/>
    <mergeCell ref="AW47:AX47"/>
    <mergeCell ref="AR42:AS42"/>
    <mergeCell ref="AW42:AX42"/>
    <mergeCell ref="AR43:AS43"/>
    <mergeCell ref="AW43:AX43"/>
    <mergeCell ref="AR44:AS44"/>
    <mergeCell ref="AW44:AX44"/>
    <mergeCell ref="AR48:AS48"/>
    <mergeCell ref="AW49:AX50"/>
    <mergeCell ref="C56:J57"/>
    <mergeCell ref="K56:L57"/>
    <mergeCell ref="M56:T57"/>
    <mergeCell ref="U56:V57"/>
    <mergeCell ref="W56:AD57"/>
    <mergeCell ref="AE56:AF57"/>
    <mergeCell ref="AG56:AN57"/>
    <mergeCell ref="AO56:AO57"/>
    <mergeCell ref="X67:X72"/>
    <mergeCell ref="C70:D70"/>
    <mergeCell ref="E70:F70"/>
    <mergeCell ref="I70:J70"/>
    <mergeCell ref="K70:L70"/>
    <mergeCell ref="AP58:AQ58"/>
    <mergeCell ref="AR58:AS58"/>
    <mergeCell ref="C60:J61"/>
    <mergeCell ref="K60:L61"/>
    <mergeCell ref="M60:T61"/>
    <mergeCell ref="U60:V61"/>
    <mergeCell ref="W60:AD61"/>
    <mergeCell ref="AE60:AF61"/>
    <mergeCell ref="N70:O70"/>
    <mergeCell ref="Q70:R70"/>
    <mergeCell ref="E73:F73"/>
    <mergeCell ref="I73:J73"/>
    <mergeCell ref="K73:L73"/>
    <mergeCell ref="N73:O73"/>
    <mergeCell ref="Q73:R73"/>
    <mergeCell ref="AR62:AS62"/>
    <mergeCell ref="AW62:AX62"/>
    <mergeCell ref="AK63:AL63"/>
    <mergeCell ref="C67:D69"/>
    <mergeCell ref="E67:F69"/>
    <mergeCell ref="G67:H71"/>
    <mergeCell ref="I67:J69"/>
    <mergeCell ref="K67:L69"/>
    <mergeCell ref="N67:O69"/>
    <mergeCell ref="Q67:R69"/>
    <mergeCell ref="C71:D71"/>
    <mergeCell ref="E71:F71"/>
    <mergeCell ref="I71:J71"/>
    <mergeCell ref="K71:L71"/>
    <mergeCell ref="N71:O71"/>
    <mergeCell ref="Q71:R71"/>
    <mergeCell ref="U67:U72"/>
    <mergeCell ref="V67:V72"/>
    <mergeCell ref="W67:W72"/>
    <mergeCell ref="Y73:Z73"/>
    <mergeCell ref="C74:D74"/>
    <mergeCell ref="E74:F74"/>
    <mergeCell ref="I74:J74"/>
    <mergeCell ref="K74:L74"/>
    <mergeCell ref="N74:O74"/>
    <mergeCell ref="Q74:R74"/>
    <mergeCell ref="Y74:Z74"/>
    <mergeCell ref="S78:T78"/>
    <mergeCell ref="S75:T75"/>
    <mergeCell ref="Y75:Z75"/>
    <mergeCell ref="C76:D76"/>
    <mergeCell ref="E76:F76"/>
    <mergeCell ref="I76:J76"/>
    <mergeCell ref="K76:L76"/>
    <mergeCell ref="N76:O76"/>
    <mergeCell ref="Q76:R76"/>
    <mergeCell ref="C75:D75"/>
    <mergeCell ref="E75:F75"/>
    <mergeCell ref="I75:J75"/>
    <mergeCell ref="K75:L75"/>
    <mergeCell ref="N75:O75"/>
    <mergeCell ref="Q75:R75"/>
    <mergeCell ref="C73:D73"/>
    <mergeCell ref="C79:D79"/>
    <mergeCell ref="E79:F79"/>
    <mergeCell ref="G79:H79"/>
    <mergeCell ref="I79:J79"/>
    <mergeCell ref="K79:L79"/>
    <mergeCell ref="N79:O79"/>
    <mergeCell ref="Q79:R79"/>
    <mergeCell ref="Q77:R77"/>
    <mergeCell ref="C78:D78"/>
    <mergeCell ref="E78:F78"/>
    <mergeCell ref="G78:H78"/>
    <mergeCell ref="I78:J78"/>
    <mergeCell ref="K78:L78"/>
    <mergeCell ref="N78:O78"/>
    <mergeCell ref="Q78:R78"/>
    <mergeCell ref="C77:D77"/>
    <mergeCell ref="E77:F77"/>
    <mergeCell ref="G77:H77"/>
    <mergeCell ref="I77:J77"/>
    <mergeCell ref="K77:L77"/>
    <mergeCell ref="N77:O77"/>
    <mergeCell ref="Q80:R80"/>
    <mergeCell ref="Y80:Z80"/>
    <mergeCell ref="C81:D81"/>
    <mergeCell ref="E81:F81"/>
    <mergeCell ref="G81:H81"/>
    <mergeCell ref="I81:J81"/>
    <mergeCell ref="K81:L81"/>
    <mergeCell ref="N81:O81"/>
    <mergeCell ref="Q81:R81"/>
    <mergeCell ref="Y81:Z81"/>
    <mergeCell ref="C80:D80"/>
    <mergeCell ref="E80:F80"/>
    <mergeCell ref="G80:H80"/>
    <mergeCell ref="I80:J80"/>
    <mergeCell ref="K80:L80"/>
    <mergeCell ref="N80:O80"/>
    <mergeCell ref="Q82:R82"/>
    <mergeCell ref="Y82:Z82"/>
    <mergeCell ref="C83:D83"/>
    <mergeCell ref="E83:F83"/>
    <mergeCell ref="G83:H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C86:D86"/>
    <mergeCell ref="E86:F86"/>
    <mergeCell ref="I86:J86"/>
    <mergeCell ref="K86:L86"/>
    <mergeCell ref="N86:O86"/>
    <mergeCell ref="Q86:R86"/>
    <mergeCell ref="Q84:R84"/>
    <mergeCell ref="C85:D85"/>
    <mergeCell ref="E85:F85"/>
    <mergeCell ref="G85:H85"/>
    <mergeCell ref="I85:J85"/>
    <mergeCell ref="K85:L85"/>
    <mergeCell ref="N85:O85"/>
    <mergeCell ref="Q85:R85"/>
    <mergeCell ref="C84:D84"/>
    <mergeCell ref="E84:F84"/>
    <mergeCell ref="G84:H84"/>
    <mergeCell ref="I84:J84"/>
    <mergeCell ref="K84:L84"/>
    <mergeCell ref="N84:O84"/>
    <mergeCell ref="Q87:R87"/>
    <mergeCell ref="C88:D88"/>
    <mergeCell ref="E88:F88"/>
    <mergeCell ref="G88:H88"/>
    <mergeCell ref="I88:J88"/>
    <mergeCell ref="K88:L88"/>
    <mergeCell ref="N88:O88"/>
    <mergeCell ref="Q88:R88"/>
    <mergeCell ref="C87:D87"/>
    <mergeCell ref="E87:F87"/>
    <mergeCell ref="G87:H87"/>
    <mergeCell ref="I87:J87"/>
    <mergeCell ref="K87:L87"/>
    <mergeCell ref="N87:O87"/>
    <mergeCell ref="H92:N92"/>
    <mergeCell ref="O94:Z94"/>
    <mergeCell ref="O95:P95"/>
    <mergeCell ref="Q95:Z95"/>
    <mergeCell ref="O96:P96"/>
    <mergeCell ref="Q96:Z96"/>
    <mergeCell ref="Q89:R89"/>
    <mergeCell ref="C90:D90"/>
    <mergeCell ref="E90:F90"/>
    <mergeCell ref="G90:H90"/>
    <mergeCell ref="I90:J90"/>
    <mergeCell ref="K90:L90"/>
    <mergeCell ref="N90:O90"/>
    <mergeCell ref="Q90:R90"/>
    <mergeCell ref="C89:D89"/>
    <mergeCell ref="E89:F89"/>
    <mergeCell ref="G89:H89"/>
    <mergeCell ref="I89:J89"/>
    <mergeCell ref="K89:L89"/>
    <mergeCell ref="N89:O89"/>
    <mergeCell ref="O100:P100"/>
    <mergeCell ref="O102:Z102"/>
    <mergeCell ref="O103:P103"/>
    <mergeCell ref="Q103:Z103"/>
    <mergeCell ref="O104:P104"/>
    <mergeCell ref="Q104:Z104"/>
    <mergeCell ref="AA96:AB96"/>
    <mergeCell ref="O97:P97"/>
    <mergeCell ref="Q97:Z97"/>
    <mergeCell ref="O98:P98"/>
    <mergeCell ref="Q98:Z98"/>
    <mergeCell ref="O99:P99"/>
    <mergeCell ref="Q99:Z99"/>
    <mergeCell ref="O108:P108"/>
    <mergeCell ref="H110:N110"/>
    <mergeCell ref="O112:Z112"/>
    <mergeCell ref="O113:P113"/>
    <mergeCell ref="Q113:Z113"/>
    <mergeCell ref="AE113:AG113"/>
    <mergeCell ref="AA104:AB104"/>
    <mergeCell ref="O105:P105"/>
    <mergeCell ref="Q105:Z105"/>
    <mergeCell ref="O106:P106"/>
    <mergeCell ref="Q106:Z106"/>
    <mergeCell ref="O107:P107"/>
    <mergeCell ref="Q107:Z107"/>
    <mergeCell ref="O115:P115"/>
    <mergeCell ref="Q115:Z115"/>
    <mergeCell ref="AE115:AG115"/>
    <mergeCell ref="AI115:AK115"/>
    <mergeCell ref="AL115:AN115"/>
    <mergeCell ref="AO115:AQ115"/>
    <mergeCell ref="AI113:AK113"/>
    <mergeCell ref="AL113:AN113"/>
    <mergeCell ref="AO113:AQ113"/>
    <mergeCell ref="O114:P114"/>
    <mergeCell ref="Q114:Z114"/>
    <mergeCell ref="AA114:AB114"/>
    <mergeCell ref="AE114:AG114"/>
    <mergeCell ref="AI114:AK114"/>
    <mergeCell ref="AL114:AN114"/>
    <mergeCell ref="AO114:AQ114"/>
    <mergeCell ref="O118:P118"/>
    <mergeCell ref="AE118:AG118"/>
    <mergeCell ref="AI118:AK118"/>
    <mergeCell ref="O120:Z120"/>
    <mergeCell ref="O121:P121"/>
    <mergeCell ref="Q121:Z121"/>
    <mergeCell ref="O116:P116"/>
    <mergeCell ref="Q116:Z116"/>
    <mergeCell ref="AE116:AG116"/>
    <mergeCell ref="AI116:AK116"/>
    <mergeCell ref="O117:P117"/>
    <mergeCell ref="Q117:Z117"/>
    <mergeCell ref="AE117:AG117"/>
    <mergeCell ref="AI117:AK117"/>
    <mergeCell ref="H129:N129"/>
    <mergeCell ref="O131:Z131"/>
    <mergeCell ref="O132:P132"/>
    <mergeCell ref="Q132:Z132"/>
    <mergeCell ref="O122:P122"/>
    <mergeCell ref="Q122:Z122"/>
    <mergeCell ref="AA122:AB122"/>
    <mergeCell ref="O123:P123"/>
    <mergeCell ref="Q123:Z123"/>
    <mergeCell ref="O124:P124"/>
    <mergeCell ref="Q124:Z124"/>
    <mergeCell ref="O133:P133"/>
    <mergeCell ref="Q133:Z133"/>
    <mergeCell ref="AA133:AB133"/>
    <mergeCell ref="O134:P134"/>
    <mergeCell ref="Q134:Z134"/>
    <mergeCell ref="O135:P135"/>
    <mergeCell ref="Q135:Z135"/>
    <mergeCell ref="O125:P125"/>
    <mergeCell ref="Q125:Z125"/>
    <mergeCell ref="O126:P126"/>
    <mergeCell ref="AA141:AB141"/>
    <mergeCell ref="O142:P142"/>
    <mergeCell ref="Q142:Z142"/>
    <mergeCell ref="O143:P143"/>
    <mergeCell ref="Q143:Z143"/>
    <mergeCell ref="O136:P136"/>
    <mergeCell ref="Q136:Z136"/>
    <mergeCell ref="O137:P137"/>
    <mergeCell ref="O139:Z139"/>
    <mergeCell ref="O140:P140"/>
    <mergeCell ref="Q140:Z140"/>
    <mergeCell ref="O144:P144"/>
    <mergeCell ref="Q144:Z144"/>
    <mergeCell ref="O145:P145"/>
    <mergeCell ref="H147:N147"/>
    <mergeCell ref="O149:Z149"/>
    <mergeCell ref="O150:P150"/>
    <mergeCell ref="Q150:Z150"/>
    <mergeCell ref="O141:P141"/>
    <mergeCell ref="Q141:Z141"/>
    <mergeCell ref="O154:P154"/>
    <mergeCell ref="Q154:Z154"/>
    <mergeCell ref="AF154:AJ154"/>
    <mergeCell ref="O155:P155"/>
    <mergeCell ref="O157:Z157"/>
    <mergeCell ref="O158:P158"/>
    <mergeCell ref="Q158:Z158"/>
    <mergeCell ref="O151:P151"/>
    <mergeCell ref="Q151:Z151"/>
    <mergeCell ref="AA151:AB151"/>
    <mergeCell ref="O152:P152"/>
    <mergeCell ref="Q152:Z152"/>
    <mergeCell ref="O153:P153"/>
    <mergeCell ref="Q153:Z153"/>
    <mergeCell ref="H167:N167"/>
    <mergeCell ref="O169:Z169"/>
    <mergeCell ref="O170:P170"/>
    <mergeCell ref="Q170:Z170"/>
    <mergeCell ref="O159:P159"/>
    <mergeCell ref="Q159:Z159"/>
    <mergeCell ref="AA159:AB159"/>
    <mergeCell ref="O160:P160"/>
    <mergeCell ref="Q160:Z160"/>
    <mergeCell ref="O161:P161"/>
    <mergeCell ref="Q161:Z161"/>
    <mergeCell ref="AG170:AH170"/>
    <mergeCell ref="AJ170:AK170"/>
    <mergeCell ref="O171:P171"/>
    <mergeCell ref="Q171:Z171"/>
    <mergeCell ref="AA171:AB171"/>
    <mergeCell ref="AG171:AH171"/>
    <mergeCell ref="AJ171:AK171"/>
    <mergeCell ref="O162:P162"/>
    <mergeCell ref="Q162:Z162"/>
    <mergeCell ref="O163:P163"/>
    <mergeCell ref="AJ174:AK174"/>
    <mergeCell ref="O175:P175"/>
    <mergeCell ref="AK175:AL175"/>
    <mergeCell ref="O172:P172"/>
    <mergeCell ref="Q172:Z172"/>
    <mergeCell ref="AG172:AH172"/>
    <mergeCell ref="AJ172:AK172"/>
    <mergeCell ref="O173:P173"/>
    <mergeCell ref="Q173:Z173"/>
    <mergeCell ref="AG173:AH173"/>
    <mergeCell ref="AJ173:AK173"/>
    <mergeCell ref="O177:Z177"/>
    <mergeCell ref="O178:P178"/>
    <mergeCell ref="Q178:Z178"/>
    <mergeCell ref="O179:P179"/>
    <mergeCell ref="Q179:Z179"/>
    <mergeCell ref="AA179:AB179"/>
    <mergeCell ref="O174:P174"/>
    <mergeCell ref="Q174:Z174"/>
    <mergeCell ref="AG174:AH174"/>
    <mergeCell ref="O183:P183"/>
    <mergeCell ref="O188:Z188"/>
    <mergeCell ref="O189:P189"/>
    <mergeCell ref="Q189:Z189"/>
    <mergeCell ref="O190:P190"/>
    <mergeCell ref="Q190:Z190"/>
    <mergeCell ref="O180:P180"/>
    <mergeCell ref="Q180:Z180"/>
    <mergeCell ref="O181:P181"/>
    <mergeCell ref="Q181:Z181"/>
    <mergeCell ref="O182:P182"/>
    <mergeCell ref="Q182:Z182"/>
    <mergeCell ref="O194:P194"/>
    <mergeCell ref="O196:Z196"/>
    <mergeCell ref="O197:P197"/>
    <mergeCell ref="Q197:Z197"/>
    <mergeCell ref="O198:P198"/>
    <mergeCell ref="Q198:Z198"/>
    <mergeCell ref="AA190:AB190"/>
    <mergeCell ref="O191:P191"/>
    <mergeCell ref="Q191:Z191"/>
    <mergeCell ref="O192:P192"/>
    <mergeCell ref="Q192:Z192"/>
    <mergeCell ref="O193:P193"/>
    <mergeCell ref="Q193:Z193"/>
    <mergeCell ref="O202:P202"/>
    <mergeCell ref="C205:D207"/>
    <mergeCell ref="E205:F207"/>
    <mergeCell ref="G205:H209"/>
    <mergeCell ref="I205:J207"/>
    <mergeCell ref="K205:L207"/>
    <mergeCell ref="N205:O207"/>
    <mergeCell ref="AA198:AB198"/>
    <mergeCell ref="O199:P199"/>
    <mergeCell ref="Q199:Z199"/>
    <mergeCell ref="O200:P200"/>
    <mergeCell ref="Q200:Z200"/>
    <mergeCell ref="O201:P201"/>
    <mergeCell ref="Q201:Z201"/>
    <mergeCell ref="Q205:R207"/>
    <mergeCell ref="U205:U210"/>
    <mergeCell ref="V205:V210"/>
    <mergeCell ref="W205:W210"/>
    <mergeCell ref="X205:X210"/>
    <mergeCell ref="C208:D208"/>
    <mergeCell ref="E208:F208"/>
    <mergeCell ref="I208:J208"/>
    <mergeCell ref="K208:L208"/>
    <mergeCell ref="N208:O208"/>
    <mergeCell ref="C211:D211"/>
    <mergeCell ref="E211:F211"/>
    <mergeCell ref="I211:J211"/>
    <mergeCell ref="K211:L211"/>
    <mergeCell ref="N211:O211"/>
    <mergeCell ref="Q211:R211"/>
    <mergeCell ref="Q208:R208"/>
    <mergeCell ref="C209:D209"/>
    <mergeCell ref="E209:F209"/>
    <mergeCell ref="I209:J209"/>
    <mergeCell ref="K209:L209"/>
    <mergeCell ref="N209:O209"/>
    <mergeCell ref="Q209:R209"/>
    <mergeCell ref="C213:D213"/>
    <mergeCell ref="E213:F213"/>
    <mergeCell ref="I213:J213"/>
    <mergeCell ref="K213:L213"/>
    <mergeCell ref="N213:O213"/>
    <mergeCell ref="Q213:R213"/>
    <mergeCell ref="C212:D212"/>
    <mergeCell ref="E212:F212"/>
    <mergeCell ref="I212:J212"/>
    <mergeCell ref="K212:L212"/>
    <mergeCell ref="N212:O212"/>
    <mergeCell ref="Q212:R212"/>
    <mergeCell ref="S214:T214"/>
    <mergeCell ref="Z214:AC214"/>
    <mergeCell ref="C215:D215"/>
    <mergeCell ref="E215:F215"/>
    <mergeCell ref="I215:J215"/>
    <mergeCell ref="K215:L215"/>
    <mergeCell ref="N215:O215"/>
    <mergeCell ref="Q215:R215"/>
    <mergeCell ref="C214:D214"/>
    <mergeCell ref="E214:F214"/>
    <mergeCell ref="I214:J214"/>
    <mergeCell ref="K214:L214"/>
    <mergeCell ref="N214:O214"/>
    <mergeCell ref="Q214:R214"/>
    <mergeCell ref="Q216:R216"/>
    <mergeCell ref="AB216:AK216"/>
    <mergeCell ref="C217:D217"/>
    <mergeCell ref="E217:F217"/>
    <mergeCell ref="G217:H217"/>
    <mergeCell ref="I217:J217"/>
    <mergeCell ref="K217:L217"/>
    <mergeCell ref="N217:O217"/>
    <mergeCell ref="Q217:R217"/>
    <mergeCell ref="S217:T217"/>
    <mergeCell ref="C216:D216"/>
    <mergeCell ref="E216:F216"/>
    <mergeCell ref="G216:H216"/>
    <mergeCell ref="I216:J216"/>
    <mergeCell ref="K216:L216"/>
    <mergeCell ref="N216:O216"/>
    <mergeCell ref="Q218:R218"/>
    <mergeCell ref="C219:D219"/>
    <mergeCell ref="E219:F219"/>
    <mergeCell ref="G219:H219"/>
    <mergeCell ref="I219:J219"/>
    <mergeCell ref="K219:L219"/>
    <mergeCell ref="N219:O219"/>
    <mergeCell ref="Q219:R219"/>
    <mergeCell ref="C218:D218"/>
    <mergeCell ref="E218:F218"/>
    <mergeCell ref="G218:H218"/>
    <mergeCell ref="I218:J218"/>
    <mergeCell ref="K218:L218"/>
    <mergeCell ref="N218:O218"/>
    <mergeCell ref="Z220:AC220"/>
    <mergeCell ref="C221:D221"/>
    <mergeCell ref="E221:F221"/>
    <mergeCell ref="G221:H221"/>
    <mergeCell ref="I221:J221"/>
    <mergeCell ref="K221:L221"/>
    <mergeCell ref="N221:O221"/>
    <mergeCell ref="Q221:R221"/>
    <mergeCell ref="C220:D220"/>
    <mergeCell ref="E220:F220"/>
    <mergeCell ref="I220:J220"/>
    <mergeCell ref="K220:L220"/>
    <mergeCell ref="N220:O220"/>
    <mergeCell ref="Q220:R220"/>
    <mergeCell ref="AF223:AH223"/>
    <mergeCell ref="C224:D224"/>
    <mergeCell ref="E224:F224"/>
    <mergeCell ref="G224:H224"/>
    <mergeCell ref="I224:J224"/>
    <mergeCell ref="K224:L224"/>
    <mergeCell ref="N224:O224"/>
    <mergeCell ref="Q224:R224"/>
    <mergeCell ref="Q222:R222"/>
    <mergeCell ref="C223:D223"/>
    <mergeCell ref="E223:F223"/>
    <mergeCell ref="G223:H223"/>
    <mergeCell ref="I223:J223"/>
    <mergeCell ref="K223:L223"/>
    <mergeCell ref="N223:O223"/>
    <mergeCell ref="Q223:R223"/>
    <mergeCell ref="C222:D222"/>
    <mergeCell ref="E222:F222"/>
    <mergeCell ref="G222:H222"/>
    <mergeCell ref="I222:J222"/>
    <mergeCell ref="K222:L222"/>
    <mergeCell ref="N222:O222"/>
    <mergeCell ref="Q225:R225"/>
    <mergeCell ref="AA230:AC230"/>
    <mergeCell ref="AD230:AF230"/>
    <mergeCell ref="D231:H231"/>
    <mergeCell ref="I231:K231"/>
    <mergeCell ref="L231:N231"/>
    <mergeCell ref="O231:Q231"/>
    <mergeCell ref="R231:T231"/>
    <mergeCell ref="U231:W231"/>
    <mergeCell ref="X231:Z231"/>
    <mergeCell ref="C225:D225"/>
    <mergeCell ref="E225:F225"/>
    <mergeCell ref="G225:H225"/>
    <mergeCell ref="I225:J225"/>
    <mergeCell ref="K225:L225"/>
    <mergeCell ref="N225:O225"/>
    <mergeCell ref="AA231:AC231"/>
    <mergeCell ref="AD231:AF231"/>
    <mergeCell ref="AI232:AK232"/>
    <mergeCell ref="D233:H233"/>
    <mergeCell ref="I233:K233"/>
    <mergeCell ref="L233:N233"/>
    <mergeCell ref="O233:Q233"/>
    <mergeCell ref="R233:T233"/>
    <mergeCell ref="U233:W233"/>
    <mergeCell ref="X233:Z233"/>
    <mergeCell ref="AA233:AC233"/>
    <mergeCell ref="AD233:AF233"/>
    <mergeCell ref="AI233:AK233"/>
    <mergeCell ref="D232:H232"/>
    <mergeCell ref="I232:K232"/>
    <mergeCell ref="L232:N232"/>
    <mergeCell ref="O232:Q232"/>
    <mergeCell ref="R232:T232"/>
    <mergeCell ref="U232:W232"/>
    <mergeCell ref="X232:Z232"/>
    <mergeCell ref="AA232:AC232"/>
    <mergeCell ref="AD232:AF232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AD234:AF234"/>
    <mergeCell ref="D235:H235"/>
    <mergeCell ref="I235:K235"/>
    <mergeCell ref="L235:N235"/>
    <mergeCell ref="O235:Q235"/>
    <mergeCell ref="R235:T235"/>
    <mergeCell ref="U235:W235"/>
    <mergeCell ref="X235:Z235"/>
    <mergeCell ref="AA235:AC235"/>
    <mergeCell ref="AD235:AF235"/>
    <mergeCell ref="X236:Z236"/>
    <mergeCell ref="AA236:AC236"/>
    <mergeCell ref="AD236:AF236"/>
    <mergeCell ref="D237:H237"/>
    <mergeCell ref="I237:K237"/>
    <mergeCell ref="L237:N237"/>
    <mergeCell ref="O237:Q237"/>
    <mergeCell ref="R237:T237"/>
    <mergeCell ref="U237:W237"/>
    <mergeCell ref="X237:Z237"/>
    <mergeCell ref="D236:H236"/>
    <mergeCell ref="I236:K236"/>
    <mergeCell ref="L236:N236"/>
    <mergeCell ref="O236:Q236"/>
    <mergeCell ref="R236:T236"/>
    <mergeCell ref="U236:W236"/>
    <mergeCell ref="AA237:AC237"/>
    <mergeCell ref="AD237:AF237"/>
    <mergeCell ref="D238:H238"/>
    <mergeCell ref="I238:K238"/>
    <mergeCell ref="L238:N238"/>
    <mergeCell ref="O238:Q238"/>
    <mergeCell ref="R238:T238"/>
    <mergeCell ref="U238:W238"/>
    <mergeCell ref="X238:Z238"/>
    <mergeCell ref="AA238:AC238"/>
    <mergeCell ref="AD238:AF238"/>
    <mergeCell ref="D239:H239"/>
    <mergeCell ref="I239:K239"/>
    <mergeCell ref="L239:N239"/>
    <mergeCell ref="O239:Q239"/>
    <mergeCell ref="R239:T239"/>
    <mergeCell ref="U239:W239"/>
    <mergeCell ref="X239:Z239"/>
    <mergeCell ref="AA239:AC239"/>
    <mergeCell ref="AD239:AF239"/>
    <mergeCell ref="D242:F242"/>
    <mergeCell ref="D243:F243"/>
    <mergeCell ref="M243:O243"/>
    <mergeCell ref="AD243:AF243"/>
    <mergeCell ref="O248:Z248"/>
    <mergeCell ref="O249:P249"/>
    <mergeCell ref="Q249:Z249"/>
    <mergeCell ref="X240:Z240"/>
    <mergeCell ref="AA240:AC240"/>
    <mergeCell ref="AD240:AF240"/>
    <mergeCell ref="S241:U241"/>
    <mergeCell ref="X241:Z241"/>
    <mergeCell ref="AD241:AF241"/>
    <mergeCell ref="D240:H240"/>
    <mergeCell ref="I240:K240"/>
    <mergeCell ref="L240:N240"/>
    <mergeCell ref="O240:Q240"/>
    <mergeCell ref="R240:T240"/>
    <mergeCell ref="U240:W240"/>
    <mergeCell ref="AF253:AJ253"/>
    <mergeCell ref="O254:P254"/>
    <mergeCell ref="O256:Z256"/>
    <mergeCell ref="O257:P257"/>
    <mergeCell ref="Q257:Z257"/>
    <mergeCell ref="O250:P250"/>
    <mergeCell ref="Q250:Z250"/>
    <mergeCell ref="AA250:AB250"/>
    <mergeCell ref="O251:P251"/>
    <mergeCell ref="Q251:Z251"/>
    <mergeCell ref="O252:P252"/>
    <mergeCell ref="Q252:Z252"/>
    <mergeCell ref="O258:P258"/>
    <mergeCell ref="Q258:Z258"/>
    <mergeCell ref="AA258:AB258"/>
    <mergeCell ref="O259:P259"/>
    <mergeCell ref="Q259:Z259"/>
    <mergeCell ref="O260:P260"/>
    <mergeCell ref="Q260:Z260"/>
    <mergeCell ref="O253:P253"/>
    <mergeCell ref="Q253:Z253"/>
    <mergeCell ref="O261:P261"/>
    <mergeCell ref="Q261:Z261"/>
    <mergeCell ref="O262:P262"/>
    <mergeCell ref="AA267:AC267"/>
    <mergeCell ref="AD267:AF267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AI269:AM269"/>
    <mergeCell ref="D270:H270"/>
    <mergeCell ref="I270:K270"/>
    <mergeCell ref="L270:N270"/>
    <mergeCell ref="O270:Q270"/>
    <mergeCell ref="R270:T270"/>
    <mergeCell ref="U270:W270"/>
    <mergeCell ref="X270:Z270"/>
    <mergeCell ref="AA270:AC270"/>
    <mergeCell ref="AD270:AF270"/>
    <mergeCell ref="D269:H269"/>
    <mergeCell ref="I269:K269"/>
    <mergeCell ref="L269:N269"/>
    <mergeCell ref="O269:Q269"/>
    <mergeCell ref="R269:T269"/>
    <mergeCell ref="U269:W269"/>
    <mergeCell ref="X269:Z269"/>
    <mergeCell ref="AA269:AC269"/>
    <mergeCell ref="AD269:AF269"/>
    <mergeCell ref="D271:H271"/>
    <mergeCell ref="I271:K271"/>
    <mergeCell ref="L271:N271"/>
    <mergeCell ref="O271:Q271"/>
    <mergeCell ref="R271:T271"/>
    <mergeCell ref="U271:W271"/>
    <mergeCell ref="X271:Z271"/>
    <mergeCell ref="AA271:AC271"/>
    <mergeCell ref="AD271:AF271"/>
    <mergeCell ref="D272:H272"/>
    <mergeCell ref="I272:K272"/>
    <mergeCell ref="L272:N272"/>
    <mergeCell ref="O272:Q272"/>
    <mergeCell ref="R272:T272"/>
    <mergeCell ref="U272:W272"/>
    <mergeCell ref="X272:Z272"/>
    <mergeCell ref="AA272:AC272"/>
    <mergeCell ref="AD272:AF272"/>
    <mergeCell ref="D273:H273"/>
    <mergeCell ref="I273:K273"/>
    <mergeCell ref="L273:N273"/>
    <mergeCell ref="O273:Q273"/>
    <mergeCell ref="R273:T273"/>
    <mergeCell ref="U273:W273"/>
    <mergeCell ref="X273:Z273"/>
    <mergeCell ref="AA273:AC273"/>
    <mergeCell ref="AD273:AF273"/>
    <mergeCell ref="D275:H275"/>
    <mergeCell ref="I275:K275"/>
    <mergeCell ref="L275:N275"/>
    <mergeCell ref="O275:Q275"/>
    <mergeCell ref="R275:T275"/>
    <mergeCell ref="U275:W275"/>
    <mergeCell ref="X275:Z275"/>
    <mergeCell ref="D274:H274"/>
    <mergeCell ref="I274:K274"/>
    <mergeCell ref="L274:N274"/>
    <mergeCell ref="O274:Q274"/>
    <mergeCell ref="R274:T274"/>
    <mergeCell ref="U274:W274"/>
    <mergeCell ref="AA275:AC275"/>
    <mergeCell ref="AD275:AF275"/>
    <mergeCell ref="S276:U276"/>
    <mergeCell ref="X276:Z276"/>
    <mergeCell ref="AD276:AF276"/>
    <mergeCell ref="L278:N278"/>
    <mergeCell ref="AD278:AF278"/>
    <mergeCell ref="X274:Z274"/>
    <mergeCell ref="AA274:AC274"/>
    <mergeCell ref="AD274:AF274"/>
  </mergeCells>
  <conditionalFormatting sqref="AP204:AP207 AH62 AP62 AH33:AH50 AP33:AP50">
    <cfRule type="cellIs" dxfId="15" priority="16" stopIfTrue="1" operator="lessThanOrEqual">
      <formula>0</formula>
    </cfRule>
  </conditionalFormatting>
  <conditionalFormatting sqref="L292:L293 K263:L263 K292:K295 L295 K163:L164 K280:L283 K184:L184 K90:L146 K203:L245 K80:K83 K86:K89 K84:L85">
    <cfRule type="cellIs" dxfId="14" priority="15" stopIfTrue="1" operator="greaterThanOrEqual">
      <formula>$K$74</formula>
    </cfRule>
  </conditionalFormatting>
  <conditionalFormatting sqref="AR50:AT50 AR48:AT48 AP58:AT59 AR62:AS62 AR47:AS47 AR33:AS33 AS39 AS41 AR34:AR46 AP11:AT27 AT5">
    <cfRule type="cellIs" dxfId="13" priority="14" stopIfTrue="1" operator="lessThan">
      <formula>0</formula>
    </cfRule>
  </conditionalFormatting>
  <conditionalFormatting sqref="P204:P206 AJ58:AJ59 F62 Z62 F58:F60 P62:P68 P58:P60 Z58:Z60 P33:P55 F33:F50 Z33:Z50 F11:F26 AJ11:AJ27 P11:P27 Z11:Z27">
    <cfRule type="cellIs" dxfId="12" priority="13" stopIfTrue="1" operator="lessThanOrEqual">
      <formula>0</formula>
    </cfRule>
  </conditionalFormatting>
  <conditionalFormatting sqref="S204:S206 AM58:AM59 AC62 I62 AC58:AC60 S62:S68 S58:S60 I58:I60 S33:S55 I33:I50 AC33:AC50 AM11:AM27 I11:I26 S11:S27 AC11:AC27">
    <cfRule type="cellIs" dxfId="11" priority="12" stopIfTrue="1" operator="lessThanOrEqual">
      <formula>0</formula>
    </cfRule>
  </conditionalFormatting>
  <conditionalFormatting sqref="U204:V206 K58:L60 AO58:AO59 AE58:AE59 K62:L62 AE62:AF62 U62:V68 AE60:AF60 U58:V60 K48:L50 AE48:AF50 U48:V56 AF46 L46 V46 U43:V43 AE43:AF43 U44:U47 AE44:AE47 V39:V42 U33:V33 K26:L27 AE26:AF27 K33:L33 U26:V27 AE33:AF33 L24 V24 L40:L42 AE34:AE42 U34:U42 AF40:AF42 K34:K47 K16:L19 L20 V16:V20 AE13:AF13 K11:L11 AE11:AE12 U11:V11 K12:K15 K20:K25 AO11:AO27 U12:U25 AE14:AE25">
    <cfRule type="cellIs" dxfId="10" priority="11" stopIfTrue="1" operator="lessThanOrEqual">
      <formula>0</formula>
    </cfRule>
  </conditionalFormatting>
  <conditionalFormatting sqref="W214:X223 Z204:AA206 W225:X225 Z63:AA63 AA68:AB70 AA73:AB75 Z51:AA55 W88:X90 W75:X86">
    <cfRule type="cellIs" dxfId="9" priority="10" stopIfTrue="1" operator="lessThan">
      <formula>0</formula>
    </cfRule>
  </conditionalFormatting>
  <conditionalFormatting sqref="X204:X206 U225 U214:U223 X63:X68 X51 X53:X55 U88:U90 U75:U86">
    <cfRule type="cellIs" dxfId="8" priority="9" stopIfTrue="1" operator="greaterThan">
      <formula>48</formula>
    </cfRule>
  </conditionalFormatting>
  <conditionalFormatting sqref="C280:C284 C292:D295 C163:D163 D280:D291 C91:D146 C245:D245 C226:D226">
    <cfRule type="cellIs" dxfId="7" priority="8" stopIfTrue="1" operator="lessThan">
      <formula>$C$73</formula>
    </cfRule>
  </conditionalFormatting>
  <conditionalFormatting sqref="AI62:AO62 AI33:AO50">
    <cfRule type="cellIs" dxfId="6" priority="6" stopIfTrue="1" operator="equal">
      <formula>0</formula>
    </cfRule>
    <cfRule type="cellIs" dxfId="5" priority="7" stopIfTrue="1" operator="lessThan">
      <formula>0</formula>
    </cfRule>
  </conditionalFormatting>
  <conditionalFormatting sqref="AT62 AT33:AT47">
    <cfRule type="cellIs" dxfId="4" priority="4" stopIfTrue="1" operator="greaterThan">
      <formula>0</formula>
    </cfRule>
    <cfRule type="cellIs" dxfId="3" priority="5" stopIfTrue="1" operator="lessThan">
      <formula>1</formula>
    </cfRule>
  </conditionalFormatting>
  <conditionalFormatting sqref="K211:L221 K224:L224 K73:L89">
    <cfRule type="cellIs" dxfId="2" priority="3" stopIfTrue="1" operator="greaterThanOrEqual">
      <formula>$K$71</formula>
    </cfRule>
  </conditionalFormatting>
  <conditionalFormatting sqref="AF58:AF59 V33:V47 L33:L47 AF33:AF47 L12:L25 AF11:AF25 V12:V25">
    <cfRule type="cellIs" dxfId="1" priority="1" stopIfTrue="1" operator="equal">
      <formula>0</formula>
    </cfRule>
    <cfRule type="cellIs" dxfId="0" priority="2" stopIfTrue="1" operator="lessThan">
      <formula>0</formula>
    </cfRule>
  </conditionalFormatting>
  <hyperlinks>
    <hyperlink ref="AB216" r:id="rId1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2"/>
  <headerFooter alignWithMargins="0">
    <oddHeader>&amp;L&amp;"Arial,Negrita"&amp;U* Transcosta S.A.C.&amp;R&amp;"Arial Narrow,Normal"&amp;8&amp;F&amp;"Arial,Normal"&amp;9 /&amp;14 &amp;A -&amp;10 &amp;D</oddHeader>
  </headerFooter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H281"/>
  <sheetViews>
    <sheetView tabSelected="1" zoomScale="90" zoomScaleNormal="90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E44" sqref="E44"/>
    </sheetView>
  </sheetViews>
  <sheetFormatPr baseColWidth="10" defaultRowHeight="15"/>
  <cols>
    <col min="1" max="1" width="2.28515625" style="1" customWidth="1"/>
    <col min="2" max="2" width="13.7109375" style="7" customWidth="1"/>
    <col min="3" max="4" width="4.28515625" style="3" customWidth="1"/>
    <col min="5" max="5" width="4.28515625" style="4" customWidth="1"/>
    <col min="6" max="6" width="4.28515625" style="5" customWidth="1"/>
    <col min="7" max="8" width="4.28515625" style="3" customWidth="1"/>
    <col min="9" max="9" width="4.28515625" style="5" customWidth="1"/>
    <col min="10" max="10" width="4.28515625" style="3" customWidth="1"/>
    <col min="11" max="12" width="4.28515625" style="6" customWidth="1"/>
    <col min="13" max="26" width="4.28515625" style="3" customWidth="1"/>
    <col min="27" max="39" width="4.28515625" style="7" customWidth="1"/>
    <col min="40" max="40" width="4.7109375" style="7" customWidth="1"/>
    <col min="41" max="41" width="4.28515625" style="7" customWidth="1"/>
    <col min="42" max="42" width="4.7109375" style="7" customWidth="1"/>
    <col min="43" max="43" width="0.5703125" style="7" customWidth="1"/>
    <col min="44" max="45" width="4.140625" style="7" customWidth="1"/>
    <col min="46" max="46" width="7.7109375" style="7" customWidth="1"/>
    <col min="47" max="47" width="0.85546875" style="7" customWidth="1"/>
    <col min="48" max="54" width="2.7109375" style="7" customWidth="1"/>
    <col min="55" max="55" width="0.85546875" style="7" customWidth="1"/>
    <col min="56" max="56" width="8.42578125" style="7" bestFit="1" customWidth="1"/>
    <col min="57" max="57" width="10.28515625" style="7" customWidth="1"/>
    <col min="58" max="59" width="11.42578125" style="7"/>
    <col min="60" max="62" width="12.7109375" style="7" customWidth="1"/>
    <col min="63" max="16384" width="11.42578125" style="7"/>
  </cols>
  <sheetData>
    <row r="1" spans="1:60" ht="6.95" customHeight="1">
      <c r="B1" s="2">
        <f>+W27</f>
        <v>43894</v>
      </c>
      <c r="C1" s="3" t="s">
        <v>0</v>
      </c>
      <c r="AN1" s="8"/>
      <c r="AO1" s="8"/>
      <c r="AR1" s="734">
        <f>+AR48+AT48</f>
        <v>219</v>
      </c>
      <c r="AS1" s="735"/>
      <c r="AT1" s="735"/>
      <c r="AU1" s="736"/>
    </row>
    <row r="2" spans="1:60" ht="6.95" customHeight="1">
      <c r="AJ2" s="8"/>
      <c r="AK2" s="8"/>
      <c r="AL2" s="8"/>
      <c r="AM2" s="8"/>
      <c r="AN2" s="8"/>
      <c r="AO2" s="8"/>
      <c r="AR2" s="737"/>
      <c r="AS2" s="738"/>
      <c r="AT2" s="738"/>
      <c r="AU2" s="739"/>
    </row>
    <row r="3" spans="1:60" s="10" customFormat="1" ht="20.100000000000001" customHeight="1">
      <c r="A3" s="1"/>
      <c r="B3" s="740">
        <f>+B1+1</f>
        <v>43895</v>
      </c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740"/>
      <c r="AB3" s="740"/>
      <c r="AC3" s="740"/>
      <c r="AD3" s="740"/>
      <c r="AE3" s="740"/>
      <c r="AF3" s="740"/>
      <c r="AG3" s="740"/>
      <c r="AH3" s="740"/>
      <c r="AI3" s="740"/>
      <c r="AJ3" s="740"/>
      <c r="AK3" s="740"/>
      <c r="AL3" s="740"/>
      <c r="AM3" s="740"/>
      <c r="AN3" s="740"/>
      <c r="AO3" s="740"/>
      <c r="AP3" s="9"/>
      <c r="AT3" s="11"/>
    </row>
    <row r="4" spans="1:60" ht="3" customHeight="1" thickBot="1">
      <c r="B4" s="12"/>
      <c r="C4" s="3">
        <v>0</v>
      </c>
    </row>
    <row r="5" spans="1:60" ht="9.9499999999999993" customHeight="1">
      <c r="B5" s="741" t="s">
        <v>1</v>
      </c>
      <c r="C5" s="744">
        <v>43888</v>
      </c>
      <c r="D5" s="744"/>
      <c r="E5" s="744"/>
      <c r="F5" s="744"/>
      <c r="G5" s="744"/>
      <c r="H5" s="744"/>
      <c r="I5" s="744"/>
      <c r="J5" s="744"/>
      <c r="K5" s="746"/>
      <c r="L5" s="747"/>
      <c r="M5" s="744">
        <f>1+C5</f>
        <v>43889</v>
      </c>
      <c r="N5" s="744"/>
      <c r="O5" s="744"/>
      <c r="P5" s="744"/>
      <c r="Q5" s="744"/>
      <c r="R5" s="744"/>
      <c r="S5" s="744"/>
      <c r="T5" s="744"/>
      <c r="U5" s="746"/>
      <c r="V5" s="747"/>
      <c r="W5" s="750">
        <f>1+M5</f>
        <v>43890</v>
      </c>
      <c r="X5" s="750"/>
      <c r="Y5" s="750"/>
      <c r="Z5" s="750"/>
      <c r="AA5" s="750"/>
      <c r="AB5" s="750"/>
      <c r="AC5" s="750"/>
      <c r="AD5" s="750"/>
      <c r="AE5" s="752"/>
      <c r="AF5" s="753"/>
      <c r="AG5" s="756">
        <f>1+W5</f>
        <v>43891</v>
      </c>
      <c r="AH5" s="757"/>
      <c r="AI5" s="757"/>
      <c r="AJ5" s="757"/>
      <c r="AK5" s="757"/>
      <c r="AL5" s="757"/>
      <c r="AM5" s="757"/>
      <c r="AN5" s="757"/>
      <c r="AO5" s="791" t="s">
        <v>2</v>
      </c>
      <c r="AP5" s="793" t="s">
        <v>3</v>
      </c>
      <c r="AQ5" s="794"/>
      <c r="AR5" s="794"/>
      <c r="AS5" s="795"/>
      <c r="AT5" s="802" t="s">
        <v>4</v>
      </c>
      <c r="AV5" s="779" t="s">
        <v>5</v>
      </c>
      <c r="AW5" s="779"/>
      <c r="AX5" s="779"/>
      <c r="AY5" s="779"/>
      <c r="AZ5" s="779"/>
      <c r="BA5" s="779"/>
      <c r="BB5" s="779"/>
      <c r="BC5" s="13"/>
      <c r="BD5" s="804" t="s">
        <v>6</v>
      </c>
      <c r="BE5" s="805" t="s">
        <v>7</v>
      </c>
      <c r="BF5" s="776" t="s">
        <v>8</v>
      </c>
    </row>
    <row r="6" spans="1:60" ht="9.9499999999999993" customHeight="1">
      <c r="B6" s="742"/>
      <c r="C6" s="745"/>
      <c r="D6" s="745"/>
      <c r="E6" s="745"/>
      <c r="F6" s="745"/>
      <c r="G6" s="745"/>
      <c r="H6" s="745"/>
      <c r="I6" s="745"/>
      <c r="J6" s="745"/>
      <c r="K6" s="748"/>
      <c r="L6" s="749"/>
      <c r="M6" s="745"/>
      <c r="N6" s="745"/>
      <c r="O6" s="745"/>
      <c r="P6" s="745"/>
      <c r="Q6" s="745"/>
      <c r="R6" s="745"/>
      <c r="S6" s="745"/>
      <c r="T6" s="745"/>
      <c r="U6" s="748"/>
      <c r="V6" s="749"/>
      <c r="W6" s="751"/>
      <c r="X6" s="751"/>
      <c r="Y6" s="751"/>
      <c r="Z6" s="751"/>
      <c r="AA6" s="751"/>
      <c r="AB6" s="751"/>
      <c r="AC6" s="751"/>
      <c r="AD6" s="751"/>
      <c r="AE6" s="754"/>
      <c r="AF6" s="755"/>
      <c r="AG6" s="758"/>
      <c r="AH6" s="759"/>
      <c r="AI6" s="759"/>
      <c r="AJ6" s="759"/>
      <c r="AK6" s="759"/>
      <c r="AL6" s="759"/>
      <c r="AM6" s="759"/>
      <c r="AN6" s="759"/>
      <c r="AO6" s="792"/>
      <c r="AP6" s="796"/>
      <c r="AQ6" s="797"/>
      <c r="AR6" s="797"/>
      <c r="AS6" s="798"/>
      <c r="AT6" s="803"/>
      <c r="AV6" s="779" t="s">
        <v>9</v>
      </c>
      <c r="AW6" s="779"/>
      <c r="AX6" s="779"/>
      <c r="AY6" s="779"/>
      <c r="AZ6" s="779"/>
      <c r="BA6" s="779"/>
      <c r="BB6" s="779"/>
      <c r="BC6" s="13"/>
      <c r="BD6" s="804"/>
      <c r="BE6" s="805"/>
      <c r="BF6" s="777"/>
    </row>
    <row r="7" spans="1:60" ht="15.2" customHeight="1">
      <c r="B7" s="742"/>
      <c r="C7" s="780" t="s">
        <v>10</v>
      </c>
      <c r="D7" s="781"/>
      <c r="E7" s="766" t="s">
        <v>11</v>
      </c>
      <c r="F7" s="769" t="s">
        <v>12</v>
      </c>
      <c r="G7" s="772" t="s">
        <v>10</v>
      </c>
      <c r="H7" s="761"/>
      <c r="I7" s="769" t="s">
        <v>12</v>
      </c>
      <c r="J7" s="773" t="s">
        <v>13</v>
      </c>
      <c r="K7" s="786" t="s">
        <v>14</v>
      </c>
      <c r="L7" s="789" t="s">
        <v>15</v>
      </c>
      <c r="M7" s="760" t="s">
        <v>10</v>
      </c>
      <c r="N7" s="761"/>
      <c r="O7" s="766" t="s">
        <v>11</v>
      </c>
      <c r="P7" s="769" t="s">
        <v>12</v>
      </c>
      <c r="Q7" s="772" t="s">
        <v>10</v>
      </c>
      <c r="R7" s="761"/>
      <c r="S7" s="769" t="s">
        <v>12</v>
      </c>
      <c r="T7" s="773" t="s">
        <v>13</v>
      </c>
      <c r="U7" s="786" t="s">
        <v>14</v>
      </c>
      <c r="V7" s="789" t="s">
        <v>15</v>
      </c>
      <c r="W7" s="814" t="s">
        <v>10</v>
      </c>
      <c r="X7" s="810"/>
      <c r="Y7" s="766" t="s">
        <v>11</v>
      </c>
      <c r="Z7" s="769" t="s">
        <v>12</v>
      </c>
      <c r="AA7" s="809" t="s">
        <v>10</v>
      </c>
      <c r="AB7" s="810"/>
      <c r="AC7" s="769" t="s">
        <v>12</v>
      </c>
      <c r="AD7" s="773" t="s">
        <v>13</v>
      </c>
      <c r="AE7" s="807" t="s">
        <v>14</v>
      </c>
      <c r="AF7" s="789" t="s">
        <v>15</v>
      </c>
      <c r="AG7" s="809" t="s">
        <v>10</v>
      </c>
      <c r="AH7" s="810"/>
      <c r="AI7" s="766" t="s">
        <v>11</v>
      </c>
      <c r="AJ7" s="825" t="s">
        <v>12</v>
      </c>
      <c r="AK7" s="809" t="s">
        <v>10</v>
      </c>
      <c r="AL7" s="810"/>
      <c r="AM7" s="769" t="s">
        <v>12</v>
      </c>
      <c r="AN7" s="828" t="s">
        <v>16</v>
      </c>
      <c r="AO7" s="830" t="s">
        <v>14</v>
      </c>
      <c r="AP7" s="796"/>
      <c r="AQ7" s="797"/>
      <c r="AR7" s="797"/>
      <c r="AS7" s="798"/>
      <c r="AT7" s="803"/>
      <c r="AV7" s="806">
        <f>+C5</f>
        <v>43888</v>
      </c>
      <c r="AW7" s="806">
        <f>+M5</f>
        <v>43889</v>
      </c>
      <c r="AX7" s="806">
        <f>+W5</f>
        <v>43890</v>
      </c>
      <c r="AY7" s="832">
        <f>+AG5</f>
        <v>43891</v>
      </c>
      <c r="AZ7" s="806">
        <f>+C27</f>
        <v>43892</v>
      </c>
      <c r="BA7" s="806">
        <f>+M27</f>
        <v>43893</v>
      </c>
      <c r="BB7" s="806">
        <f>+W27</f>
        <v>43894</v>
      </c>
      <c r="BC7" s="14"/>
      <c r="BD7" s="804"/>
      <c r="BE7" s="805"/>
      <c r="BF7" s="777"/>
    </row>
    <row r="8" spans="1:60" ht="15.2" customHeight="1">
      <c r="B8" s="742"/>
      <c r="C8" s="782"/>
      <c r="D8" s="783"/>
      <c r="E8" s="767"/>
      <c r="F8" s="770"/>
      <c r="G8" s="763"/>
      <c r="H8" s="763"/>
      <c r="I8" s="770"/>
      <c r="J8" s="774"/>
      <c r="K8" s="787"/>
      <c r="L8" s="789"/>
      <c r="M8" s="762"/>
      <c r="N8" s="763"/>
      <c r="O8" s="767"/>
      <c r="P8" s="770"/>
      <c r="Q8" s="763"/>
      <c r="R8" s="763"/>
      <c r="S8" s="770"/>
      <c r="T8" s="774"/>
      <c r="U8" s="787"/>
      <c r="V8" s="789"/>
      <c r="W8" s="815"/>
      <c r="X8" s="810"/>
      <c r="Y8" s="767"/>
      <c r="Z8" s="770"/>
      <c r="AA8" s="811"/>
      <c r="AB8" s="810"/>
      <c r="AC8" s="770"/>
      <c r="AD8" s="774"/>
      <c r="AE8" s="807"/>
      <c r="AF8" s="789"/>
      <c r="AG8" s="811"/>
      <c r="AH8" s="810"/>
      <c r="AI8" s="767"/>
      <c r="AJ8" s="826"/>
      <c r="AK8" s="811"/>
      <c r="AL8" s="810"/>
      <c r="AM8" s="770"/>
      <c r="AN8" s="828"/>
      <c r="AO8" s="830"/>
      <c r="AP8" s="796"/>
      <c r="AQ8" s="797"/>
      <c r="AR8" s="797"/>
      <c r="AS8" s="798"/>
      <c r="AT8" s="803"/>
      <c r="AV8" s="806"/>
      <c r="AW8" s="806"/>
      <c r="AX8" s="806"/>
      <c r="AY8" s="832"/>
      <c r="AZ8" s="806"/>
      <c r="BA8" s="806"/>
      <c r="BB8" s="806"/>
      <c r="BC8" s="14"/>
      <c r="BD8" s="804"/>
      <c r="BE8" s="805"/>
      <c r="BF8" s="777"/>
    </row>
    <row r="9" spans="1:60" ht="15.2" customHeight="1">
      <c r="B9" s="742"/>
      <c r="C9" s="782"/>
      <c r="D9" s="783"/>
      <c r="E9" s="767"/>
      <c r="F9" s="770"/>
      <c r="G9" s="763"/>
      <c r="H9" s="763"/>
      <c r="I9" s="770"/>
      <c r="J9" s="774"/>
      <c r="K9" s="787"/>
      <c r="L9" s="789"/>
      <c r="M9" s="762"/>
      <c r="N9" s="763"/>
      <c r="O9" s="767"/>
      <c r="P9" s="770"/>
      <c r="Q9" s="763"/>
      <c r="R9" s="763"/>
      <c r="S9" s="770"/>
      <c r="T9" s="774"/>
      <c r="U9" s="787"/>
      <c r="V9" s="789"/>
      <c r="W9" s="815"/>
      <c r="X9" s="810"/>
      <c r="Y9" s="767"/>
      <c r="Z9" s="770"/>
      <c r="AA9" s="811"/>
      <c r="AB9" s="810"/>
      <c r="AC9" s="770"/>
      <c r="AD9" s="774"/>
      <c r="AE9" s="807"/>
      <c r="AF9" s="789"/>
      <c r="AG9" s="811"/>
      <c r="AH9" s="810"/>
      <c r="AI9" s="767"/>
      <c r="AJ9" s="826"/>
      <c r="AK9" s="811"/>
      <c r="AL9" s="810"/>
      <c r="AM9" s="770"/>
      <c r="AN9" s="828"/>
      <c r="AO9" s="830"/>
      <c r="AP9" s="796"/>
      <c r="AQ9" s="797"/>
      <c r="AR9" s="797"/>
      <c r="AS9" s="798"/>
      <c r="AT9" s="803"/>
      <c r="AV9" s="806"/>
      <c r="AW9" s="806"/>
      <c r="AX9" s="806"/>
      <c r="AY9" s="832"/>
      <c r="AZ9" s="806"/>
      <c r="BA9" s="806"/>
      <c r="BB9" s="806"/>
      <c r="BC9" s="14"/>
      <c r="BD9" s="804"/>
      <c r="BE9" s="805"/>
      <c r="BF9" s="777"/>
    </row>
    <row r="10" spans="1:60" ht="15.2" customHeight="1" thickBot="1">
      <c r="B10" s="743"/>
      <c r="C10" s="784"/>
      <c r="D10" s="785"/>
      <c r="E10" s="768"/>
      <c r="F10" s="771"/>
      <c r="G10" s="765"/>
      <c r="H10" s="765"/>
      <c r="I10" s="771"/>
      <c r="J10" s="775"/>
      <c r="K10" s="788"/>
      <c r="L10" s="790"/>
      <c r="M10" s="764"/>
      <c r="N10" s="765"/>
      <c r="O10" s="768"/>
      <c r="P10" s="771"/>
      <c r="Q10" s="765"/>
      <c r="R10" s="765"/>
      <c r="S10" s="771"/>
      <c r="T10" s="775"/>
      <c r="U10" s="788"/>
      <c r="V10" s="790"/>
      <c r="W10" s="816"/>
      <c r="X10" s="813"/>
      <c r="Y10" s="768"/>
      <c r="Z10" s="771"/>
      <c r="AA10" s="812"/>
      <c r="AB10" s="813"/>
      <c r="AC10" s="771"/>
      <c r="AD10" s="775"/>
      <c r="AE10" s="808"/>
      <c r="AF10" s="790"/>
      <c r="AG10" s="812"/>
      <c r="AH10" s="813"/>
      <c r="AI10" s="768"/>
      <c r="AJ10" s="827"/>
      <c r="AK10" s="812"/>
      <c r="AL10" s="813"/>
      <c r="AM10" s="771"/>
      <c r="AN10" s="829"/>
      <c r="AO10" s="831"/>
      <c r="AP10" s="799"/>
      <c r="AQ10" s="800"/>
      <c r="AR10" s="800"/>
      <c r="AS10" s="801"/>
      <c r="AT10" s="15">
        <v>4</v>
      </c>
      <c r="AV10" s="806"/>
      <c r="AW10" s="806"/>
      <c r="AX10" s="806"/>
      <c r="AY10" s="832"/>
      <c r="AZ10" s="806"/>
      <c r="BA10" s="806"/>
      <c r="BB10" s="806"/>
      <c r="BC10" s="14"/>
      <c r="BD10" s="804"/>
      <c r="BE10" s="805"/>
      <c r="BF10" s="778"/>
    </row>
    <row r="11" spans="1:60" ht="14.1" customHeight="1">
      <c r="A11" s="1">
        <v>1</v>
      </c>
      <c r="B11" s="16" t="str">
        <f t="shared" ref="B11:B24" si="0">+B73</f>
        <v>Eduardo Segura D.</v>
      </c>
      <c r="C11" s="17">
        <v>7</v>
      </c>
      <c r="D11" s="18">
        <v>16</v>
      </c>
      <c r="E11" s="19">
        <v>1</v>
      </c>
      <c r="F11" s="20">
        <f t="shared" ref="F11:F21" si="1">+D11-C11-E11</f>
        <v>8</v>
      </c>
      <c r="G11" s="21"/>
      <c r="H11" s="22"/>
      <c r="I11" s="20">
        <f t="shared" ref="I11:I21" si="2">+H11-G11</f>
        <v>0</v>
      </c>
      <c r="J11" s="23"/>
      <c r="K11" s="24">
        <f t="shared" ref="K11:K21" si="3">+I11+F11-L11</f>
        <v>8</v>
      </c>
      <c r="L11" s="25">
        <f t="shared" ref="L11:L25" si="4">IF(C11&gt;0,(F11+I11)+IF(K$5&gt;0,F11,-8),0)+IF(U$5&gt;0,I11,0)</f>
        <v>0</v>
      </c>
      <c r="M11" s="26">
        <v>7</v>
      </c>
      <c r="N11" s="21">
        <v>16</v>
      </c>
      <c r="O11" s="23">
        <v>1</v>
      </c>
      <c r="P11" s="20">
        <f t="shared" ref="P11:P21" si="5">+N11-M11-O11</f>
        <v>8</v>
      </c>
      <c r="Q11" s="22"/>
      <c r="R11" s="22"/>
      <c r="S11" s="20">
        <f t="shared" ref="S11:S21" si="6">+R11-Q11</f>
        <v>0</v>
      </c>
      <c r="T11" s="23"/>
      <c r="U11" s="24">
        <f t="shared" ref="U11:U21" si="7">+S11+P11-V11</f>
        <v>8</v>
      </c>
      <c r="V11" s="25">
        <f t="shared" ref="V11:V21" si="8">IF(M11&gt;0,(P11+S11)+IF(U$5&gt;0,P11,-8),0)+IF(AE$5&gt;0,S11,0)</f>
        <v>0</v>
      </c>
      <c r="W11" s="26">
        <v>7</v>
      </c>
      <c r="X11" s="22">
        <v>16</v>
      </c>
      <c r="Y11" s="27">
        <v>1</v>
      </c>
      <c r="Z11" s="20">
        <f t="shared" ref="Z11:Z21" si="9">+X11-W11-Y11</f>
        <v>8</v>
      </c>
      <c r="AA11" s="22"/>
      <c r="AB11" s="28"/>
      <c r="AC11" s="20">
        <f t="shared" ref="AC11:AC21" si="10">+AB11-AA11</f>
        <v>0</v>
      </c>
      <c r="AD11" s="23"/>
      <c r="AE11" s="24">
        <f t="shared" ref="AE11:AE25" si="11">+AC11+Z11-IF(AE$5&gt;0,AF11/2,AF11)</f>
        <v>8</v>
      </c>
      <c r="AF11" s="25">
        <f>IF(W11&gt;0,IF(AE$5&gt;0,(Z11+AC11)*2,(Z11+AC11-8)),0)*IF(Z11&lt;9,IF(AE$5&gt;0,1,2),1)+IF(Z11&gt;8,AC11,0)</f>
        <v>0</v>
      </c>
      <c r="AG11" s="22"/>
      <c r="AH11" s="22"/>
      <c r="AI11" s="27"/>
      <c r="AJ11" s="29">
        <f t="shared" ref="AJ11:AJ25" si="12">+AH11-AG11-AI11</f>
        <v>0</v>
      </c>
      <c r="AK11" s="21"/>
      <c r="AL11" s="21"/>
      <c r="AM11" s="20">
        <f t="shared" ref="AM11:AM21" si="13">+AL11-AK11</f>
        <v>0</v>
      </c>
      <c r="AN11" s="30"/>
      <c r="AO11" s="31">
        <f t="shared" ref="AO11:AO21" si="14">(AJ11*2+AM11)</f>
        <v>0</v>
      </c>
      <c r="AP11" s="817">
        <f t="shared" ref="AP11:AP25" si="15">+L11+V11+AF11+AO11+L33+V33+AF33-AN11</f>
        <v>0</v>
      </c>
      <c r="AQ11" s="818"/>
      <c r="AR11" s="819">
        <f t="shared" ref="AR11:AR21" si="16">ROUND(BD11*AP11,1)</f>
        <v>0</v>
      </c>
      <c r="AS11" s="820"/>
      <c r="AT11" s="32">
        <f t="shared" ref="AT11:AT23" si="17">IF(AT33&gt;0,AT33*$AT$10,0)</f>
        <v>24</v>
      </c>
      <c r="AV11" s="33">
        <f t="shared" ref="AV11:AV21" si="18">+L11</f>
        <v>0</v>
      </c>
      <c r="AW11" s="33">
        <f t="shared" ref="AW11:AW21" si="19">+V11</f>
        <v>0</v>
      </c>
      <c r="AX11" s="33">
        <f t="shared" ref="AX11:AX21" si="20">+AF11</f>
        <v>0</v>
      </c>
      <c r="AY11" s="34">
        <f t="shared" ref="AY11:AY21" si="21">+AO11</f>
        <v>0</v>
      </c>
      <c r="AZ11" s="33">
        <f t="shared" ref="AZ11:AZ17" si="22">+L33</f>
        <v>1</v>
      </c>
      <c r="BA11" s="33">
        <f t="shared" ref="BA11:BA17" si="23">+V33</f>
        <v>0</v>
      </c>
      <c r="BB11" s="33">
        <f t="shared" ref="BB11:BB17" si="24">+AF33</f>
        <v>-1</v>
      </c>
      <c r="BC11" s="35"/>
      <c r="BD11" s="36">
        <f t="shared" ref="BD11:BD23" si="25">+I73</f>
        <v>4.5464285714285708</v>
      </c>
      <c r="BE11" s="37">
        <f t="shared" ref="BE11:BE21" si="26">+BD11*AP11</f>
        <v>0</v>
      </c>
      <c r="BF11" s="38">
        <f t="shared" ref="BF11:BF21" si="27">+BD11*AY11</f>
        <v>0</v>
      </c>
    </row>
    <row r="12" spans="1:60" ht="14.1" customHeight="1">
      <c r="A12" s="1">
        <v>2</v>
      </c>
      <c r="B12" s="63" t="str">
        <f t="shared" si="0"/>
        <v>Cesar Mendez M.</v>
      </c>
      <c r="C12" s="17">
        <v>7</v>
      </c>
      <c r="D12" s="18">
        <v>19</v>
      </c>
      <c r="E12" s="19">
        <v>1</v>
      </c>
      <c r="F12" s="40">
        <f t="shared" si="1"/>
        <v>11</v>
      </c>
      <c r="G12" s="18"/>
      <c r="H12" s="18"/>
      <c r="I12" s="40">
        <f t="shared" si="2"/>
        <v>0</v>
      </c>
      <c r="J12" s="19"/>
      <c r="K12" s="41">
        <f t="shared" si="3"/>
        <v>8</v>
      </c>
      <c r="L12" s="25">
        <f t="shared" si="4"/>
        <v>3</v>
      </c>
      <c r="M12" s="716">
        <v>7</v>
      </c>
      <c r="N12" s="18">
        <v>18</v>
      </c>
      <c r="O12" s="19">
        <v>1</v>
      </c>
      <c r="P12" s="40">
        <f t="shared" si="5"/>
        <v>10</v>
      </c>
      <c r="Q12" s="43">
        <v>20</v>
      </c>
      <c r="R12" s="43">
        <v>26</v>
      </c>
      <c r="S12" s="40">
        <f t="shared" si="6"/>
        <v>6</v>
      </c>
      <c r="T12" s="19"/>
      <c r="U12" s="41">
        <f t="shared" si="7"/>
        <v>8</v>
      </c>
      <c r="V12" s="25">
        <f t="shared" si="8"/>
        <v>8</v>
      </c>
      <c r="W12" s="18">
        <v>7</v>
      </c>
      <c r="X12" s="18">
        <v>20</v>
      </c>
      <c r="Y12" s="19">
        <v>1</v>
      </c>
      <c r="Z12" s="40">
        <f t="shared" si="9"/>
        <v>12</v>
      </c>
      <c r="AA12" s="44"/>
      <c r="AB12" s="28"/>
      <c r="AC12" s="40">
        <f t="shared" si="10"/>
        <v>0</v>
      </c>
      <c r="AD12" s="19"/>
      <c r="AE12" s="41">
        <f t="shared" si="11"/>
        <v>8</v>
      </c>
      <c r="AF12" s="25">
        <f>IF(W12&gt;0,IF(AE$5&gt;0,(Z12+AC12)*2,(Z12+AC12-8)),0)*IF(Z12&lt;9,IF(AE$5&gt;0,1,2),1)+IF(Z12&gt;8,AC12,0)</f>
        <v>4</v>
      </c>
      <c r="AG12" s="45">
        <v>7</v>
      </c>
      <c r="AH12" s="18">
        <v>18</v>
      </c>
      <c r="AI12" s="19">
        <v>1</v>
      </c>
      <c r="AJ12" s="46">
        <f>+AH12-AG12-AI12</f>
        <v>10</v>
      </c>
      <c r="AK12" s="18"/>
      <c r="AL12" s="18"/>
      <c r="AM12" s="40">
        <f t="shared" si="13"/>
        <v>0</v>
      </c>
      <c r="AN12" s="47"/>
      <c r="AO12" s="48">
        <f t="shared" si="14"/>
        <v>20</v>
      </c>
      <c r="AP12" s="821">
        <f t="shared" si="15"/>
        <v>40</v>
      </c>
      <c r="AQ12" s="822"/>
      <c r="AR12" s="823">
        <f t="shared" si="16"/>
        <v>205.4</v>
      </c>
      <c r="AS12" s="824"/>
      <c r="AT12" s="49">
        <f t="shared" si="17"/>
        <v>28</v>
      </c>
      <c r="AV12" s="33">
        <f t="shared" si="18"/>
        <v>3</v>
      </c>
      <c r="AW12" s="33">
        <f t="shared" si="19"/>
        <v>8</v>
      </c>
      <c r="AX12" s="33">
        <f t="shared" si="20"/>
        <v>4</v>
      </c>
      <c r="AY12" s="34">
        <f t="shared" si="21"/>
        <v>20</v>
      </c>
      <c r="AZ12" s="33">
        <f t="shared" si="22"/>
        <v>2</v>
      </c>
      <c r="BA12" s="33">
        <f t="shared" si="23"/>
        <v>1</v>
      </c>
      <c r="BB12" s="33">
        <f t="shared" si="24"/>
        <v>2</v>
      </c>
      <c r="BC12" s="35"/>
      <c r="BD12" s="36">
        <f t="shared" si="25"/>
        <v>5.1339285714285712</v>
      </c>
      <c r="BE12" s="37">
        <f t="shared" si="26"/>
        <v>205.35714285714283</v>
      </c>
      <c r="BF12" s="38">
        <f t="shared" si="27"/>
        <v>102.67857142857142</v>
      </c>
    </row>
    <row r="13" spans="1:60" ht="14.1" customHeight="1">
      <c r="A13" s="1">
        <v>4</v>
      </c>
      <c r="B13" s="63" t="str">
        <f t="shared" si="0"/>
        <v>Juan Manrique V.</v>
      </c>
      <c r="C13" s="17">
        <v>7</v>
      </c>
      <c r="D13" s="18">
        <v>16</v>
      </c>
      <c r="E13" s="19">
        <v>1</v>
      </c>
      <c r="F13" s="40">
        <f t="shared" si="1"/>
        <v>8</v>
      </c>
      <c r="G13" s="18"/>
      <c r="H13" s="43"/>
      <c r="I13" s="40">
        <f t="shared" si="2"/>
        <v>0</v>
      </c>
      <c r="J13" s="19"/>
      <c r="K13" s="41">
        <f t="shared" si="3"/>
        <v>8</v>
      </c>
      <c r="L13" s="25">
        <f t="shared" si="4"/>
        <v>0</v>
      </c>
      <c r="M13" s="716">
        <v>7</v>
      </c>
      <c r="N13" s="18">
        <v>16</v>
      </c>
      <c r="O13" s="19">
        <v>1</v>
      </c>
      <c r="P13" s="40">
        <f t="shared" si="5"/>
        <v>8</v>
      </c>
      <c r="Q13" s="43"/>
      <c r="R13" s="43"/>
      <c r="S13" s="40">
        <f t="shared" si="6"/>
        <v>0</v>
      </c>
      <c r="T13" s="19"/>
      <c r="U13" s="41">
        <f t="shared" si="7"/>
        <v>8</v>
      </c>
      <c r="V13" s="25">
        <f t="shared" si="8"/>
        <v>0</v>
      </c>
      <c r="W13" s="18">
        <v>7</v>
      </c>
      <c r="X13" s="18">
        <v>16</v>
      </c>
      <c r="Y13" s="19">
        <v>1</v>
      </c>
      <c r="Z13" s="40">
        <f t="shared" si="9"/>
        <v>8</v>
      </c>
      <c r="AA13" s="43"/>
      <c r="AB13" s="28"/>
      <c r="AC13" s="40">
        <f t="shared" si="10"/>
        <v>0</v>
      </c>
      <c r="AD13" s="19"/>
      <c r="AE13" s="41">
        <f t="shared" si="11"/>
        <v>8</v>
      </c>
      <c r="AF13" s="25">
        <f>IF(W13&gt;0,IF(AE$5&gt;0,(Z13+AC13)*2,(Z13+AC13-8)),0)*IF(Z13&lt;9,IF(AE$5&gt;0,1,2),1)+IF(Z13&gt;8,AC13,0)</f>
        <v>0</v>
      </c>
      <c r="AG13" s="45"/>
      <c r="AH13" s="18"/>
      <c r="AI13" s="19"/>
      <c r="AJ13" s="46">
        <f t="shared" si="12"/>
        <v>0</v>
      </c>
      <c r="AK13" s="18"/>
      <c r="AL13" s="18"/>
      <c r="AM13" s="40">
        <f t="shared" si="13"/>
        <v>0</v>
      </c>
      <c r="AN13" s="47"/>
      <c r="AO13" s="48">
        <f t="shared" si="14"/>
        <v>0</v>
      </c>
      <c r="AP13" s="845">
        <f t="shared" si="15"/>
        <v>2</v>
      </c>
      <c r="AQ13" s="846"/>
      <c r="AR13" s="823">
        <f t="shared" si="16"/>
        <v>10.3</v>
      </c>
      <c r="AS13" s="824"/>
      <c r="AT13" s="49">
        <f t="shared" si="17"/>
        <v>24</v>
      </c>
      <c r="AV13" s="33">
        <f t="shared" si="18"/>
        <v>0</v>
      </c>
      <c r="AW13" s="33">
        <f t="shared" si="19"/>
        <v>0</v>
      </c>
      <c r="AX13" s="33">
        <f t="shared" si="20"/>
        <v>0</v>
      </c>
      <c r="AY13" s="34">
        <f t="shared" si="21"/>
        <v>0</v>
      </c>
      <c r="AZ13" s="33">
        <f t="shared" si="22"/>
        <v>0</v>
      </c>
      <c r="BA13" s="33">
        <f t="shared" si="23"/>
        <v>1</v>
      </c>
      <c r="BB13" s="33">
        <f t="shared" si="24"/>
        <v>1</v>
      </c>
      <c r="BC13" s="35"/>
      <c r="BD13" s="36">
        <f t="shared" si="25"/>
        <v>5.1339285714285712</v>
      </c>
      <c r="BE13" s="60">
        <f t="shared" si="26"/>
        <v>10.267857142857142</v>
      </c>
      <c r="BF13" s="61">
        <f t="shared" si="27"/>
        <v>0</v>
      </c>
    </row>
    <row r="14" spans="1:60" s="69" customFormat="1" ht="14.1" customHeight="1">
      <c r="A14" s="62">
        <v>5</v>
      </c>
      <c r="B14" s="63" t="str">
        <f t="shared" si="0"/>
        <v xml:space="preserve"> Irving Huaringa B.</v>
      </c>
      <c r="C14" s="17">
        <v>7</v>
      </c>
      <c r="D14" s="18">
        <v>16</v>
      </c>
      <c r="E14" s="19">
        <v>1</v>
      </c>
      <c r="F14" s="40">
        <f t="shared" si="1"/>
        <v>8</v>
      </c>
      <c r="G14" s="18"/>
      <c r="H14" s="43"/>
      <c r="I14" s="40">
        <f t="shared" si="2"/>
        <v>0</v>
      </c>
      <c r="J14" s="19"/>
      <c r="K14" s="41">
        <f t="shared" si="3"/>
        <v>8</v>
      </c>
      <c r="L14" s="25">
        <f t="shared" si="4"/>
        <v>0</v>
      </c>
      <c r="M14" s="18">
        <v>8</v>
      </c>
      <c r="N14" s="18">
        <v>16</v>
      </c>
      <c r="O14" s="19">
        <v>1</v>
      </c>
      <c r="P14" s="40">
        <f t="shared" si="5"/>
        <v>7</v>
      </c>
      <c r="Q14" s="43"/>
      <c r="R14" s="43"/>
      <c r="S14" s="40">
        <f t="shared" si="6"/>
        <v>0</v>
      </c>
      <c r="T14" s="19"/>
      <c r="U14" s="41">
        <f t="shared" si="7"/>
        <v>8</v>
      </c>
      <c r="V14" s="25">
        <f t="shared" si="8"/>
        <v>-1</v>
      </c>
      <c r="W14" s="18">
        <v>7</v>
      </c>
      <c r="X14" s="43">
        <v>14</v>
      </c>
      <c r="Y14" s="54">
        <v>1</v>
      </c>
      <c r="Z14" s="53">
        <f t="shared" si="9"/>
        <v>6</v>
      </c>
      <c r="AA14" s="64"/>
      <c r="AB14" s="28"/>
      <c r="AC14" s="40">
        <f t="shared" si="10"/>
        <v>0</v>
      </c>
      <c r="AD14" s="19"/>
      <c r="AE14" s="41">
        <f t="shared" si="11"/>
        <v>5</v>
      </c>
      <c r="AF14" s="25">
        <f>IF(W14&gt;0,IF(AE$5&gt;0,(Z14+AC14)*2,(Z14+AC14-5)),0)*IF(Z14&lt;6,IF(AE$5&gt;0,1,2),1)+IF(Z14&gt;5,AC14,0)</f>
        <v>1</v>
      </c>
      <c r="AG14" s="45"/>
      <c r="AH14" s="18"/>
      <c r="AI14" s="19"/>
      <c r="AJ14" s="46">
        <f t="shared" si="12"/>
        <v>0</v>
      </c>
      <c r="AK14" s="18"/>
      <c r="AL14" s="18"/>
      <c r="AM14" s="40">
        <f t="shared" si="13"/>
        <v>0</v>
      </c>
      <c r="AN14" s="65"/>
      <c r="AO14" s="48">
        <f t="shared" si="14"/>
        <v>0</v>
      </c>
      <c r="AP14" s="821">
        <f t="shared" si="15"/>
        <v>0</v>
      </c>
      <c r="AQ14" s="822"/>
      <c r="AR14" s="823">
        <f t="shared" si="16"/>
        <v>0</v>
      </c>
      <c r="AS14" s="824"/>
      <c r="AT14" s="49">
        <f t="shared" si="17"/>
        <v>24</v>
      </c>
      <c r="AU14" s="7"/>
      <c r="AV14" s="33">
        <f t="shared" si="18"/>
        <v>0</v>
      </c>
      <c r="AW14" s="33">
        <f t="shared" si="19"/>
        <v>-1</v>
      </c>
      <c r="AX14" s="33">
        <f t="shared" si="20"/>
        <v>1</v>
      </c>
      <c r="AY14" s="34">
        <f t="shared" si="21"/>
        <v>0</v>
      </c>
      <c r="AZ14" s="33">
        <f t="shared" si="22"/>
        <v>0</v>
      </c>
      <c r="BA14" s="33">
        <f t="shared" si="23"/>
        <v>0</v>
      </c>
      <c r="BB14" s="33">
        <f t="shared" si="24"/>
        <v>0</v>
      </c>
      <c r="BC14" s="66"/>
      <c r="BD14" s="36">
        <f t="shared" si="25"/>
        <v>5.1339285714285712</v>
      </c>
      <c r="BE14" s="67">
        <f t="shared" si="26"/>
        <v>0</v>
      </c>
      <c r="BF14" s="68">
        <f t="shared" si="27"/>
        <v>0</v>
      </c>
    </row>
    <row r="15" spans="1:60" ht="14.1" customHeight="1">
      <c r="A15" s="1">
        <v>12</v>
      </c>
      <c r="B15" s="39" t="str">
        <f t="shared" si="0"/>
        <v>Pier Alejos A.</v>
      </c>
      <c r="C15" s="56">
        <v>7</v>
      </c>
      <c r="D15" s="43">
        <v>16</v>
      </c>
      <c r="E15" s="54">
        <v>1</v>
      </c>
      <c r="F15" s="53">
        <f t="shared" si="1"/>
        <v>8</v>
      </c>
      <c r="G15" s="43"/>
      <c r="H15" s="117"/>
      <c r="I15" s="53">
        <f t="shared" si="2"/>
        <v>0</v>
      </c>
      <c r="J15" s="54"/>
      <c r="K15" s="55">
        <f t="shared" si="3"/>
        <v>8</v>
      </c>
      <c r="L15" s="135">
        <f t="shared" si="4"/>
        <v>0</v>
      </c>
      <c r="M15" s="136">
        <v>7</v>
      </c>
      <c r="N15" s="43">
        <v>16</v>
      </c>
      <c r="O15" s="54">
        <v>1</v>
      </c>
      <c r="P15" s="53">
        <f t="shared" si="5"/>
        <v>8</v>
      </c>
      <c r="Q15" s="43"/>
      <c r="R15" s="43"/>
      <c r="S15" s="53">
        <f t="shared" si="6"/>
        <v>0</v>
      </c>
      <c r="T15" s="54"/>
      <c r="U15" s="55">
        <f t="shared" si="7"/>
        <v>8</v>
      </c>
      <c r="V15" s="135">
        <f t="shared" si="8"/>
        <v>0</v>
      </c>
      <c r="W15" s="43">
        <v>7</v>
      </c>
      <c r="X15" s="43">
        <v>16</v>
      </c>
      <c r="Y15" s="54">
        <v>1</v>
      </c>
      <c r="Z15" s="53">
        <f t="shared" si="9"/>
        <v>8</v>
      </c>
      <c r="AA15" s="44"/>
      <c r="AB15" s="28"/>
      <c r="AC15" s="53">
        <f t="shared" si="10"/>
        <v>0</v>
      </c>
      <c r="AD15" s="54"/>
      <c r="AE15" s="137">
        <f>+AC15+Z15-IF(AE$5&gt;0,AF15/2,AF15)</f>
        <v>8</v>
      </c>
      <c r="AF15" s="135">
        <f>IF(W15&gt;0,IF(AE$5&gt;0,(Z15+AC15)*2,(Z15+AC15-8)),0)*IF(Z15&lt;9,IF(AE$5&gt;0,1,2),1)+IF(Z15&gt;8,AC15,0)</f>
        <v>0</v>
      </c>
      <c r="AG15" s="138"/>
      <c r="AH15" s="43"/>
      <c r="AI15" s="54"/>
      <c r="AJ15" s="139">
        <f t="shared" si="12"/>
        <v>0</v>
      </c>
      <c r="AK15" s="43"/>
      <c r="AL15" s="43"/>
      <c r="AM15" s="53">
        <f t="shared" si="13"/>
        <v>0</v>
      </c>
      <c r="AN15" s="65"/>
      <c r="AO15" s="140">
        <f t="shared" si="14"/>
        <v>0</v>
      </c>
      <c r="AP15" s="821">
        <f>+L15+V15+AF15+AO15+L37+V37+AF37-AN15</f>
        <v>2</v>
      </c>
      <c r="AQ15" s="822"/>
      <c r="AR15" s="823">
        <f t="shared" si="16"/>
        <v>7.8</v>
      </c>
      <c r="AS15" s="824"/>
      <c r="AT15" s="49">
        <f t="shared" si="17"/>
        <v>24</v>
      </c>
      <c r="AV15" s="33">
        <f t="shared" si="18"/>
        <v>0</v>
      </c>
      <c r="AW15" s="33">
        <f t="shared" si="19"/>
        <v>0</v>
      </c>
      <c r="AX15" s="33">
        <f t="shared" si="20"/>
        <v>0</v>
      </c>
      <c r="AY15" s="34">
        <f t="shared" si="21"/>
        <v>0</v>
      </c>
      <c r="AZ15" s="33">
        <f t="shared" si="22"/>
        <v>0</v>
      </c>
      <c r="BA15" s="33">
        <f t="shared" si="23"/>
        <v>1</v>
      </c>
      <c r="BB15" s="33">
        <f t="shared" si="24"/>
        <v>1</v>
      </c>
      <c r="BC15" s="35"/>
      <c r="BD15" s="36">
        <f t="shared" si="25"/>
        <v>3.8750035714285715</v>
      </c>
      <c r="BE15" s="37">
        <f t="shared" si="26"/>
        <v>7.7500071428571431</v>
      </c>
      <c r="BF15" s="38">
        <f t="shared" si="27"/>
        <v>0</v>
      </c>
      <c r="BH15" s="141"/>
    </row>
    <row r="16" spans="1:60" s="69" customFormat="1" ht="14.1" customHeight="1">
      <c r="A16" s="62">
        <v>6</v>
      </c>
      <c r="B16" s="630" t="str">
        <f t="shared" si="0"/>
        <v>Jose Cortez P.</v>
      </c>
      <c r="C16" s="92">
        <v>7</v>
      </c>
      <c r="D16" s="92">
        <v>16</v>
      </c>
      <c r="E16" s="92">
        <v>1</v>
      </c>
      <c r="F16" s="93">
        <f t="shared" si="1"/>
        <v>8</v>
      </c>
      <c r="G16" s="43"/>
      <c r="H16" s="43"/>
      <c r="I16" s="93">
        <f t="shared" si="2"/>
        <v>0</v>
      </c>
      <c r="J16" s="92"/>
      <c r="K16" s="41">
        <f t="shared" si="3"/>
        <v>8</v>
      </c>
      <c r="L16" s="94">
        <f t="shared" si="4"/>
        <v>0</v>
      </c>
      <c r="M16" s="715">
        <v>7</v>
      </c>
      <c r="N16" s="92">
        <v>16</v>
      </c>
      <c r="O16" s="92">
        <v>1</v>
      </c>
      <c r="P16" s="93">
        <f t="shared" si="5"/>
        <v>8</v>
      </c>
      <c r="Q16" s="43"/>
      <c r="R16" s="43"/>
      <c r="S16" s="93">
        <f t="shared" si="6"/>
        <v>0</v>
      </c>
      <c r="T16" s="19"/>
      <c r="U16" s="41">
        <f t="shared" si="7"/>
        <v>8</v>
      </c>
      <c r="V16" s="94">
        <f t="shared" si="8"/>
        <v>0</v>
      </c>
      <c r="W16" s="92">
        <v>7</v>
      </c>
      <c r="X16" s="92">
        <v>16</v>
      </c>
      <c r="Y16" s="92">
        <v>1</v>
      </c>
      <c r="Z16" s="93">
        <f t="shared" si="9"/>
        <v>8</v>
      </c>
      <c r="AA16" s="92"/>
      <c r="AB16" s="80"/>
      <c r="AC16" s="93">
        <f t="shared" si="10"/>
        <v>0</v>
      </c>
      <c r="AD16" s="92"/>
      <c r="AE16" s="41">
        <f t="shared" si="11"/>
        <v>8</v>
      </c>
      <c r="AF16" s="94">
        <f t="shared" ref="AF16:AF21" si="28">IF(W16&gt;0,IF(AE$5&gt;0,(Z16+AC16)*2,(Z16+AC16-8)),0)*IF(Z16&lt;9,IF(AE$5&gt;0,1,2),1)+IF(Z16&gt;8,AC16,0)</f>
        <v>0</v>
      </c>
      <c r="AG16" s="92">
        <v>8</v>
      </c>
      <c r="AH16" s="92">
        <v>17</v>
      </c>
      <c r="AI16" s="92">
        <v>1</v>
      </c>
      <c r="AJ16" s="46">
        <f t="shared" si="12"/>
        <v>8</v>
      </c>
      <c r="AK16" s="92"/>
      <c r="AL16" s="92"/>
      <c r="AM16" s="93">
        <f t="shared" si="13"/>
        <v>0</v>
      </c>
      <c r="AN16" s="96"/>
      <c r="AO16" s="97">
        <f t="shared" si="14"/>
        <v>16</v>
      </c>
      <c r="AP16" s="833">
        <f t="shared" si="15"/>
        <v>21</v>
      </c>
      <c r="AQ16" s="834"/>
      <c r="AR16" s="835">
        <f t="shared" si="16"/>
        <v>81.400000000000006</v>
      </c>
      <c r="AS16" s="836"/>
      <c r="AT16" s="99">
        <f t="shared" si="17"/>
        <v>28</v>
      </c>
      <c r="AV16" s="100">
        <f t="shared" si="18"/>
        <v>0</v>
      </c>
      <c r="AW16" s="100">
        <f t="shared" si="19"/>
        <v>0</v>
      </c>
      <c r="AX16" s="100">
        <f t="shared" si="20"/>
        <v>0</v>
      </c>
      <c r="AY16" s="101">
        <f t="shared" si="21"/>
        <v>16</v>
      </c>
      <c r="AZ16" s="100">
        <f t="shared" si="22"/>
        <v>2</v>
      </c>
      <c r="BA16" s="100">
        <f t="shared" si="23"/>
        <v>2</v>
      </c>
      <c r="BB16" s="100">
        <f t="shared" si="24"/>
        <v>1</v>
      </c>
      <c r="BC16" s="35"/>
      <c r="BD16" s="36">
        <f t="shared" si="25"/>
        <v>3.8750035714285715</v>
      </c>
      <c r="BE16" s="67">
        <f t="shared" si="26"/>
        <v>81.37507500000001</v>
      </c>
      <c r="BF16" s="68">
        <f t="shared" si="27"/>
        <v>62.000057142857145</v>
      </c>
    </row>
    <row r="17" spans="1:60" s="69" customFormat="1" ht="14.1" customHeight="1">
      <c r="A17" s="62">
        <v>7</v>
      </c>
      <c r="B17" s="91" t="str">
        <f t="shared" si="0"/>
        <v>Rafael Armas R.</v>
      </c>
      <c r="C17" s="102">
        <v>7</v>
      </c>
      <c r="D17" s="102">
        <v>16</v>
      </c>
      <c r="E17" s="102">
        <v>1</v>
      </c>
      <c r="F17" s="93">
        <f t="shared" si="1"/>
        <v>8</v>
      </c>
      <c r="G17" s="43"/>
      <c r="H17" s="43"/>
      <c r="I17" s="93">
        <f t="shared" si="2"/>
        <v>0</v>
      </c>
      <c r="J17" s="92"/>
      <c r="K17" s="41">
        <f t="shared" si="3"/>
        <v>8</v>
      </c>
      <c r="L17" s="94">
        <f t="shared" si="4"/>
        <v>0</v>
      </c>
      <c r="M17" s="715">
        <v>7</v>
      </c>
      <c r="N17" s="105">
        <v>16</v>
      </c>
      <c r="O17" s="92">
        <v>1</v>
      </c>
      <c r="P17" s="93">
        <f t="shared" si="5"/>
        <v>8</v>
      </c>
      <c r="Q17" s="43"/>
      <c r="R17" s="43"/>
      <c r="S17" s="93">
        <f t="shared" si="6"/>
        <v>0</v>
      </c>
      <c r="T17" s="92"/>
      <c r="U17" s="41">
        <f t="shared" si="7"/>
        <v>8</v>
      </c>
      <c r="V17" s="94">
        <f t="shared" si="8"/>
        <v>0</v>
      </c>
      <c r="W17" s="92">
        <v>7</v>
      </c>
      <c r="X17" s="92">
        <v>17</v>
      </c>
      <c r="Y17" s="92">
        <v>1</v>
      </c>
      <c r="Z17" s="93">
        <f t="shared" si="9"/>
        <v>9</v>
      </c>
      <c r="AA17" s="92"/>
      <c r="AB17" s="28"/>
      <c r="AC17" s="93">
        <f t="shared" si="10"/>
        <v>0</v>
      </c>
      <c r="AD17" s="92"/>
      <c r="AE17" s="41">
        <f t="shared" si="11"/>
        <v>8</v>
      </c>
      <c r="AF17" s="94">
        <f t="shared" si="28"/>
        <v>1</v>
      </c>
      <c r="AG17" s="92">
        <v>7</v>
      </c>
      <c r="AH17" s="92">
        <v>18</v>
      </c>
      <c r="AI17" s="92">
        <v>1</v>
      </c>
      <c r="AJ17" s="46">
        <f t="shared" si="12"/>
        <v>10</v>
      </c>
      <c r="AK17" s="92"/>
      <c r="AL17" s="92"/>
      <c r="AM17" s="93">
        <f t="shared" si="13"/>
        <v>0</v>
      </c>
      <c r="AN17" s="96"/>
      <c r="AO17" s="97">
        <f t="shared" si="14"/>
        <v>20</v>
      </c>
      <c r="AP17" s="837">
        <f t="shared" si="15"/>
        <v>23</v>
      </c>
      <c r="AQ17" s="838"/>
      <c r="AR17" s="839">
        <f t="shared" si="16"/>
        <v>89.1</v>
      </c>
      <c r="AS17" s="840"/>
      <c r="AT17" s="103">
        <f t="shared" si="17"/>
        <v>28</v>
      </c>
      <c r="AV17" s="100">
        <f t="shared" si="18"/>
        <v>0</v>
      </c>
      <c r="AW17" s="100">
        <f t="shared" si="19"/>
        <v>0</v>
      </c>
      <c r="AX17" s="100">
        <f t="shared" si="20"/>
        <v>1</v>
      </c>
      <c r="AY17" s="101">
        <f t="shared" si="21"/>
        <v>20</v>
      </c>
      <c r="AZ17" s="100">
        <f t="shared" si="22"/>
        <v>1</v>
      </c>
      <c r="BA17" s="100">
        <f t="shared" si="23"/>
        <v>1</v>
      </c>
      <c r="BB17" s="100">
        <f t="shared" si="24"/>
        <v>0</v>
      </c>
      <c r="BC17" s="66"/>
      <c r="BD17" s="36">
        <f t="shared" si="25"/>
        <v>3.8750035714285715</v>
      </c>
      <c r="BE17" s="67">
        <f t="shared" si="26"/>
        <v>89.125082142857138</v>
      </c>
      <c r="BF17" s="68">
        <f t="shared" si="27"/>
        <v>77.500071428571431</v>
      </c>
    </row>
    <row r="18" spans="1:60" s="116" customFormat="1" ht="14.1" customHeight="1">
      <c r="A18" s="62">
        <v>8</v>
      </c>
      <c r="B18" s="91" t="str">
        <f t="shared" si="0"/>
        <v>Jose Ochoa I.</v>
      </c>
      <c r="C18" s="102">
        <v>7</v>
      </c>
      <c r="D18" s="102">
        <v>16</v>
      </c>
      <c r="E18" s="102">
        <v>1</v>
      </c>
      <c r="F18" s="104">
        <f t="shared" si="1"/>
        <v>8</v>
      </c>
      <c r="G18" s="51"/>
      <c r="H18" s="43"/>
      <c r="I18" s="104">
        <f t="shared" si="2"/>
        <v>0</v>
      </c>
      <c r="J18" s="105"/>
      <c r="K18" s="106">
        <f t="shared" si="3"/>
        <v>8</v>
      </c>
      <c r="L18" s="107">
        <f t="shared" si="4"/>
        <v>0</v>
      </c>
      <c r="M18" s="108">
        <v>7</v>
      </c>
      <c r="N18" s="105">
        <v>16</v>
      </c>
      <c r="O18" s="105">
        <v>1</v>
      </c>
      <c r="P18" s="104">
        <f t="shared" si="5"/>
        <v>8</v>
      </c>
      <c r="Q18" s="43"/>
      <c r="R18" s="43"/>
      <c r="S18" s="104">
        <f t="shared" si="6"/>
        <v>0</v>
      </c>
      <c r="T18" s="105"/>
      <c r="U18" s="106">
        <f t="shared" si="7"/>
        <v>8</v>
      </c>
      <c r="V18" s="107">
        <f t="shared" si="8"/>
        <v>0</v>
      </c>
      <c r="W18" s="105">
        <v>7</v>
      </c>
      <c r="X18" s="105">
        <v>12</v>
      </c>
      <c r="Y18" s="105">
        <v>1</v>
      </c>
      <c r="Z18" s="104">
        <f t="shared" si="9"/>
        <v>4</v>
      </c>
      <c r="AA18" s="105"/>
      <c r="AB18" s="109">
        <v>4</v>
      </c>
      <c r="AC18" s="104">
        <f t="shared" si="10"/>
        <v>4</v>
      </c>
      <c r="AD18" s="105"/>
      <c r="AE18" s="106">
        <f t="shared" si="11"/>
        <v>8</v>
      </c>
      <c r="AF18" s="107">
        <f t="shared" si="28"/>
        <v>0</v>
      </c>
      <c r="AG18" s="105">
        <v>7</v>
      </c>
      <c r="AH18" s="105">
        <v>16</v>
      </c>
      <c r="AI18" s="105">
        <v>1</v>
      </c>
      <c r="AJ18" s="110">
        <f t="shared" si="12"/>
        <v>8</v>
      </c>
      <c r="AK18" s="105"/>
      <c r="AL18" s="105"/>
      <c r="AM18" s="104">
        <f t="shared" si="13"/>
        <v>0</v>
      </c>
      <c r="AN18" s="111"/>
      <c r="AO18" s="112">
        <f t="shared" si="14"/>
        <v>16</v>
      </c>
      <c r="AP18" s="841">
        <f t="shared" si="15"/>
        <v>16</v>
      </c>
      <c r="AQ18" s="842"/>
      <c r="AR18" s="843">
        <f t="shared" si="16"/>
        <v>62</v>
      </c>
      <c r="AS18" s="844"/>
      <c r="AT18" s="113">
        <f t="shared" si="17"/>
        <v>28</v>
      </c>
      <c r="AU18" s="69"/>
      <c r="AV18" s="114">
        <f t="shared" si="18"/>
        <v>0</v>
      </c>
      <c r="AW18" s="114">
        <f t="shared" si="19"/>
        <v>0</v>
      </c>
      <c r="AX18" s="114">
        <f t="shared" si="20"/>
        <v>0</v>
      </c>
      <c r="AY18" s="114">
        <f t="shared" si="21"/>
        <v>16</v>
      </c>
      <c r="AZ18" s="114">
        <f>+L41</f>
        <v>0</v>
      </c>
      <c r="BA18" s="114">
        <f>+V41</f>
        <v>2</v>
      </c>
      <c r="BB18" s="114">
        <f>+AF41</f>
        <v>1</v>
      </c>
      <c r="BC18" s="35"/>
      <c r="BD18" s="115">
        <f t="shared" si="25"/>
        <v>3.8750035714285715</v>
      </c>
      <c r="BE18" s="115">
        <f t="shared" si="26"/>
        <v>62.000057142857145</v>
      </c>
      <c r="BF18" s="115">
        <f t="shared" si="27"/>
        <v>62.000057142857145</v>
      </c>
    </row>
    <row r="19" spans="1:60" s="116" customFormat="1" ht="14.1" customHeight="1">
      <c r="A19" s="62">
        <v>9</v>
      </c>
      <c r="B19" s="91" t="str">
        <f t="shared" si="0"/>
        <v>Jairo Mirabal</v>
      </c>
      <c r="C19" s="102">
        <v>7</v>
      </c>
      <c r="D19" s="102">
        <v>16</v>
      </c>
      <c r="E19" s="102">
        <v>1</v>
      </c>
      <c r="F19" s="104">
        <f t="shared" si="1"/>
        <v>8</v>
      </c>
      <c r="G19" s="51"/>
      <c r="H19" s="43"/>
      <c r="I19" s="104">
        <f t="shared" si="2"/>
        <v>0</v>
      </c>
      <c r="J19" s="105"/>
      <c r="K19" s="106">
        <f t="shared" si="3"/>
        <v>8</v>
      </c>
      <c r="L19" s="107">
        <f t="shared" si="4"/>
        <v>0</v>
      </c>
      <c r="M19" s="108">
        <v>7</v>
      </c>
      <c r="N19" s="105">
        <v>16</v>
      </c>
      <c r="O19" s="105">
        <v>1</v>
      </c>
      <c r="P19" s="104">
        <f t="shared" si="5"/>
        <v>8</v>
      </c>
      <c r="Q19" s="43"/>
      <c r="R19" s="117"/>
      <c r="S19" s="104">
        <f t="shared" si="6"/>
        <v>0</v>
      </c>
      <c r="T19" s="105"/>
      <c r="U19" s="106">
        <f t="shared" si="7"/>
        <v>8</v>
      </c>
      <c r="V19" s="107">
        <f t="shared" si="8"/>
        <v>0</v>
      </c>
      <c r="W19" s="105">
        <v>7</v>
      </c>
      <c r="X19" s="105">
        <v>16</v>
      </c>
      <c r="Y19" s="105">
        <v>1</v>
      </c>
      <c r="Z19" s="104">
        <f t="shared" si="9"/>
        <v>8</v>
      </c>
      <c r="AA19" s="105"/>
      <c r="AB19" s="28"/>
      <c r="AC19" s="104">
        <f t="shared" si="10"/>
        <v>0</v>
      </c>
      <c r="AD19" s="105"/>
      <c r="AE19" s="106">
        <f t="shared" si="11"/>
        <v>8</v>
      </c>
      <c r="AF19" s="107">
        <f t="shared" si="28"/>
        <v>0</v>
      </c>
      <c r="AG19" s="105"/>
      <c r="AH19" s="105"/>
      <c r="AI19" s="105"/>
      <c r="AJ19" s="110">
        <f t="shared" si="12"/>
        <v>0</v>
      </c>
      <c r="AK19" s="105"/>
      <c r="AL19" s="105"/>
      <c r="AM19" s="104">
        <f t="shared" si="13"/>
        <v>0</v>
      </c>
      <c r="AN19" s="111"/>
      <c r="AO19" s="112">
        <f t="shared" si="14"/>
        <v>0</v>
      </c>
      <c r="AP19" s="841">
        <f t="shared" si="15"/>
        <v>3</v>
      </c>
      <c r="AQ19" s="842"/>
      <c r="AR19" s="843">
        <f t="shared" si="16"/>
        <v>11.6</v>
      </c>
      <c r="AS19" s="844"/>
      <c r="AT19" s="113">
        <f t="shared" si="17"/>
        <v>24</v>
      </c>
      <c r="AU19" s="69"/>
      <c r="AV19" s="114">
        <f t="shared" si="18"/>
        <v>0</v>
      </c>
      <c r="AW19" s="114">
        <f t="shared" si="19"/>
        <v>0</v>
      </c>
      <c r="AX19" s="114">
        <f t="shared" si="20"/>
        <v>0</v>
      </c>
      <c r="AY19" s="114">
        <f t="shared" si="21"/>
        <v>0</v>
      </c>
      <c r="AZ19" s="114">
        <f>+L41</f>
        <v>0</v>
      </c>
      <c r="BA19" s="114">
        <f>+V41</f>
        <v>2</v>
      </c>
      <c r="BB19" s="114">
        <f>+AF41</f>
        <v>1</v>
      </c>
      <c r="BC19" s="35"/>
      <c r="BD19" s="115">
        <f t="shared" si="25"/>
        <v>3.8750035714285715</v>
      </c>
      <c r="BE19" s="115">
        <f t="shared" si="26"/>
        <v>11.625010714285715</v>
      </c>
      <c r="BF19" s="115">
        <f t="shared" si="27"/>
        <v>0</v>
      </c>
    </row>
    <row r="20" spans="1:60" s="116" customFormat="1" ht="14.1" customHeight="1">
      <c r="A20" s="62">
        <v>13</v>
      </c>
      <c r="B20" s="91" t="str">
        <f t="shared" si="0"/>
        <v>Angel Colina N.</v>
      </c>
      <c r="C20" s="102">
        <v>7</v>
      </c>
      <c r="D20" s="102">
        <v>16</v>
      </c>
      <c r="E20" s="102">
        <v>1</v>
      </c>
      <c r="F20" s="143">
        <f t="shared" si="1"/>
        <v>8</v>
      </c>
      <c r="G20" s="144"/>
      <c r="H20" s="145"/>
      <c r="I20" s="143">
        <f t="shared" si="2"/>
        <v>0</v>
      </c>
      <c r="J20" s="102"/>
      <c r="K20" s="146">
        <f t="shared" si="3"/>
        <v>8</v>
      </c>
      <c r="L20" s="147">
        <f t="shared" si="4"/>
        <v>0</v>
      </c>
      <c r="M20" s="148">
        <v>7</v>
      </c>
      <c r="N20" s="102">
        <v>16</v>
      </c>
      <c r="O20" s="102">
        <v>1</v>
      </c>
      <c r="P20" s="143">
        <f t="shared" si="5"/>
        <v>8</v>
      </c>
      <c r="Q20" s="43"/>
      <c r="R20" s="43"/>
      <c r="S20" s="143">
        <f t="shared" si="6"/>
        <v>0</v>
      </c>
      <c r="T20" s="102"/>
      <c r="U20" s="146">
        <f t="shared" si="7"/>
        <v>8</v>
      </c>
      <c r="V20" s="147">
        <f t="shared" si="8"/>
        <v>0</v>
      </c>
      <c r="W20" s="102">
        <v>7</v>
      </c>
      <c r="X20" s="102">
        <v>14</v>
      </c>
      <c r="Y20" s="102">
        <v>1</v>
      </c>
      <c r="Z20" s="143">
        <f t="shared" si="9"/>
        <v>6</v>
      </c>
      <c r="AA20" s="102"/>
      <c r="AB20" s="28">
        <v>1</v>
      </c>
      <c r="AC20" s="143">
        <f t="shared" si="10"/>
        <v>1</v>
      </c>
      <c r="AD20" s="102"/>
      <c r="AE20" s="146">
        <f>+AC20+Z20-IF(AE$5&gt;0,AF20/2,AF20)</f>
        <v>9</v>
      </c>
      <c r="AF20" s="147">
        <f>IF(W20&gt;0,IF(AE$5&gt;0,(Z20+AC20)*2,(Z20+AC20-8)),0)*IF(Z20&lt;9,IF(AE$5&gt;0,1,2),1)+IF(Z20&gt;8,AC20,0)</f>
        <v>-2</v>
      </c>
      <c r="AG20" s="102">
        <v>7</v>
      </c>
      <c r="AH20" s="102">
        <v>18</v>
      </c>
      <c r="AI20" s="102">
        <v>1</v>
      </c>
      <c r="AJ20" s="149">
        <f t="shared" si="12"/>
        <v>10</v>
      </c>
      <c r="AK20" s="102"/>
      <c r="AL20" s="102"/>
      <c r="AM20" s="143">
        <f t="shared" si="13"/>
        <v>0</v>
      </c>
      <c r="AN20" s="150"/>
      <c r="AO20" s="151">
        <f t="shared" si="14"/>
        <v>20</v>
      </c>
      <c r="AP20" s="841">
        <f t="shared" si="15"/>
        <v>19</v>
      </c>
      <c r="AQ20" s="842"/>
      <c r="AR20" s="843">
        <f t="shared" si="16"/>
        <v>73.599999999999994</v>
      </c>
      <c r="AS20" s="844"/>
      <c r="AT20" s="113">
        <f t="shared" si="17"/>
        <v>28</v>
      </c>
      <c r="AU20" s="69"/>
      <c r="AV20" s="114">
        <f t="shared" si="18"/>
        <v>0</v>
      </c>
      <c r="AW20" s="114">
        <f t="shared" si="19"/>
        <v>0</v>
      </c>
      <c r="AX20" s="114">
        <f t="shared" si="20"/>
        <v>-2</v>
      </c>
      <c r="AY20" s="114">
        <f t="shared" si="21"/>
        <v>20</v>
      </c>
      <c r="AZ20" s="114">
        <f>+L42</f>
        <v>0</v>
      </c>
      <c r="BA20" s="114">
        <f>+V42</f>
        <v>0</v>
      </c>
      <c r="BB20" s="114">
        <f>+AF42</f>
        <v>1</v>
      </c>
      <c r="BC20" s="35"/>
      <c r="BD20" s="115">
        <f t="shared" si="25"/>
        <v>3.8750035714285715</v>
      </c>
      <c r="BE20" s="115">
        <f t="shared" si="26"/>
        <v>73.625067857142852</v>
      </c>
      <c r="BF20" s="115">
        <f t="shared" si="27"/>
        <v>77.500071428571431</v>
      </c>
    </row>
    <row r="21" spans="1:60" s="69" customFormat="1" ht="14.1" customHeight="1" thickBot="1">
      <c r="A21" s="62">
        <v>10</v>
      </c>
      <c r="B21" s="118" t="str">
        <f t="shared" si="0"/>
        <v>Pedro Hostos S.</v>
      </c>
      <c r="C21" s="119">
        <v>7</v>
      </c>
      <c r="D21" s="119">
        <v>16</v>
      </c>
      <c r="E21" s="119">
        <v>1</v>
      </c>
      <c r="F21" s="120">
        <f t="shared" si="1"/>
        <v>8</v>
      </c>
      <c r="G21" s="121"/>
      <c r="H21" s="121"/>
      <c r="I21" s="120">
        <f t="shared" si="2"/>
        <v>0</v>
      </c>
      <c r="J21" s="119"/>
      <c r="K21" s="120">
        <f t="shared" si="3"/>
        <v>8</v>
      </c>
      <c r="L21" s="122">
        <f t="shared" si="4"/>
        <v>0</v>
      </c>
      <c r="M21" s="717">
        <v>7</v>
      </c>
      <c r="N21" s="119">
        <v>16</v>
      </c>
      <c r="O21" s="119">
        <v>1</v>
      </c>
      <c r="P21" s="120">
        <f t="shared" si="5"/>
        <v>8</v>
      </c>
      <c r="Q21" s="121"/>
      <c r="R21" s="121"/>
      <c r="S21" s="120">
        <f t="shared" si="6"/>
        <v>0</v>
      </c>
      <c r="T21" s="119"/>
      <c r="U21" s="120">
        <f t="shared" si="7"/>
        <v>8</v>
      </c>
      <c r="V21" s="122">
        <f t="shared" si="8"/>
        <v>0</v>
      </c>
      <c r="W21" s="119">
        <v>7</v>
      </c>
      <c r="X21" s="119">
        <v>16</v>
      </c>
      <c r="Y21" s="119">
        <v>1</v>
      </c>
      <c r="Z21" s="120">
        <f t="shared" si="9"/>
        <v>8</v>
      </c>
      <c r="AA21" s="119"/>
      <c r="AB21" s="121"/>
      <c r="AC21" s="120">
        <f t="shared" si="10"/>
        <v>0</v>
      </c>
      <c r="AD21" s="119"/>
      <c r="AE21" s="125">
        <f t="shared" si="11"/>
        <v>8</v>
      </c>
      <c r="AF21" s="122">
        <f t="shared" si="28"/>
        <v>0</v>
      </c>
      <c r="AG21" s="119"/>
      <c r="AH21" s="119"/>
      <c r="AI21" s="119"/>
      <c r="AJ21" s="126">
        <f t="shared" si="12"/>
        <v>0</v>
      </c>
      <c r="AK21" s="119"/>
      <c r="AL21" s="119"/>
      <c r="AM21" s="120">
        <f t="shared" si="13"/>
        <v>0</v>
      </c>
      <c r="AN21" s="127"/>
      <c r="AO21" s="128">
        <f t="shared" si="14"/>
        <v>0</v>
      </c>
      <c r="AP21" s="847">
        <f t="shared" si="15"/>
        <v>1</v>
      </c>
      <c r="AQ21" s="848"/>
      <c r="AR21" s="849">
        <f t="shared" si="16"/>
        <v>3.9</v>
      </c>
      <c r="AS21" s="850"/>
      <c r="AT21" s="130">
        <f t="shared" si="17"/>
        <v>24</v>
      </c>
      <c r="AV21" s="131">
        <f t="shared" si="18"/>
        <v>0</v>
      </c>
      <c r="AW21" s="131">
        <f t="shared" si="19"/>
        <v>0</v>
      </c>
      <c r="AX21" s="131">
        <f t="shared" si="20"/>
        <v>0</v>
      </c>
      <c r="AY21" s="132">
        <f t="shared" si="21"/>
        <v>0</v>
      </c>
      <c r="AZ21" s="131">
        <f>+L43</f>
        <v>0</v>
      </c>
      <c r="BA21" s="131">
        <f>+V43</f>
        <v>0</v>
      </c>
      <c r="BB21" s="131">
        <f>+AF43</f>
        <v>1</v>
      </c>
      <c r="BC21" s="35"/>
      <c r="BD21" s="115">
        <f t="shared" si="25"/>
        <v>3.8750035714285715</v>
      </c>
      <c r="BE21" s="133">
        <f t="shared" si="26"/>
        <v>3.8750035714285715</v>
      </c>
      <c r="BF21" s="134">
        <f t="shared" si="27"/>
        <v>0</v>
      </c>
    </row>
    <row r="22" spans="1:60" ht="14.1" customHeight="1" thickTop="1">
      <c r="A22" s="1">
        <v>11</v>
      </c>
      <c r="B22" s="39" t="str">
        <f t="shared" si="0"/>
        <v>Miguel Tejada Ll.</v>
      </c>
      <c r="C22" s="56">
        <v>7</v>
      </c>
      <c r="D22" s="43">
        <v>16</v>
      </c>
      <c r="E22" s="54">
        <v>1</v>
      </c>
      <c r="F22" s="53">
        <f>+D22-C22-E22</f>
        <v>8</v>
      </c>
      <c r="G22" s="43"/>
      <c r="H22" s="117"/>
      <c r="I22" s="53">
        <f>+H22-G22</f>
        <v>0</v>
      </c>
      <c r="J22" s="54"/>
      <c r="K22" s="55">
        <f>+I22+F22-L22</f>
        <v>8</v>
      </c>
      <c r="L22" s="135">
        <f>IF(C22&gt;0,(F22+I22)+IF(K$5&gt;0,F22,-8),0)+IF(U$5&gt;0,I22,0)</f>
        <v>0</v>
      </c>
      <c r="M22" s="136"/>
      <c r="N22" s="43"/>
      <c r="O22" s="54"/>
      <c r="P22" s="53">
        <f>+N22-M22-O22</f>
        <v>0</v>
      </c>
      <c r="Q22" s="43"/>
      <c r="R22" s="43"/>
      <c r="S22" s="53">
        <f>+R22-Q22</f>
        <v>0</v>
      </c>
      <c r="T22" s="54"/>
      <c r="U22" s="55">
        <f>+S22+P22-V22</f>
        <v>0</v>
      </c>
      <c r="V22" s="135">
        <f>IF(M22&gt;0,(P22+S22)+IF(U$5&gt;0,P22,-8),0)+IF(AE$5&gt;0,S22,0)</f>
        <v>0</v>
      </c>
      <c r="W22" s="43">
        <v>7</v>
      </c>
      <c r="X22" s="43">
        <v>16</v>
      </c>
      <c r="Y22" s="54">
        <v>1</v>
      </c>
      <c r="Z22" s="53">
        <f>+X22-W22-Y22</f>
        <v>8</v>
      </c>
      <c r="AA22" s="44"/>
      <c r="AB22" s="28"/>
      <c r="AC22" s="53">
        <f>+AB22-AA22</f>
        <v>0</v>
      </c>
      <c r="AD22" s="54"/>
      <c r="AE22" s="137">
        <f t="shared" si="11"/>
        <v>8</v>
      </c>
      <c r="AF22" s="135">
        <f>IF(W22&gt;0,IF(AE$5&gt;0,(Z22+AC22)*2,(Z22+AC22-8)),0)*IF(Z22&lt;9,IF(AE$5&gt;0,1,2),1)+IF(Z22&gt;8,AC22,0)</f>
        <v>0</v>
      </c>
      <c r="AG22" s="138"/>
      <c r="AH22" s="43"/>
      <c r="AI22" s="54"/>
      <c r="AJ22" s="139">
        <f>+AH22-AG22-AI22</f>
        <v>0</v>
      </c>
      <c r="AK22" s="43"/>
      <c r="AL22" s="43"/>
      <c r="AM22" s="53">
        <f>+AL22-AK22</f>
        <v>0</v>
      </c>
      <c r="AN22" s="57">
        <v>-4</v>
      </c>
      <c r="AO22" s="140">
        <f>(AJ22*2+AM22)</f>
        <v>0</v>
      </c>
      <c r="AP22" s="821">
        <f t="shared" si="15"/>
        <v>2</v>
      </c>
      <c r="AQ22" s="822"/>
      <c r="AR22" s="823">
        <f>ROUND(BD22*AP22,1)</f>
        <v>10.9</v>
      </c>
      <c r="AS22" s="824"/>
      <c r="AT22" s="49">
        <f t="shared" si="17"/>
        <v>20</v>
      </c>
      <c r="AV22" s="33">
        <f>+L22</f>
        <v>0</v>
      </c>
      <c r="AW22" s="33">
        <f>+V22</f>
        <v>0</v>
      </c>
      <c r="AX22" s="33">
        <f>+AF22</f>
        <v>0</v>
      </c>
      <c r="AY22" s="34">
        <f>+AO22</f>
        <v>0</v>
      </c>
      <c r="AZ22" s="33">
        <f>+L44</f>
        <v>-2</v>
      </c>
      <c r="BA22" s="33">
        <f>+V44</f>
        <v>0</v>
      </c>
      <c r="BB22" s="33">
        <f>+AF44</f>
        <v>0</v>
      </c>
      <c r="BC22" s="35"/>
      <c r="BD22" s="36">
        <f t="shared" si="25"/>
        <v>5.4333333333333327</v>
      </c>
      <c r="BE22" s="37">
        <f>+BD22*AP22</f>
        <v>10.866666666666665</v>
      </c>
      <c r="BF22" s="38">
        <f>+BD22*AY22</f>
        <v>0</v>
      </c>
      <c r="BH22" s="141"/>
    </row>
    <row r="23" spans="1:60" s="116" customFormat="1" ht="14.1" customHeight="1">
      <c r="A23" s="62">
        <v>13</v>
      </c>
      <c r="B23" s="142" t="str">
        <f t="shared" si="0"/>
        <v>Jose Lares P.</v>
      </c>
      <c r="C23" s="102">
        <v>7</v>
      </c>
      <c r="D23" s="102">
        <v>16</v>
      </c>
      <c r="E23" s="102">
        <v>1</v>
      </c>
      <c r="F23" s="143">
        <f>+D23-C23-E23</f>
        <v>8</v>
      </c>
      <c r="G23" s="144"/>
      <c r="H23" s="145"/>
      <c r="I23" s="143">
        <f>+H23-G23</f>
        <v>0</v>
      </c>
      <c r="J23" s="102"/>
      <c r="K23" s="146">
        <f>+I23+F23-L23</f>
        <v>8</v>
      </c>
      <c r="L23" s="147">
        <f>IF(C23&gt;0,(F23+I23)+IF(K$5&gt;0,F23,-8),0)+IF(U$5&gt;0,I23,0)</f>
        <v>0</v>
      </c>
      <c r="M23" s="148">
        <v>7</v>
      </c>
      <c r="N23" s="102">
        <v>16</v>
      </c>
      <c r="O23" s="102">
        <v>1</v>
      </c>
      <c r="P23" s="143">
        <f>+N23-M23-O23</f>
        <v>8</v>
      </c>
      <c r="Q23" s="43"/>
      <c r="R23" s="43"/>
      <c r="S23" s="143">
        <f>+R23-Q23</f>
        <v>0</v>
      </c>
      <c r="T23" s="102"/>
      <c r="U23" s="146">
        <f>+S23+P23-V23</f>
        <v>8</v>
      </c>
      <c r="V23" s="147">
        <f>IF(M23&gt;0,(P23+S23)+IF(U$5&gt;0,P23,-8),0)+IF(AE$5&gt;0,S23,0)</f>
        <v>0</v>
      </c>
      <c r="W23" s="102">
        <v>7</v>
      </c>
      <c r="X23" s="102">
        <v>16</v>
      </c>
      <c r="Y23" s="102">
        <v>1</v>
      </c>
      <c r="Z23" s="143">
        <f>+X23-W23-Y23</f>
        <v>8</v>
      </c>
      <c r="AA23" s="102"/>
      <c r="AB23" s="28"/>
      <c r="AC23" s="143">
        <f>+AB23-AA23</f>
        <v>0</v>
      </c>
      <c r="AD23" s="102"/>
      <c r="AE23" s="146">
        <f t="shared" si="11"/>
        <v>8</v>
      </c>
      <c r="AF23" s="147">
        <f>IF(W23&gt;0,IF(AE$5&gt;0,(Z23+AC23)*2,(Z23+AC23-8)),0)*IF(Z23&lt;9,IF(AE$5&gt;0,1,2),1)+IF(Z23&gt;8,AC23,0)</f>
        <v>0</v>
      </c>
      <c r="AG23" s="102"/>
      <c r="AH23" s="102"/>
      <c r="AI23" s="102"/>
      <c r="AJ23" s="149">
        <f>+AH23-AG23-AI23</f>
        <v>0</v>
      </c>
      <c r="AK23" s="102"/>
      <c r="AL23" s="102"/>
      <c r="AM23" s="143">
        <f>+AL23-AK23</f>
        <v>0</v>
      </c>
      <c r="AN23" s="150"/>
      <c r="AO23" s="151">
        <f>(AJ23*2+AM23)</f>
        <v>0</v>
      </c>
      <c r="AP23" s="841">
        <f t="shared" si="15"/>
        <v>2</v>
      </c>
      <c r="AQ23" s="842"/>
      <c r="AR23" s="843">
        <f>ROUND(BD23*AP23,1)</f>
        <v>7.8</v>
      </c>
      <c r="AS23" s="844"/>
      <c r="AT23" s="113">
        <f t="shared" si="17"/>
        <v>24</v>
      </c>
      <c r="AU23" s="69"/>
      <c r="AV23" s="114">
        <f>+L23</f>
        <v>0</v>
      </c>
      <c r="AW23" s="114">
        <f>+V23</f>
        <v>0</v>
      </c>
      <c r="AX23" s="114">
        <f>+AF23</f>
        <v>0</v>
      </c>
      <c r="AY23" s="114">
        <f>+AO23</f>
        <v>0</v>
      </c>
      <c r="AZ23" s="114">
        <f>+L47</f>
        <v>0</v>
      </c>
      <c r="BA23" s="114">
        <f>+V47</f>
        <v>0</v>
      </c>
      <c r="BB23" s="114">
        <f>+AF47</f>
        <v>0</v>
      </c>
      <c r="BC23" s="35"/>
      <c r="BD23" s="115">
        <f t="shared" si="25"/>
        <v>3.8750035714285715</v>
      </c>
      <c r="BE23" s="115">
        <f>+BD23*AP23</f>
        <v>7.7500071428571431</v>
      </c>
      <c r="BF23" s="115">
        <f>+BD23*AY23</f>
        <v>0</v>
      </c>
    </row>
    <row r="24" spans="1:60" ht="14.1" customHeight="1">
      <c r="A24" s="1">
        <v>14</v>
      </c>
      <c r="B24" s="142" t="str">
        <f t="shared" si="0"/>
        <v>Jeeimy Davila C.</v>
      </c>
      <c r="C24" s="56">
        <v>7</v>
      </c>
      <c r="D24" s="43">
        <v>16</v>
      </c>
      <c r="E24" s="54">
        <v>1</v>
      </c>
      <c r="F24" s="53">
        <f>+D24-C24-E24</f>
        <v>8</v>
      </c>
      <c r="G24" s="43"/>
      <c r="H24" s="43"/>
      <c r="I24" s="53">
        <f>+H24-G24</f>
        <v>0</v>
      </c>
      <c r="J24" s="54"/>
      <c r="K24" s="55">
        <f>+I24+F24-L24</f>
        <v>8</v>
      </c>
      <c r="L24" s="135">
        <f t="shared" ref="L24" si="29">IF(C24&gt;0,(F24+I24)+IF(K$5&gt;0,F24,-8),0)+IF(U$5&gt;0,I24,0)</f>
        <v>0</v>
      </c>
      <c r="M24" s="136">
        <v>7</v>
      </c>
      <c r="N24" s="43">
        <v>16</v>
      </c>
      <c r="O24" s="54">
        <v>1</v>
      </c>
      <c r="P24" s="53">
        <f>+N24-M24-O24</f>
        <v>8</v>
      </c>
      <c r="Q24" s="43"/>
      <c r="R24" s="43"/>
      <c r="S24" s="53">
        <f>+R24-Q24</f>
        <v>0</v>
      </c>
      <c r="T24" s="54"/>
      <c r="U24" s="55">
        <f>+S24+P24-V24</f>
        <v>8</v>
      </c>
      <c r="V24" s="135">
        <f>IF(M24&gt;0,(P24+S24)+IF(U$5&gt;0,P24,-8),0)+IF(AE$5&gt;0,S24,0)</f>
        <v>0</v>
      </c>
      <c r="W24" s="43">
        <v>7</v>
      </c>
      <c r="X24" s="43">
        <v>16</v>
      </c>
      <c r="Y24" s="54">
        <v>1</v>
      </c>
      <c r="Z24" s="53">
        <f>+X24-W24-Y24</f>
        <v>8</v>
      </c>
      <c r="AA24" s="43"/>
      <c r="AB24" s="28"/>
      <c r="AC24" s="53">
        <f>+AB24-AA24</f>
        <v>0</v>
      </c>
      <c r="AD24" s="54"/>
      <c r="AE24" s="55">
        <f t="shared" si="11"/>
        <v>8</v>
      </c>
      <c r="AF24" s="135">
        <f>IF(W24&gt;0,IF(AE$5&gt;0,(Z24+AC24)*2,(Z24+AC24-8)),0)*IF(Z24&lt;9,IF(AE$5&gt;0,1,2),1)+IF(Z24&gt;8,AC24,0)</f>
        <v>0</v>
      </c>
      <c r="AG24" s="138"/>
      <c r="AH24" s="43"/>
      <c r="AI24" s="54"/>
      <c r="AJ24" s="139">
        <f t="shared" ref="AJ24" si="30">+AH24-AG24-AI24</f>
        <v>0</v>
      </c>
      <c r="AK24" s="43"/>
      <c r="AL24" s="43"/>
      <c r="AM24" s="53">
        <f>+AL24-AK24</f>
        <v>0</v>
      </c>
      <c r="AN24" s="57"/>
      <c r="AO24" s="140">
        <f>(AJ24*2+AM24)</f>
        <v>0</v>
      </c>
      <c r="AP24" s="821">
        <f t="shared" si="15"/>
        <v>0</v>
      </c>
      <c r="AQ24" s="822"/>
      <c r="AR24" s="823">
        <f>ROUND(BD24*AP24,1)</f>
        <v>0</v>
      </c>
      <c r="AS24" s="824"/>
      <c r="AT24" s="49">
        <f t="shared" ref="AT24" si="31">IF(AT45&gt;0,AT45*$AT$10,0)</f>
        <v>24</v>
      </c>
      <c r="AV24" s="114">
        <f>+L24</f>
        <v>0</v>
      </c>
      <c r="AW24" s="114">
        <f>+V24</f>
        <v>0</v>
      </c>
      <c r="AX24" s="114">
        <f>+AF24</f>
        <v>0</v>
      </c>
      <c r="AY24" s="114">
        <f>+AO24</f>
        <v>0</v>
      </c>
      <c r="AZ24" s="114">
        <f t="shared" ref="AZ24" si="32">+L45</f>
        <v>0</v>
      </c>
      <c r="BA24" s="114">
        <f t="shared" ref="BA24" si="33">+V45</f>
        <v>0</v>
      </c>
      <c r="BB24" s="114">
        <f t="shared" ref="BB24" si="34">+AF45</f>
        <v>2</v>
      </c>
      <c r="BC24" s="35"/>
      <c r="BD24" s="36">
        <f>+I85</f>
        <v>3.8750035714285715</v>
      </c>
      <c r="BE24" s="37">
        <f>+BD24*AP24</f>
        <v>0</v>
      </c>
      <c r="BF24" s="38">
        <f>+BD24*AY24</f>
        <v>0</v>
      </c>
    </row>
    <row r="25" spans="1:60" ht="14.1" customHeight="1" thickBot="1">
      <c r="A25" s="1">
        <v>14</v>
      </c>
      <c r="B25" s="566" t="s">
        <v>144</v>
      </c>
      <c r="C25" s="610"/>
      <c r="D25" s="611"/>
      <c r="E25" s="612"/>
      <c r="F25" s="613">
        <f>+D25-C25-E25</f>
        <v>0</v>
      </c>
      <c r="G25" s="611"/>
      <c r="H25" s="611"/>
      <c r="I25" s="613">
        <f>+H25-G25</f>
        <v>0</v>
      </c>
      <c r="J25" s="612"/>
      <c r="K25" s="614">
        <f>+I25+F25-L25</f>
        <v>0</v>
      </c>
      <c r="L25" s="615">
        <f t="shared" si="4"/>
        <v>0</v>
      </c>
      <c r="M25" s="657"/>
      <c r="N25" s="611"/>
      <c r="O25" s="612"/>
      <c r="P25" s="613">
        <f>+N25-M25-O25</f>
        <v>0</v>
      </c>
      <c r="Q25" s="611"/>
      <c r="R25" s="611"/>
      <c r="S25" s="613">
        <f>+R25-Q25</f>
        <v>0</v>
      </c>
      <c r="T25" s="612"/>
      <c r="U25" s="614">
        <f>+S25+P25-V25</f>
        <v>0</v>
      </c>
      <c r="V25" s="615">
        <f>IF(M25&gt;0,(P25+S25)+IF(U$5&gt;0,P25,-8),0)+IF(AE$5&gt;0,S25,0)</f>
        <v>0</v>
      </c>
      <c r="W25" s="611"/>
      <c r="X25" s="611"/>
      <c r="Y25" s="612"/>
      <c r="Z25" s="613">
        <f>+X25-W25-Y25</f>
        <v>0</v>
      </c>
      <c r="AA25" s="611"/>
      <c r="AB25" s="658"/>
      <c r="AC25" s="613">
        <f>+AB25-AA25</f>
        <v>0</v>
      </c>
      <c r="AD25" s="612"/>
      <c r="AE25" s="614">
        <f t="shared" si="11"/>
        <v>0</v>
      </c>
      <c r="AF25" s="615">
        <f>IF(W25&gt;0,IF(AE$5&gt;0,(Z25+AC25)*2,(Z25+AC25-8)),0)*IF(Z25&lt;9,IF(AE$5&gt;0,1,2),1)+IF(Z25&gt;8,AC25,0)</f>
        <v>0</v>
      </c>
      <c r="AG25" s="659"/>
      <c r="AH25" s="611"/>
      <c r="AI25" s="612"/>
      <c r="AJ25" s="660">
        <f t="shared" si="12"/>
        <v>0</v>
      </c>
      <c r="AK25" s="611"/>
      <c r="AL25" s="611"/>
      <c r="AM25" s="613">
        <f>+AL25-AK25</f>
        <v>0</v>
      </c>
      <c r="AN25" s="661"/>
      <c r="AO25" s="662">
        <f>(AJ25*2+AM25)</f>
        <v>0</v>
      </c>
      <c r="AP25" s="851">
        <f t="shared" si="15"/>
        <v>0</v>
      </c>
      <c r="AQ25" s="852"/>
      <c r="AR25" s="853">
        <f>ROUND(BD25*AP25,1)</f>
        <v>0</v>
      </c>
      <c r="AS25" s="854"/>
      <c r="AT25" s="663">
        <f>IF(AT47&gt;0,AT47*$AT$10,0)</f>
        <v>0</v>
      </c>
      <c r="AV25" s="114">
        <f>+L25</f>
        <v>0</v>
      </c>
      <c r="AW25" s="114">
        <f>+V25</f>
        <v>0</v>
      </c>
      <c r="AX25" s="114">
        <f>+AF25</f>
        <v>0</v>
      </c>
      <c r="AY25" s="114">
        <f>+AO25</f>
        <v>0</v>
      </c>
      <c r="AZ25" s="114">
        <f t="shared" ref="AZ25" si="35">+L47</f>
        <v>0</v>
      </c>
      <c r="BA25" s="114">
        <f t="shared" ref="BA25" si="36">+V47</f>
        <v>0</v>
      </c>
      <c r="BB25" s="114">
        <f t="shared" ref="BB25" si="37">+AF47</f>
        <v>0</v>
      </c>
      <c r="BC25" s="35"/>
      <c r="BD25" s="36">
        <f>+I86</f>
        <v>4.125</v>
      </c>
      <c r="BE25" s="37">
        <f>+BD25*AP25</f>
        <v>0</v>
      </c>
      <c r="BF25" s="38">
        <f>+BD25*AY25</f>
        <v>0</v>
      </c>
    </row>
    <row r="26" spans="1:60" ht="5.0999999999999996" customHeight="1" thickBot="1">
      <c r="BC26" s="167"/>
      <c r="BD26" s="168"/>
      <c r="BE26" s="855">
        <f>SUM(BE11:BE25)</f>
        <v>563.61697738095233</v>
      </c>
      <c r="BF26" s="856">
        <f>SUM(BF11:BF25)</f>
        <v>381.67882857142854</v>
      </c>
    </row>
    <row r="27" spans="1:60" ht="9.9499999999999993" customHeight="1">
      <c r="B27" s="741" t="s">
        <v>1</v>
      </c>
      <c r="C27" s="858">
        <f>1+AG5</f>
        <v>43892</v>
      </c>
      <c r="D27" s="858"/>
      <c r="E27" s="858"/>
      <c r="F27" s="858"/>
      <c r="G27" s="858"/>
      <c r="H27" s="858"/>
      <c r="I27" s="858"/>
      <c r="J27" s="858"/>
      <c r="K27" s="860"/>
      <c r="L27" s="861"/>
      <c r="M27" s="864">
        <f>1+C27</f>
        <v>43893</v>
      </c>
      <c r="N27" s="865"/>
      <c r="O27" s="865"/>
      <c r="P27" s="865"/>
      <c r="Q27" s="865"/>
      <c r="R27" s="865"/>
      <c r="S27" s="865"/>
      <c r="T27" s="866"/>
      <c r="U27" s="870"/>
      <c r="V27" s="871"/>
      <c r="W27" s="864">
        <f>1+M27</f>
        <v>43894</v>
      </c>
      <c r="X27" s="865"/>
      <c r="Y27" s="865"/>
      <c r="Z27" s="865"/>
      <c r="AA27" s="865"/>
      <c r="AB27" s="865"/>
      <c r="AC27" s="865"/>
      <c r="AD27" s="866"/>
      <c r="AE27" s="880"/>
      <c r="AF27" s="881"/>
      <c r="AH27" s="884" t="s">
        <v>18</v>
      </c>
      <c r="AI27" s="879">
        <f>+C5</f>
        <v>43888</v>
      </c>
      <c r="AJ27" s="885">
        <f t="shared" ref="AJ27:AO27" si="38">1+AI27</f>
        <v>43889</v>
      </c>
      <c r="AK27" s="885">
        <f t="shared" si="38"/>
        <v>43890</v>
      </c>
      <c r="AL27" s="878">
        <f t="shared" si="38"/>
        <v>43891</v>
      </c>
      <c r="AM27" s="878">
        <f t="shared" si="38"/>
        <v>43892</v>
      </c>
      <c r="AN27" s="879">
        <f t="shared" si="38"/>
        <v>43893</v>
      </c>
      <c r="AO27" s="879">
        <f t="shared" si="38"/>
        <v>43894</v>
      </c>
      <c r="AP27" s="911" t="s">
        <v>19</v>
      </c>
      <c r="AQ27" s="912"/>
      <c r="AR27" s="913" t="s">
        <v>20</v>
      </c>
      <c r="AS27" s="914"/>
      <c r="AT27" s="898" t="s">
        <v>21</v>
      </c>
      <c r="AW27" s="901">
        <f>+AL27</f>
        <v>43891</v>
      </c>
      <c r="AX27" s="902"/>
      <c r="AZ27" s="907" t="s">
        <v>22</v>
      </c>
      <c r="BA27" s="907"/>
      <c r="BB27" s="907"/>
      <c r="BC27" s="907"/>
      <c r="BD27" s="168"/>
      <c r="BE27" s="855"/>
      <c r="BF27" s="857"/>
    </row>
    <row r="28" spans="1:60" ht="9.9499999999999993" customHeight="1">
      <c r="B28" s="742"/>
      <c r="C28" s="859"/>
      <c r="D28" s="859"/>
      <c r="E28" s="859"/>
      <c r="F28" s="859"/>
      <c r="G28" s="859"/>
      <c r="H28" s="859"/>
      <c r="I28" s="859"/>
      <c r="J28" s="859"/>
      <c r="K28" s="862"/>
      <c r="L28" s="863"/>
      <c r="M28" s="867"/>
      <c r="N28" s="868"/>
      <c r="O28" s="868"/>
      <c r="P28" s="868"/>
      <c r="Q28" s="868"/>
      <c r="R28" s="868"/>
      <c r="S28" s="868"/>
      <c r="T28" s="869"/>
      <c r="U28" s="872"/>
      <c r="V28" s="873"/>
      <c r="W28" s="867"/>
      <c r="X28" s="868"/>
      <c r="Y28" s="868"/>
      <c r="Z28" s="868"/>
      <c r="AA28" s="868"/>
      <c r="AB28" s="868"/>
      <c r="AC28" s="868"/>
      <c r="AD28" s="869"/>
      <c r="AE28" s="882"/>
      <c r="AF28" s="883"/>
      <c r="AH28" s="884"/>
      <c r="AI28" s="879"/>
      <c r="AJ28" s="885"/>
      <c r="AK28" s="885"/>
      <c r="AL28" s="878"/>
      <c r="AM28" s="878"/>
      <c r="AN28" s="879"/>
      <c r="AO28" s="879"/>
      <c r="AP28" s="911"/>
      <c r="AQ28" s="912"/>
      <c r="AR28" s="915"/>
      <c r="AS28" s="916"/>
      <c r="AT28" s="899"/>
      <c r="AW28" s="903"/>
      <c r="AX28" s="904"/>
      <c r="AZ28" s="908">
        <f>SUM(AV11:BB25)</f>
        <v>130</v>
      </c>
      <c r="BA28" s="909"/>
      <c r="BB28" s="909"/>
      <c r="BC28" s="169"/>
      <c r="BD28" s="168"/>
      <c r="BE28" s="170"/>
    </row>
    <row r="29" spans="1:60" ht="15.2" customHeight="1">
      <c r="B29" s="742"/>
      <c r="C29" s="780" t="s">
        <v>10</v>
      </c>
      <c r="D29" s="874"/>
      <c r="E29" s="766" t="s">
        <v>11</v>
      </c>
      <c r="F29" s="769" t="s">
        <v>12</v>
      </c>
      <c r="G29" s="877" t="s">
        <v>10</v>
      </c>
      <c r="H29" s="874"/>
      <c r="I29" s="769" t="s">
        <v>12</v>
      </c>
      <c r="J29" s="773" t="s">
        <v>13</v>
      </c>
      <c r="K29" s="786" t="s">
        <v>14</v>
      </c>
      <c r="L29" s="886" t="s">
        <v>15</v>
      </c>
      <c r="M29" s="780" t="s">
        <v>10</v>
      </c>
      <c r="N29" s="888"/>
      <c r="O29" s="767" t="s">
        <v>11</v>
      </c>
      <c r="P29" s="770" t="s">
        <v>12</v>
      </c>
      <c r="Q29" s="877" t="s">
        <v>10</v>
      </c>
      <c r="R29" s="893"/>
      <c r="S29" s="770" t="s">
        <v>12</v>
      </c>
      <c r="T29" s="774" t="s">
        <v>13</v>
      </c>
      <c r="U29" s="787" t="s">
        <v>14</v>
      </c>
      <c r="V29" s="886" t="s">
        <v>15</v>
      </c>
      <c r="W29" s="780" t="s">
        <v>10</v>
      </c>
      <c r="X29" s="888"/>
      <c r="Y29" s="767" t="s">
        <v>11</v>
      </c>
      <c r="Z29" s="770" t="s">
        <v>12</v>
      </c>
      <c r="AA29" s="877" t="s">
        <v>10</v>
      </c>
      <c r="AB29" s="893"/>
      <c r="AC29" s="770" t="s">
        <v>12</v>
      </c>
      <c r="AD29" s="774" t="s">
        <v>13</v>
      </c>
      <c r="AE29" s="787" t="s">
        <v>14</v>
      </c>
      <c r="AF29" s="886"/>
      <c r="AH29" s="884"/>
      <c r="AI29" s="879"/>
      <c r="AJ29" s="885"/>
      <c r="AK29" s="885"/>
      <c r="AL29" s="878"/>
      <c r="AM29" s="878"/>
      <c r="AN29" s="879"/>
      <c r="AO29" s="879"/>
      <c r="AP29" s="911"/>
      <c r="AQ29" s="912"/>
      <c r="AR29" s="915"/>
      <c r="AS29" s="916"/>
      <c r="AT29" s="899"/>
      <c r="AW29" s="903"/>
      <c r="AX29" s="904"/>
      <c r="AZ29" s="910"/>
      <c r="BA29" s="910"/>
      <c r="BB29" s="910"/>
      <c r="BC29" s="169"/>
      <c r="BD29" s="168"/>
      <c r="BE29" s="168"/>
    </row>
    <row r="30" spans="1:60" ht="15.2" customHeight="1">
      <c r="B30" s="742"/>
      <c r="C30" s="875"/>
      <c r="D30" s="810"/>
      <c r="E30" s="767"/>
      <c r="F30" s="770"/>
      <c r="G30" s="811"/>
      <c r="H30" s="810"/>
      <c r="I30" s="770"/>
      <c r="J30" s="774"/>
      <c r="K30" s="787"/>
      <c r="L30" s="886"/>
      <c r="M30" s="889"/>
      <c r="N30" s="890"/>
      <c r="O30" s="767"/>
      <c r="P30" s="770"/>
      <c r="Q30" s="894"/>
      <c r="R30" s="895"/>
      <c r="S30" s="770"/>
      <c r="T30" s="774"/>
      <c r="U30" s="787"/>
      <c r="V30" s="886"/>
      <c r="W30" s="889"/>
      <c r="X30" s="890"/>
      <c r="Y30" s="767"/>
      <c r="Z30" s="770"/>
      <c r="AA30" s="894"/>
      <c r="AB30" s="895"/>
      <c r="AC30" s="770"/>
      <c r="AD30" s="774"/>
      <c r="AE30" s="787"/>
      <c r="AF30" s="886"/>
      <c r="AH30" s="884"/>
      <c r="AI30" s="879"/>
      <c r="AJ30" s="885"/>
      <c r="AK30" s="885"/>
      <c r="AL30" s="878"/>
      <c r="AM30" s="878"/>
      <c r="AN30" s="879"/>
      <c r="AO30" s="879"/>
      <c r="AP30" s="911"/>
      <c r="AQ30" s="912"/>
      <c r="AR30" s="915"/>
      <c r="AS30" s="916"/>
      <c r="AT30" s="899"/>
      <c r="AW30" s="903"/>
      <c r="AX30" s="904"/>
      <c r="AY30" s="7" t="s">
        <v>23</v>
      </c>
      <c r="BD30" s="171">
        <f>+AZ28-AW49</f>
        <v>38</v>
      </c>
      <c r="BE30" s="172" t="s">
        <v>24</v>
      </c>
    </row>
    <row r="31" spans="1:60" ht="15.2" customHeight="1">
      <c r="B31" s="742"/>
      <c r="C31" s="875"/>
      <c r="D31" s="810"/>
      <c r="E31" s="767"/>
      <c r="F31" s="770"/>
      <c r="G31" s="811"/>
      <c r="H31" s="810"/>
      <c r="I31" s="770"/>
      <c r="J31" s="774"/>
      <c r="K31" s="787"/>
      <c r="L31" s="886"/>
      <c r="M31" s="889"/>
      <c r="N31" s="890"/>
      <c r="O31" s="767"/>
      <c r="P31" s="770"/>
      <c r="Q31" s="894"/>
      <c r="R31" s="895"/>
      <c r="S31" s="770"/>
      <c r="T31" s="774"/>
      <c r="U31" s="787"/>
      <c r="V31" s="886"/>
      <c r="W31" s="889"/>
      <c r="X31" s="890"/>
      <c r="Y31" s="767"/>
      <c r="Z31" s="770"/>
      <c r="AA31" s="894"/>
      <c r="AB31" s="895"/>
      <c r="AC31" s="770"/>
      <c r="AD31" s="774"/>
      <c r="AE31" s="787"/>
      <c r="AF31" s="886"/>
      <c r="AH31" s="884"/>
      <c r="AI31" s="879"/>
      <c r="AJ31" s="885"/>
      <c r="AK31" s="885"/>
      <c r="AL31" s="878"/>
      <c r="AM31" s="878"/>
      <c r="AN31" s="879"/>
      <c r="AO31" s="879"/>
      <c r="AP31" s="911"/>
      <c r="AQ31" s="912"/>
      <c r="AR31" s="915"/>
      <c r="AS31" s="916"/>
      <c r="AT31" s="899"/>
      <c r="AW31" s="903"/>
      <c r="AX31" s="904"/>
    </row>
    <row r="32" spans="1:60" ht="15.2" customHeight="1" thickBot="1">
      <c r="B32" s="743"/>
      <c r="C32" s="876"/>
      <c r="D32" s="813"/>
      <c r="E32" s="768"/>
      <c r="F32" s="771"/>
      <c r="G32" s="812"/>
      <c r="H32" s="813"/>
      <c r="I32" s="771"/>
      <c r="J32" s="775"/>
      <c r="K32" s="788"/>
      <c r="L32" s="887"/>
      <c r="M32" s="891"/>
      <c r="N32" s="892"/>
      <c r="O32" s="768"/>
      <c r="P32" s="771"/>
      <c r="Q32" s="896"/>
      <c r="R32" s="897"/>
      <c r="S32" s="771"/>
      <c r="T32" s="775"/>
      <c r="U32" s="788"/>
      <c r="V32" s="887"/>
      <c r="W32" s="891"/>
      <c r="X32" s="892"/>
      <c r="Y32" s="768"/>
      <c r="Z32" s="771"/>
      <c r="AA32" s="896"/>
      <c r="AB32" s="897"/>
      <c r="AC32" s="771"/>
      <c r="AD32" s="775"/>
      <c r="AE32" s="788"/>
      <c r="AF32" s="887"/>
      <c r="AH32" s="884"/>
      <c r="AI32" s="879"/>
      <c r="AJ32" s="885"/>
      <c r="AK32" s="885"/>
      <c r="AL32" s="878"/>
      <c r="AM32" s="878"/>
      <c r="AN32" s="879"/>
      <c r="AO32" s="879"/>
      <c r="AP32" s="911"/>
      <c r="AQ32" s="912"/>
      <c r="AR32" s="917"/>
      <c r="AS32" s="918"/>
      <c r="AT32" s="900"/>
      <c r="AW32" s="905"/>
      <c r="AX32" s="906"/>
      <c r="BE32" s="173"/>
    </row>
    <row r="33" spans="1:57" ht="14.1" customHeight="1">
      <c r="B33" s="16" t="str">
        <f t="shared" ref="B33:B47" si="39">+B11</f>
        <v>Eduardo Segura D.</v>
      </c>
      <c r="C33" s="17">
        <v>7</v>
      </c>
      <c r="D33" s="18">
        <v>17</v>
      </c>
      <c r="E33" s="19">
        <v>1</v>
      </c>
      <c r="F33" s="40">
        <f t="shared" ref="F33:F47" si="40">+D33-C33-E33</f>
        <v>9</v>
      </c>
      <c r="G33" s="43"/>
      <c r="H33" s="22"/>
      <c r="I33" s="40">
        <f t="shared" ref="I33:I47" si="41">+H33-G33</f>
        <v>0</v>
      </c>
      <c r="J33" s="19"/>
      <c r="K33" s="41">
        <f t="shared" ref="K33:K47" si="42">+I33+F33-L33</f>
        <v>8</v>
      </c>
      <c r="L33" s="25">
        <f t="shared" ref="L33:L47" si="43">IF(C33&gt;0,(F33+I33)+IF(K$27&gt;0,F33,-8),0)+IF(U$27&gt;0,I33,0)</f>
        <v>1</v>
      </c>
      <c r="M33" s="43">
        <v>7</v>
      </c>
      <c r="N33" s="18">
        <v>14</v>
      </c>
      <c r="O33" s="19">
        <v>1</v>
      </c>
      <c r="P33" s="40">
        <f t="shared" ref="P33:P47" si="44">+N33-M33-O33</f>
        <v>6</v>
      </c>
      <c r="Q33" s="138"/>
      <c r="R33" s="229">
        <v>2</v>
      </c>
      <c r="S33" s="40">
        <f t="shared" ref="S33:S47" si="45">+R33-Q33</f>
        <v>2</v>
      </c>
      <c r="T33" s="19"/>
      <c r="U33" s="41">
        <f t="shared" ref="U33:U47" si="46">+S33+P33-V33</f>
        <v>8</v>
      </c>
      <c r="V33" s="25">
        <f t="shared" ref="V33:V47" si="47">IF(M33&gt;0,(P33+S33)+IF(U$27&gt;0,P33,-8),0)+IF(AE$27&gt;0,S33,0)</f>
        <v>0</v>
      </c>
      <c r="W33" s="18">
        <v>8</v>
      </c>
      <c r="X33" s="18">
        <v>16</v>
      </c>
      <c r="Y33" s="175">
        <v>1</v>
      </c>
      <c r="Z33" s="176">
        <f t="shared" ref="Z33:Z47" si="48">+X33-W33-Y33</f>
        <v>7</v>
      </c>
      <c r="AA33" s="138"/>
      <c r="AB33" s="174"/>
      <c r="AC33" s="176">
        <f t="shared" ref="AC33:AC47" si="49">+AB33-AA33</f>
        <v>0</v>
      </c>
      <c r="AD33" s="175"/>
      <c r="AE33" s="177">
        <f t="shared" ref="AE33:AE47" si="50">+AC33+Z33-AF33</f>
        <v>8</v>
      </c>
      <c r="AF33" s="25">
        <f t="shared" ref="AF33:AF47" si="51">IF(W33&gt;0,(Z33+AC33)+IF(AE$27&gt;0,0+Z33,-8),0)</f>
        <v>-1</v>
      </c>
      <c r="AG33" s="69"/>
      <c r="AH33" s="178">
        <v>0</v>
      </c>
      <c r="AI33" s="179">
        <f>+K11+(IF(ISBLANK($K$5),-8,0))</f>
        <v>0</v>
      </c>
      <c r="AJ33" s="179">
        <f>IF(ISBLANK($U$5),-8,0)+U11</f>
        <v>0</v>
      </c>
      <c r="AK33" s="179">
        <f>IF(ISBLANK($AE$5),-8,0)+AE11</f>
        <v>0</v>
      </c>
      <c r="AL33" s="179">
        <f t="shared" ref="AL33:AL47" si="52">IF(ISBLANK($AO$5),-8,0)+AO11+AW33</f>
        <v>0</v>
      </c>
      <c r="AM33" s="179">
        <f t="shared" ref="AM33:AM47" si="53">IF(ISBLANK($K$27),-8,0)+K33</f>
        <v>0</v>
      </c>
      <c r="AN33" s="179">
        <f t="shared" ref="AN33:AN47" si="54">IF(ISBLANK($U$27),-8,0)+U33</f>
        <v>0</v>
      </c>
      <c r="AO33" s="179">
        <f t="shared" ref="AO33:AO47" si="55">IF(ISBLANK($AE$27),-8,0)+AE33</f>
        <v>0</v>
      </c>
      <c r="AP33" s="180">
        <f t="shared" ref="AP33:AP47" si="56">SUM(AH33:AO33)</f>
        <v>0</v>
      </c>
      <c r="AQ33" s="69"/>
      <c r="AR33" s="919">
        <f t="shared" ref="AR33:AR45" si="57">+X73*Q73</f>
        <v>0</v>
      </c>
      <c r="AS33" s="925"/>
      <c r="AT33" s="181">
        <f t="shared" ref="AT33:AT47" si="58">IF(K11+L11&gt;0,1,0)+IF(U11+V11&gt;0,1,0)+IF(AE11+AF11&gt;0,1,0)+IF(AO11&gt;3,1,0)+IF(K33+L33&gt;0,1,0)+IF(U33+V33&gt;0,1,0)+IF(AE33+AF33&gt;0,1,0)</f>
        <v>6</v>
      </c>
      <c r="AU33" s="69"/>
      <c r="AV33" s="69"/>
      <c r="AW33" s="921"/>
      <c r="AX33" s="922"/>
      <c r="BD33" s="182"/>
      <c r="BE33" s="183"/>
    </row>
    <row r="34" spans="1:57" ht="14.1" customHeight="1">
      <c r="B34" s="190" t="str">
        <f t="shared" si="39"/>
        <v>Cesar Mendez M.</v>
      </c>
      <c r="C34" s="17">
        <v>7</v>
      </c>
      <c r="D34" s="18">
        <v>18</v>
      </c>
      <c r="E34" s="19">
        <v>1</v>
      </c>
      <c r="F34" s="40">
        <f t="shared" si="40"/>
        <v>10</v>
      </c>
      <c r="G34" s="43"/>
      <c r="H34" s="43"/>
      <c r="I34" s="40">
        <f t="shared" si="41"/>
        <v>0</v>
      </c>
      <c r="J34" s="19"/>
      <c r="K34" s="41">
        <f t="shared" si="42"/>
        <v>8</v>
      </c>
      <c r="L34" s="25">
        <f t="shared" si="43"/>
        <v>2</v>
      </c>
      <c r="M34" s="43">
        <v>7</v>
      </c>
      <c r="N34" s="18">
        <v>17</v>
      </c>
      <c r="O34" s="19">
        <v>1</v>
      </c>
      <c r="P34" s="40">
        <f t="shared" si="44"/>
        <v>9</v>
      </c>
      <c r="Q34" s="43"/>
      <c r="R34" s="43"/>
      <c r="S34" s="40">
        <f t="shared" si="45"/>
        <v>0</v>
      </c>
      <c r="T34" s="19"/>
      <c r="U34" s="41">
        <f t="shared" si="46"/>
        <v>8</v>
      </c>
      <c r="V34" s="25">
        <f t="shared" si="47"/>
        <v>1</v>
      </c>
      <c r="W34" s="18">
        <v>7</v>
      </c>
      <c r="X34" s="18">
        <v>18</v>
      </c>
      <c r="Y34" s="19">
        <v>1</v>
      </c>
      <c r="Z34" s="40">
        <f t="shared" si="48"/>
        <v>10</v>
      </c>
      <c r="AA34" s="18"/>
      <c r="AB34" s="43"/>
      <c r="AC34" s="40">
        <f t="shared" si="49"/>
        <v>0</v>
      </c>
      <c r="AD34" s="19"/>
      <c r="AE34" s="41">
        <f t="shared" si="50"/>
        <v>8</v>
      </c>
      <c r="AF34" s="25">
        <f t="shared" si="51"/>
        <v>2</v>
      </c>
      <c r="AG34" s="69"/>
      <c r="AH34" s="178">
        <v>0</v>
      </c>
      <c r="AI34" s="179">
        <f>+K12+(IF(ISBLANK($K$5),-8,0))</f>
        <v>0</v>
      </c>
      <c r="AJ34" s="179">
        <f>IF(ISBLANK($U$5),-8,0)+U12</f>
        <v>0</v>
      </c>
      <c r="AK34" s="179">
        <f>IF(ISBLANK($AE$5),-8,0)+AE12</f>
        <v>0</v>
      </c>
      <c r="AL34" s="179">
        <f t="shared" si="52"/>
        <v>0</v>
      </c>
      <c r="AM34" s="179">
        <f t="shared" si="53"/>
        <v>0</v>
      </c>
      <c r="AN34" s="179">
        <f t="shared" si="54"/>
        <v>0</v>
      </c>
      <c r="AO34" s="179">
        <f t="shared" si="55"/>
        <v>0</v>
      </c>
      <c r="AP34" s="180">
        <f t="shared" si="56"/>
        <v>0</v>
      </c>
      <c r="AQ34" s="69"/>
      <c r="AR34" s="919">
        <f t="shared" si="57"/>
        <v>0</v>
      </c>
      <c r="AS34" s="920"/>
      <c r="AT34" s="181">
        <f t="shared" si="58"/>
        <v>7</v>
      </c>
      <c r="AU34" s="69"/>
      <c r="AV34" s="69"/>
      <c r="AW34" s="921">
        <v>-20</v>
      </c>
      <c r="AX34" s="922"/>
    </row>
    <row r="35" spans="1:57" ht="14.1" customHeight="1">
      <c r="B35" s="190" t="str">
        <f t="shared" si="39"/>
        <v>Juan Manrique V.</v>
      </c>
      <c r="C35" s="17">
        <v>7</v>
      </c>
      <c r="D35" s="18">
        <v>16</v>
      </c>
      <c r="E35" s="19">
        <v>1</v>
      </c>
      <c r="F35" s="40">
        <f t="shared" si="40"/>
        <v>8</v>
      </c>
      <c r="G35" s="43"/>
      <c r="H35" s="43"/>
      <c r="I35" s="40">
        <f t="shared" si="41"/>
        <v>0</v>
      </c>
      <c r="J35" s="19"/>
      <c r="K35" s="41">
        <f t="shared" si="42"/>
        <v>8</v>
      </c>
      <c r="L35" s="25">
        <f t="shared" si="43"/>
        <v>0</v>
      </c>
      <c r="M35" s="43">
        <v>7</v>
      </c>
      <c r="N35" s="18">
        <v>17</v>
      </c>
      <c r="O35" s="19">
        <v>1</v>
      </c>
      <c r="P35" s="40">
        <f t="shared" si="44"/>
        <v>9</v>
      </c>
      <c r="Q35" s="117"/>
      <c r="R35" s="189"/>
      <c r="S35" s="40">
        <f t="shared" si="45"/>
        <v>0</v>
      </c>
      <c r="T35" s="19"/>
      <c r="U35" s="41">
        <f t="shared" si="46"/>
        <v>8</v>
      </c>
      <c r="V35" s="25">
        <f t="shared" si="47"/>
        <v>1</v>
      </c>
      <c r="W35" s="18">
        <v>7</v>
      </c>
      <c r="X35" s="18">
        <v>17</v>
      </c>
      <c r="Y35" s="19">
        <v>1</v>
      </c>
      <c r="Z35" s="40">
        <f t="shared" si="48"/>
        <v>9</v>
      </c>
      <c r="AA35" s="18"/>
      <c r="AB35" s="18"/>
      <c r="AC35" s="40">
        <f t="shared" si="49"/>
        <v>0</v>
      </c>
      <c r="AD35" s="19"/>
      <c r="AE35" s="41">
        <f t="shared" si="50"/>
        <v>8</v>
      </c>
      <c r="AF35" s="25">
        <f t="shared" si="51"/>
        <v>1</v>
      </c>
      <c r="AG35" s="69"/>
      <c r="AH35" s="178">
        <v>0</v>
      </c>
      <c r="AI35" s="179">
        <f>+K13+(IF(ISBLANK($K$5),-8,0))</f>
        <v>0</v>
      </c>
      <c r="AJ35" s="179">
        <f>IF(ISBLANK($U$5),-8,0)+U13</f>
        <v>0</v>
      </c>
      <c r="AK35" s="179">
        <f>IF(ISBLANK($AE$5),-8,0)+AE13</f>
        <v>0</v>
      </c>
      <c r="AL35" s="179">
        <f t="shared" si="52"/>
        <v>0</v>
      </c>
      <c r="AM35" s="179">
        <f t="shared" si="53"/>
        <v>0</v>
      </c>
      <c r="AN35" s="179">
        <f t="shared" si="54"/>
        <v>0</v>
      </c>
      <c r="AO35" s="179">
        <f t="shared" si="55"/>
        <v>0</v>
      </c>
      <c r="AP35" s="180">
        <f t="shared" si="56"/>
        <v>0</v>
      </c>
      <c r="AQ35" s="69"/>
      <c r="AR35" s="919">
        <f t="shared" si="57"/>
        <v>0</v>
      </c>
      <c r="AS35" s="920"/>
      <c r="AT35" s="187">
        <f t="shared" si="58"/>
        <v>6</v>
      </c>
      <c r="AU35" s="69"/>
      <c r="AV35" s="69"/>
      <c r="AW35" s="926"/>
      <c r="AX35" s="927"/>
      <c r="AZ35" s="182"/>
      <c r="BD35" s="182"/>
    </row>
    <row r="36" spans="1:57" ht="14.1" customHeight="1">
      <c r="B36" s="190" t="str">
        <f t="shared" si="39"/>
        <v xml:space="preserve"> Irving Huaringa B.</v>
      </c>
      <c r="C36" s="17">
        <v>7</v>
      </c>
      <c r="D36" s="18">
        <v>16</v>
      </c>
      <c r="E36" s="19">
        <v>1</v>
      </c>
      <c r="F36" s="40">
        <f t="shared" si="40"/>
        <v>8</v>
      </c>
      <c r="G36" s="43"/>
      <c r="H36" s="43"/>
      <c r="I36" s="40">
        <f t="shared" si="41"/>
        <v>0</v>
      </c>
      <c r="J36" s="19"/>
      <c r="K36" s="41">
        <f t="shared" si="42"/>
        <v>8</v>
      </c>
      <c r="L36" s="25">
        <f t="shared" si="43"/>
        <v>0</v>
      </c>
      <c r="M36" s="43">
        <v>7</v>
      </c>
      <c r="N36" s="18">
        <v>16</v>
      </c>
      <c r="O36" s="19">
        <v>1</v>
      </c>
      <c r="P36" s="40">
        <f t="shared" si="44"/>
        <v>8</v>
      </c>
      <c r="Q36" s="117"/>
      <c r="R36" s="189"/>
      <c r="S36" s="40">
        <f t="shared" si="45"/>
        <v>0</v>
      </c>
      <c r="T36" s="19"/>
      <c r="U36" s="41">
        <f t="shared" si="46"/>
        <v>8</v>
      </c>
      <c r="V36" s="25">
        <f t="shared" si="47"/>
        <v>0</v>
      </c>
      <c r="W36" s="18">
        <v>7</v>
      </c>
      <c r="X36" s="18">
        <v>16</v>
      </c>
      <c r="Y36" s="19">
        <v>1</v>
      </c>
      <c r="Z36" s="40">
        <f t="shared" si="48"/>
        <v>8</v>
      </c>
      <c r="AA36" s="18"/>
      <c r="AB36" s="18"/>
      <c r="AC36" s="40">
        <f t="shared" si="49"/>
        <v>0</v>
      </c>
      <c r="AD36" s="19"/>
      <c r="AE36" s="41">
        <f t="shared" si="50"/>
        <v>8</v>
      </c>
      <c r="AF36" s="25">
        <f t="shared" si="51"/>
        <v>0</v>
      </c>
      <c r="AG36" s="69"/>
      <c r="AH36" s="178">
        <v>0</v>
      </c>
      <c r="AI36" s="179">
        <f>+K14+(IF(ISBLANK($K$5),-8,0))</f>
        <v>0</v>
      </c>
      <c r="AJ36" s="179">
        <f>IF(ISBLANK($U$5),-8,0)+U14</f>
        <v>0</v>
      </c>
      <c r="AK36" s="191">
        <f>IF(ISBLANK($AE$5),-5,0)+AE14</f>
        <v>0</v>
      </c>
      <c r="AL36" s="179">
        <f t="shared" si="52"/>
        <v>0</v>
      </c>
      <c r="AM36" s="192">
        <f t="shared" si="53"/>
        <v>0</v>
      </c>
      <c r="AN36" s="192">
        <f t="shared" si="54"/>
        <v>0</v>
      </c>
      <c r="AO36" s="192">
        <f t="shared" si="55"/>
        <v>0</v>
      </c>
      <c r="AP36" s="180">
        <f t="shared" si="56"/>
        <v>0</v>
      </c>
      <c r="AQ36" s="69"/>
      <c r="AR36" s="919">
        <f t="shared" si="57"/>
        <v>0</v>
      </c>
      <c r="AS36" s="920"/>
      <c r="AT36" s="187">
        <f t="shared" si="58"/>
        <v>6</v>
      </c>
      <c r="AU36" s="69"/>
      <c r="AV36" s="69"/>
      <c r="AW36" s="921"/>
      <c r="AX36" s="922"/>
    </row>
    <row r="37" spans="1:57" ht="14.1" customHeight="1">
      <c r="B37" s="39" t="str">
        <f t="shared" si="39"/>
        <v>Pier Alejos A.</v>
      </c>
      <c r="C37" s="56">
        <v>7</v>
      </c>
      <c r="D37" s="43">
        <v>16</v>
      </c>
      <c r="E37" s="54">
        <v>1</v>
      </c>
      <c r="F37" s="53">
        <f t="shared" si="40"/>
        <v>8</v>
      </c>
      <c r="G37" s="43"/>
      <c r="H37" s="228"/>
      <c r="I37" s="53">
        <f t="shared" si="41"/>
        <v>0</v>
      </c>
      <c r="J37" s="54"/>
      <c r="K37" s="55">
        <f t="shared" si="42"/>
        <v>8</v>
      </c>
      <c r="L37" s="135">
        <f t="shared" si="43"/>
        <v>0</v>
      </c>
      <c r="M37" s="56">
        <v>7</v>
      </c>
      <c r="N37" s="201">
        <v>17</v>
      </c>
      <c r="O37" s="54">
        <v>1</v>
      </c>
      <c r="P37" s="53">
        <f t="shared" si="44"/>
        <v>9</v>
      </c>
      <c r="Q37" s="117"/>
      <c r="R37" s="189"/>
      <c r="S37" s="53">
        <f t="shared" si="45"/>
        <v>0</v>
      </c>
      <c r="T37" s="54"/>
      <c r="U37" s="55">
        <f t="shared" si="46"/>
        <v>8</v>
      </c>
      <c r="V37" s="135">
        <f t="shared" si="47"/>
        <v>1</v>
      </c>
      <c r="W37" s="56">
        <v>7</v>
      </c>
      <c r="X37" s="43">
        <v>17</v>
      </c>
      <c r="Y37" s="54">
        <v>1</v>
      </c>
      <c r="Z37" s="53">
        <f t="shared" si="48"/>
        <v>9</v>
      </c>
      <c r="AA37" s="43"/>
      <c r="AB37" s="64"/>
      <c r="AC37" s="53">
        <f>+AB37-AA37</f>
        <v>0</v>
      </c>
      <c r="AD37" s="54"/>
      <c r="AE37" s="55">
        <f t="shared" si="50"/>
        <v>8</v>
      </c>
      <c r="AF37" s="135">
        <f t="shared" si="51"/>
        <v>1</v>
      </c>
      <c r="AG37" s="69"/>
      <c r="AH37" s="178">
        <v>0</v>
      </c>
      <c r="AI37" s="179">
        <f>+K15+(IF(ISBLANK($K$5),-8,0))</f>
        <v>0</v>
      </c>
      <c r="AJ37" s="179">
        <f>IF(ISBLANK($U$5),-8,0)+U15</f>
        <v>0</v>
      </c>
      <c r="AK37" s="179">
        <f>IF(ISBLANK($AE$5),-8,0)+AE15</f>
        <v>0</v>
      </c>
      <c r="AL37" s="179">
        <f t="shared" si="52"/>
        <v>0</v>
      </c>
      <c r="AM37" s="179">
        <f t="shared" si="53"/>
        <v>0</v>
      </c>
      <c r="AN37" s="179">
        <f t="shared" si="54"/>
        <v>0</v>
      </c>
      <c r="AO37" s="179">
        <f t="shared" si="55"/>
        <v>0</v>
      </c>
      <c r="AP37" s="180">
        <f t="shared" si="56"/>
        <v>0</v>
      </c>
      <c r="AQ37" s="69"/>
      <c r="AR37" s="919">
        <f t="shared" si="57"/>
        <v>0</v>
      </c>
      <c r="AS37" s="920"/>
      <c r="AT37" s="230">
        <f t="shared" si="58"/>
        <v>6</v>
      </c>
      <c r="AU37" s="69"/>
      <c r="AV37" s="69"/>
      <c r="AW37" s="921"/>
      <c r="AX37" s="922"/>
    </row>
    <row r="38" spans="1:57" ht="14.1" customHeight="1">
      <c r="B38" s="630" t="str">
        <f t="shared" si="39"/>
        <v>Jose Cortez P.</v>
      </c>
      <c r="C38" s="92">
        <v>7</v>
      </c>
      <c r="D38" s="92">
        <v>18</v>
      </c>
      <c r="E38" s="92">
        <v>1</v>
      </c>
      <c r="F38" s="93">
        <f t="shared" si="40"/>
        <v>10</v>
      </c>
      <c r="G38" s="43"/>
      <c r="H38" s="43"/>
      <c r="I38" s="93">
        <f t="shared" si="41"/>
        <v>0</v>
      </c>
      <c r="J38" s="92"/>
      <c r="K38" s="41">
        <f t="shared" si="42"/>
        <v>8</v>
      </c>
      <c r="L38" s="94">
        <f t="shared" si="43"/>
        <v>2</v>
      </c>
      <c r="M38" s="92">
        <v>7</v>
      </c>
      <c r="N38" s="92">
        <v>18</v>
      </c>
      <c r="O38" s="92">
        <v>1</v>
      </c>
      <c r="P38" s="93">
        <f t="shared" si="44"/>
        <v>10</v>
      </c>
      <c r="Q38" s="200"/>
      <c r="R38" s="189"/>
      <c r="S38" s="93">
        <f t="shared" si="45"/>
        <v>0</v>
      </c>
      <c r="T38" s="92"/>
      <c r="U38" s="41">
        <f t="shared" si="46"/>
        <v>8</v>
      </c>
      <c r="V38" s="94">
        <f t="shared" si="47"/>
        <v>2</v>
      </c>
      <c r="W38" s="92">
        <v>7</v>
      </c>
      <c r="X38" s="92">
        <v>17</v>
      </c>
      <c r="Y38" s="201">
        <v>1</v>
      </c>
      <c r="Z38" s="202">
        <f t="shared" si="48"/>
        <v>9</v>
      </c>
      <c r="AA38" s="18"/>
      <c r="AB38" s="43"/>
      <c r="AC38" s="53">
        <f t="shared" si="49"/>
        <v>0</v>
      </c>
      <c r="AD38" s="19"/>
      <c r="AE38" s="41">
        <f t="shared" si="50"/>
        <v>8</v>
      </c>
      <c r="AF38" s="25">
        <f t="shared" si="51"/>
        <v>1</v>
      </c>
      <c r="AG38" s="69"/>
      <c r="AH38" s="203">
        <v>0</v>
      </c>
      <c r="AI38" s="204">
        <f t="shared" ref="AI38:AI39" si="59">+K16+(IF(ISBLANK($K$5),-8,0))</f>
        <v>0</v>
      </c>
      <c r="AJ38" s="205">
        <f t="shared" ref="AJ38:AJ39" si="60">IF(ISBLANK($U$5),-8,0)+U16</f>
        <v>0</v>
      </c>
      <c r="AK38" s="205">
        <f>IF(ISBLANK($AE$5),-8,0)+AE16</f>
        <v>0</v>
      </c>
      <c r="AL38" s="179">
        <f t="shared" si="52"/>
        <v>0</v>
      </c>
      <c r="AM38" s="205">
        <f t="shared" si="53"/>
        <v>0</v>
      </c>
      <c r="AN38" s="205">
        <f t="shared" si="54"/>
        <v>0</v>
      </c>
      <c r="AO38" s="205">
        <f t="shared" si="55"/>
        <v>0</v>
      </c>
      <c r="AP38" s="206">
        <f t="shared" si="56"/>
        <v>0</v>
      </c>
      <c r="AQ38" s="69"/>
      <c r="AR38" s="919">
        <f t="shared" si="57"/>
        <v>0</v>
      </c>
      <c r="AS38" s="920"/>
      <c r="AT38" s="561">
        <f t="shared" si="58"/>
        <v>7</v>
      </c>
      <c r="AU38" s="69"/>
      <c r="AV38" s="69"/>
      <c r="AW38" s="923">
        <v>-16</v>
      </c>
      <c r="AX38" s="924"/>
    </row>
    <row r="39" spans="1:57" ht="14.1" customHeight="1">
      <c r="B39" s="91" t="str">
        <f t="shared" si="39"/>
        <v>Rafael Armas R.</v>
      </c>
      <c r="C39" s="102">
        <v>7</v>
      </c>
      <c r="D39" s="102">
        <v>17</v>
      </c>
      <c r="E39" s="102">
        <v>1</v>
      </c>
      <c r="F39" s="143">
        <f t="shared" si="40"/>
        <v>9</v>
      </c>
      <c r="G39" s="144"/>
      <c r="H39" s="43"/>
      <c r="I39" s="143">
        <f t="shared" si="41"/>
        <v>0</v>
      </c>
      <c r="J39" s="102"/>
      <c r="K39" s="41">
        <f t="shared" si="42"/>
        <v>8</v>
      </c>
      <c r="L39" s="147">
        <f t="shared" si="43"/>
        <v>1</v>
      </c>
      <c r="M39" s="92">
        <v>7</v>
      </c>
      <c r="N39" s="92">
        <v>17</v>
      </c>
      <c r="O39" s="201">
        <v>1</v>
      </c>
      <c r="P39" s="202">
        <f t="shared" si="44"/>
        <v>9</v>
      </c>
      <c r="Q39" s="201"/>
      <c r="R39" s="43"/>
      <c r="S39" s="202">
        <f t="shared" si="45"/>
        <v>0</v>
      </c>
      <c r="T39" s="201"/>
      <c r="U39" s="41">
        <f t="shared" si="46"/>
        <v>8</v>
      </c>
      <c r="V39" s="209">
        <f t="shared" si="47"/>
        <v>1</v>
      </c>
      <c r="W39" s="201">
        <v>7</v>
      </c>
      <c r="X39" s="201">
        <v>16</v>
      </c>
      <c r="Y39" s="201">
        <v>1</v>
      </c>
      <c r="Z39" s="202">
        <f t="shared" si="48"/>
        <v>8</v>
      </c>
      <c r="AA39" s="201"/>
      <c r="AB39" s="43"/>
      <c r="AC39" s="202">
        <f t="shared" si="49"/>
        <v>0</v>
      </c>
      <c r="AD39" s="201"/>
      <c r="AE39" s="41">
        <f t="shared" si="50"/>
        <v>8</v>
      </c>
      <c r="AF39" s="209">
        <f t="shared" si="51"/>
        <v>0</v>
      </c>
      <c r="AG39" s="69"/>
      <c r="AH39" s="210">
        <v>0</v>
      </c>
      <c r="AI39" s="179">
        <f t="shared" si="59"/>
        <v>0</v>
      </c>
      <c r="AJ39" s="179">
        <f t="shared" si="60"/>
        <v>0</v>
      </c>
      <c r="AK39" s="211">
        <f>IF(ISBLANK($AE$5),-8,0)+AE17</f>
        <v>0</v>
      </c>
      <c r="AL39" s="179">
        <f t="shared" si="52"/>
        <v>0</v>
      </c>
      <c r="AM39" s="179">
        <f t="shared" si="53"/>
        <v>0</v>
      </c>
      <c r="AN39" s="179">
        <f t="shared" si="54"/>
        <v>0</v>
      </c>
      <c r="AO39" s="179">
        <f t="shared" si="55"/>
        <v>0</v>
      </c>
      <c r="AP39" s="180">
        <f t="shared" si="56"/>
        <v>0</v>
      </c>
      <c r="AQ39" s="69"/>
      <c r="AR39" s="919">
        <f t="shared" si="57"/>
        <v>0</v>
      </c>
      <c r="AS39" s="920"/>
      <c r="AT39" s="207">
        <f t="shared" si="58"/>
        <v>7</v>
      </c>
      <c r="AU39" s="69"/>
      <c r="AV39" s="69"/>
      <c r="AW39" s="921">
        <v>-20</v>
      </c>
      <c r="AX39" s="922"/>
    </row>
    <row r="40" spans="1:57" s="116" customFormat="1" ht="14.1" customHeight="1">
      <c r="A40" s="212"/>
      <c r="B40" s="91" t="str">
        <f t="shared" si="39"/>
        <v>Jose Ochoa I.</v>
      </c>
      <c r="C40" s="102">
        <v>7</v>
      </c>
      <c r="D40" s="102">
        <v>16</v>
      </c>
      <c r="E40" s="102">
        <v>1</v>
      </c>
      <c r="F40" s="143">
        <f t="shared" si="40"/>
        <v>8</v>
      </c>
      <c r="G40" s="144"/>
      <c r="H40" s="43"/>
      <c r="I40" s="143">
        <f t="shared" si="41"/>
        <v>0</v>
      </c>
      <c r="J40" s="102"/>
      <c r="K40" s="41">
        <f t="shared" si="42"/>
        <v>8</v>
      </c>
      <c r="L40" s="147">
        <f t="shared" si="43"/>
        <v>0</v>
      </c>
      <c r="M40" s="213">
        <v>7</v>
      </c>
      <c r="N40" s="201">
        <v>16</v>
      </c>
      <c r="O40" s="201">
        <v>1</v>
      </c>
      <c r="P40" s="202">
        <f t="shared" si="44"/>
        <v>8</v>
      </c>
      <c r="Q40" s="214"/>
      <c r="R40" s="189"/>
      <c r="S40" s="202">
        <f t="shared" si="45"/>
        <v>0</v>
      </c>
      <c r="T40" s="201"/>
      <c r="U40" s="41">
        <f t="shared" si="46"/>
        <v>8</v>
      </c>
      <c r="V40" s="209">
        <f t="shared" si="47"/>
        <v>0</v>
      </c>
      <c r="W40" s="201">
        <v>7</v>
      </c>
      <c r="X40" s="201">
        <v>16</v>
      </c>
      <c r="Y40" s="201">
        <v>1</v>
      </c>
      <c r="Z40" s="202">
        <f t="shared" si="48"/>
        <v>8</v>
      </c>
      <c r="AA40" s="201"/>
      <c r="AB40" s="215"/>
      <c r="AC40" s="202">
        <f t="shared" si="49"/>
        <v>0</v>
      </c>
      <c r="AD40" s="201"/>
      <c r="AE40" s="41">
        <f t="shared" si="50"/>
        <v>8</v>
      </c>
      <c r="AF40" s="209">
        <f t="shared" si="51"/>
        <v>0</v>
      </c>
      <c r="AG40" s="69"/>
      <c r="AH40" s="216">
        <v>0</v>
      </c>
      <c r="AI40" s="217">
        <f>+K22+(IF(ISBLANK($K$5),-8,0))</f>
        <v>0</v>
      </c>
      <c r="AJ40" s="217">
        <f>IF(ISBLANK($U$5),-8,0)+U22</f>
        <v>-8</v>
      </c>
      <c r="AK40" s="217">
        <f>IF(ISBLANK($AE$5),-8,0)+AE22</f>
        <v>0</v>
      </c>
      <c r="AL40" s="217">
        <f t="shared" si="52"/>
        <v>0</v>
      </c>
      <c r="AM40" s="217">
        <f t="shared" si="53"/>
        <v>0</v>
      </c>
      <c r="AN40" s="217">
        <f t="shared" si="54"/>
        <v>0</v>
      </c>
      <c r="AO40" s="217">
        <f t="shared" si="55"/>
        <v>0</v>
      </c>
      <c r="AP40" s="218">
        <f t="shared" si="56"/>
        <v>-8</v>
      </c>
      <c r="AQ40" s="69"/>
      <c r="AR40" s="919">
        <f t="shared" si="57"/>
        <v>0</v>
      </c>
      <c r="AS40" s="920"/>
      <c r="AT40" s="207">
        <f t="shared" si="58"/>
        <v>7</v>
      </c>
      <c r="AU40" s="69"/>
      <c r="AV40" s="69"/>
      <c r="AW40" s="930">
        <v>-16</v>
      </c>
      <c r="AX40" s="931"/>
    </row>
    <row r="41" spans="1:57" s="116" customFormat="1" ht="14.1" customHeight="1">
      <c r="A41" s="212"/>
      <c r="B41" s="91" t="str">
        <f t="shared" si="39"/>
        <v>Jairo Mirabal</v>
      </c>
      <c r="C41" s="102">
        <v>7</v>
      </c>
      <c r="D41" s="102">
        <v>16</v>
      </c>
      <c r="E41" s="102">
        <v>1</v>
      </c>
      <c r="F41" s="143">
        <f t="shared" si="40"/>
        <v>8</v>
      </c>
      <c r="G41" s="144"/>
      <c r="H41" s="43"/>
      <c r="I41" s="143">
        <f t="shared" si="41"/>
        <v>0</v>
      </c>
      <c r="J41" s="102"/>
      <c r="K41" s="41">
        <f t="shared" si="42"/>
        <v>8</v>
      </c>
      <c r="L41" s="147">
        <f t="shared" si="43"/>
        <v>0</v>
      </c>
      <c r="M41" s="213">
        <v>7</v>
      </c>
      <c r="N41" s="201">
        <v>18</v>
      </c>
      <c r="O41" s="201">
        <v>1</v>
      </c>
      <c r="P41" s="202">
        <f t="shared" si="44"/>
        <v>10</v>
      </c>
      <c r="Q41" s="214"/>
      <c r="R41" s="189"/>
      <c r="S41" s="202">
        <f t="shared" si="45"/>
        <v>0</v>
      </c>
      <c r="T41" s="201"/>
      <c r="U41" s="41">
        <f t="shared" si="46"/>
        <v>8</v>
      </c>
      <c r="V41" s="209">
        <f t="shared" si="47"/>
        <v>2</v>
      </c>
      <c r="W41" s="201">
        <v>7</v>
      </c>
      <c r="X41" s="201">
        <v>17</v>
      </c>
      <c r="Y41" s="201">
        <v>1</v>
      </c>
      <c r="Z41" s="202">
        <f t="shared" si="48"/>
        <v>9</v>
      </c>
      <c r="AA41" s="201"/>
      <c r="AB41" s="219"/>
      <c r="AC41" s="202">
        <f t="shared" si="49"/>
        <v>0</v>
      </c>
      <c r="AD41" s="201"/>
      <c r="AE41" s="41">
        <f t="shared" si="50"/>
        <v>8</v>
      </c>
      <c r="AF41" s="209">
        <f t="shared" si="51"/>
        <v>1</v>
      </c>
      <c r="AG41" s="69"/>
      <c r="AH41" s="216">
        <v>0</v>
      </c>
      <c r="AI41" s="217">
        <f>+K18+(IF(ISBLANK($K$5),-8,0))</f>
        <v>0</v>
      </c>
      <c r="AJ41" s="217">
        <f>IF(ISBLANK($U$5),-8,0)+U18</f>
        <v>0</v>
      </c>
      <c r="AK41" s="217">
        <f>IF(ISBLANK($AE$5),-8,0)+AE18</f>
        <v>0</v>
      </c>
      <c r="AL41" s="217">
        <f t="shared" si="52"/>
        <v>0</v>
      </c>
      <c r="AM41" s="217">
        <f t="shared" si="53"/>
        <v>0</v>
      </c>
      <c r="AN41" s="217">
        <f t="shared" si="54"/>
        <v>0</v>
      </c>
      <c r="AO41" s="217">
        <f t="shared" si="55"/>
        <v>0</v>
      </c>
      <c r="AP41" s="218">
        <f t="shared" si="56"/>
        <v>0</v>
      </c>
      <c r="AQ41" s="69"/>
      <c r="AR41" s="928">
        <f t="shared" si="57"/>
        <v>0</v>
      </c>
      <c r="AS41" s="929"/>
      <c r="AT41" s="207">
        <f t="shared" si="58"/>
        <v>6</v>
      </c>
      <c r="AU41" s="69"/>
      <c r="AV41" s="69"/>
      <c r="AW41" s="930"/>
      <c r="AX41" s="931"/>
    </row>
    <row r="42" spans="1:57" s="116" customFormat="1" ht="14.1" customHeight="1">
      <c r="A42" s="212"/>
      <c r="B42" s="91" t="str">
        <f t="shared" si="39"/>
        <v>Angel Colina N.</v>
      </c>
      <c r="C42" s="102">
        <v>7</v>
      </c>
      <c r="D42" s="102">
        <v>16</v>
      </c>
      <c r="E42" s="102">
        <v>1</v>
      </c>
      <c r="F42" s="143">
        <f t="shared" si="40"/>
        <v>8</v>
      </c>
      <c r="G42" s="144"/>
      <c r="H42" s="144"/>
      <c r="I42" s="143">
        <f t="shared" si="41"/>
        <v>0</v>
      </c>
      <c r="J42" s="102"/>
      <c r="K42" s="41">
        <f t="shared" si="42"/>
        <v>8</v>
      </c>
      <c r="L42" s="147">
        <f t="shared" si="43"/>
        <v>0</v>
      </c>
      <c r="M42" s="201">
        <v>7</v>
      </c>
      <c r="N42" s="201">
        <v>16</v>
      </c>
      <c r="O42" s="201">
        <v>1</v>
      </c>
      <c r="P42" s="202">
        <f t="shared" si="44"/>
        <v>8</v>
      </c>
      <c r="Q42" s="214"/>
      <c r="R42" s="189"/>
      <c r="S42" s="202">
        <f t="shared" si="45"/>
        <v>0</v>
      </c>
      <c r="T42" s="201"/>
      <c r="U42" s="41">
        <f t="shared" si="46"/>
        <v>8</v>
      </c>
      <c r="V42" s="209">
        <f t="shared" si="47"/>
        <v>0</v>
      </c>
      <c r="W42" s="201">
        <v>7</v>
      </c>
      <c r="X42" s="201">
        <v>17</v>
      </c>
      <c r="Y42" s="201">
        <v>1</v>
      </c>
      <c r="Z42" s="202">
        <f t="shared" si="48"/>
        <v>9</v>
      </c>
      <c r="AA42" s="201"/>
      <c r="AB42" s="219"/>
      <c r="AC42" s="202">
        <f>+AB42-AA42</f>
        <v>0</v>
      </c>
      <c r="AD42" s="201"/>
      <c r="AE42" s="41">
        <f t="shared" si="50"/>
        <v>8</v>
      </c>
      <c r="AF42" s="209">
        <f t="shared" si="51"/>
        <v>1</v>
      </c>
      <c r="AG42" s="69"/>
      <c r="AH42" s="216">
        <v>0</v>
      </c>
      <c r="AI42" s="217">
        <f>+K20+(IF(ISBLANK($K$5),-8,0))</f>
        <v>0</v>
      </c>
      <c r="AJ42" s="217">
        <f>IF(ISBLANK($U$5),-8,0)+U20</f>
        <v>0</v>
      </c>
      <c r="AK42" s="217">
        <f>IF(ISBLANK($AE$5),-8,0)+AE20</f>
        <v>1</v>
      </c>
      <c r="AL42" s="217">
        <f t="shared" si="52"/>
        <v>0</v>
      </c>
      <c r="AM42" s="217">
        <f t="shared" si="53"/>
        <v>0</v>
      </c>
      <c r="AN42" s="217">
        <f t="shared" si="54"/>
        <v>0</v>
      </c>
      <c r="AO42" s="217">
        <f t="shared" si="55"/>
        <v>0</v>
      </c>
      <c r="AP42" s="218">
        <f t="shared" si="56"/>
        <v>1</v>
      </c>
      <c r="AQ42" s="69"/>
      <c r="AR42" s="928">
        <f t="shared" si="57"/>
        <v>0</v>
      </c>
      <c r="AS42" s="929"/>
      <c r="AT42" s="207">
        <f t="shared" si="58"/>
        <v>7</v>
      </c>
      <c r="AU42" s="69"/>
      <c r="AV42" s="69"/>
      <c r="AW42" s="930">
        <v>-20</v>
      </c>
      <c r="AX42" s="931"/>
    </row>
    <row r="43" spans="1:57" ht="14.1" customHeight="1" thickBot="1">
      <c r="B43" s="118" t="str">
        <f t="shared" si="39"/>
        <v>Pedro Hostos S.</v>
      </c>
      <c r="C43" s="119">
        <v>7</v>
      </c>
      <c r="D43" s="119">
        <v>16</v>
      </c>
      <c r="E43" s="119">
        <v>1</v>
      </c>
      <c r="F43" s="120">
        <f t="shared" si="40"/>
        <v>8</v>
      </c>
      <c r="G43" s="121"/>
      <c r="H43" s="121"/>
      <c r="I43" s="120">
        <f t="shared" si="41"/>
        <v>0</v>
      </c>
      <c r="J43" s="119"/>
      <c r="K43" s="120">
        <f t="shared" si="42"/>
        <v>8</v>
      </c>
      <c r="L43" s="122">
        <f t="shared" si="43"/>
        <v>0</v>
      </c>
      <c r="M43" s="119">
        <v>7</v>
      </c>
      <c r="N43" s="119">
        <v>16</v>
      </c>
      <c r="O43" s="119">
        <v>1</v>
      </c>
      <c r="P43" s="120">
        <f t="shared" si="44"/>
        <v>8</v>
      </c>
      <c r="Q43" s="121"/>
      <c r="R43" s="220"/>
      <c r="S43" s="120">
        <f t="shared" si="45"/>
        <v>0</v>
      </c>
      <c r="T43" s="119"/>
      <c r="U43" s="120">
        <f t="shared" si="46"/>
        <v>8</v>
      </c>
      <c r="V43" s="122">
        <f t="shared" si="47"/>
        <v>0</v>
      </c>
      <c r="W43" s="119">
        <v>7</v>
      </c>
      <c r="X43" s="119">
        <v>17</v>
      </c>
      <c r="Y43" s="119">
        <v>1</v>
      </c>
      <c r="Z43" s="120">
        <f t="shared" si="48"/>
        <v>9</v>
      </c>
      <c r="AA43" s="121"/>
      <c r="AB43" s="121"/>
      <c r="AC43" s="120">
        <f t="shared" si="49"/>
        <v>0</v>
      </c>
      <c r="AD43" s="119"/>
      <c r="AE43" s="120">
        <f t="shared" si="50"/>
        <v>8</v>
      </c>
      <c r="AF43" s="122">
        <f t="shared" si="51"/>
        <v>1</v>
      </c>
      <c r="AG43" s="221"/>
      <c r="AH43" s="222">
        <v>0</v>
      </c>
      <c r="AI43" s="223">
        <f>+K21+(IF(ISBLANK($K$5),-8,0))</f>
        <v>0</v>
      </c>
      <c r="AJ43" s="223">
        <f>IF(ISBLANK($U$5),-8,0)+U21</f>
        <v>0</v>
      </c>
      <c r="AK43" s="223">
        <f>IF(ISBLANK($AE$5),-8,0)+AE21</f>
        <v>0</v>
      </c>
      <c r="AL43" s="223">
        <f t="shared" si="52"/>
        <v>0</v>
      </c>
      <c r="AM43" s="223">
        <f t="shared" si="53"/>
        <v>0</v>
      </c>
      <c r="AN43" s="223">
        <f t="shared" si="54"/>
        <v>0</v>
      </c>
      <c r="AO43" s="223">
        <f t="shared" si="55"/>
        <v>0</v>
      </c>
      <c r="AP43" s="224">
        <f t="shared" si="56"/>
        <v>0</v>
      </c>
      <c r="AQ43" s="69"/>
      <c r="AR43" s="932">
        <f t="shared" si="57"/>
        <v>0</v>
      </c>
      <c r="AS43" s="933"/>
      <c r="AT43" s="225">
        <f t="shared" si="58"/>
        <v>6</v>
      </c>
      <c r="AU43" s="69"/>
      <c r="AV43" s="69"/>
      <c r="AW43" s="934"/>
      <c r="AX43" s="935"/>
    </row>
    <row r="44" spans="1:57" ht="14.1" customHeight="1" thickTop="1">
      <c r="B44" s="39" t="str">
        <f t="shared" si="39"/>
        <v>Miguel Tejada Ll.</v>
      </c>
      <c r="C44" s="56">
        <v>7</v>
      </c>
      <c r="D44" s="43">
        <v>14</v>
      </c>
      <c r="E44" s="54">
        <v>1</v>
      </c>
      <c r="F44" s="53">
        <f>+D44-C44-E44</f>
        <v>6</v>
      </c>
      <c r="G44" s="43"/>
      <c r="H44" s="22"/>
      <c r="I44" s="53">
        <f>+H44-G44</f>
        <v>0</v>
      </c>
      <c r="J44" s="54"/>
      <c r="K44" s="55">
        <f>+I44+F44-L44</f>
        <v>8</v>
      </c>
      <c r="L44" s="135">
        <f t="shared" si="43"/>
        <v>-2</v>
      </c>
      <c r="M44" s="56">
        <v>7</v>
      </c>
      <c r="N44" s="43">
        <v>16</v>
      </c>
      <c r="O44" s="54">
        <v>1</v>
      </c>
      <c r="P44" s="53">
        <f>+N44-M44-O44</f>
        <v>8</v>
      </c>
      <c r="Q44" s="117"/>
      <c r="R44" s="226"/>
      <c r="S44" s="53">
        <f>+R44-Q44</f>
        <v>0</v>
      </c>
      <c r="T44" s="54"/>
      <c r="U44" s="55">
        <f>+S44+P44-V44</f>
        <v>8</v>
      </c>
      <c r="V44" s="135">
        <f t="shared" si="47"/>
        <v>0</v>
      </c>
      <c r="W44" s="56">
        <v>7</v>
      </c>
      <c r="X44" s="43">
        <v>16</v>
      </c>
      <c r="Y44" s="54">
        <v>1</v>
      </c>
      <c r="Z44" s="53">
        <f>+X44-W44-Y44</f>
        <v>8</v>
      </c>
      <c r="AA44" s="43"/>
      <c r="AB44" s="64"/>
      <c r="AC44" s="53">
        <f>+AB44-AA44</f>
        <v>0</v>
      </c>
      <c r="AD44" s="54"/>
      <c r="AE44" s="55">
        <f>+AC44+Z44-AF44</f>
        <v>8</v>
      </c>
      <c r="AF44" s="135">
        <f t="shared" si="51"/>
        <v>0</v>
      </c>
      <c r="AG44" s="69"/>
      <c r="AH44" s="178">
        <v>0</v>
      </c>
      <c r="AI44" s="179">
        <f>+K22+(IF(ISBLANK($K$5),-8,0))</f>
        <v>0</v>
      </c>
      <c r="AJ44" s="179">
        <f>IF(ISBLANK($U$5),-8,0)+U22</f>
        <v>-8</v>
      </c>
      <c r="AK44" s="179">
        <f>IF(ISBLANK($AE$5),-8,0)+AE22</f>
        <v>0</v>
      </c>
      <c r="AL44" s="179">
        <f t="shared" si="52"/>
        <v>0</v>
      </c>
      <c r="AM44" s="179">
        <f t="shared" si="53"/>
        <v>0</v>
      </c>
      <c r="AN44" s="179">
        <f t="shared" si="54"/>
        <v>0</v>
      </c>
      <c r="AO44" s="179">
        <f t="shared" si="55"/>
        <v>0</v>
      </c>
      <c r="AP44" s="180">
        <f t="shared" si="56"/>
        <v>-8</v>
      </c>
      <c r="AQ44" s="69"/>
      <c r="AR44" s="919">
        <f t="shared" si="57"/>
        <v>0</v>
      </c>
      <c r="AS44" s="920"/>
      <c r="AT44" s="227">
        <f t="shared" si="58"/>
        <v>5</v>
      </c>
      <c r="AU44" s="69"/>
      <c r="AV44" s="69"/>
      <c r="AW44" s="921"/>
      <c r="AX44" s="922"/>
    </row>
    <row r="45" spans="1:57" ht="14.1" customHeight="1">
      <c r="B45" s="142" t="str">
        <f t="shared" si="39"/>
        <v>Jose Lares P.</v>
      </c>
      <c r="C45" s="50">
        <v>7</v>
      </c>
      <c r="D45" s="51">
        <v>16</v>
      </c>
      <c r="E45" s="52">
        <v>1</v>
      </c>
      <c r="F45" s="185">
        <f t="shared" ref="F45:F46" si="61">+D45-C45-E45</f>
        <v>8</v>
      </c>
      <c r="G45" s="51"/>
      <c r="H45" s="51"/>
      <c r="I45" s="185">
        <f t="shared" ref="I45:I46" si="62">+H45-G45</f>
        <v>0</v>
      </c>
      <c r="J45" s="52"/>
      <c r="K45" s="106">
        <f t="shared" ref="K45:K46" si="63">+I45+F45-L45</f>
        <v>8</v>
      </c>
      <c r="L45" s="575">
        <f t="shared" si="43"/>
        <v>0</v>
      </c>
      <c r="M45" s="51">
        <v>7</v>
      </c>
      <c r="N45" s="51">
        <v>16</v>
      </c>
      <c r="O45" s="52">
        <v>1</v>
      </c>
      <c r="P45" s="185">
        <f t="shared" ref="P45:P46" si="64">+N45-M45-O45</f>
        <v>8</v>
      </c>
      <c r="Q45" s="576"/>
      <c r="R45" s="174"/>
      <c r="S45" s="185">
        <f t="shared" ref="S45:S46" si="65">+R45-Q45</f>
        <v>0</v>
      </c>
      <c r="T45" s="52"/>
      <c r="U45" s="106">
        <f t="shared" ref="U45:U46" si="66">+S45+P45-V45</f>
        <v>8</v>
      </c>
      <c r="V45" s="575">
        <f t="shared" si="47"/>
        <v>0</v>
      </c>
      <c r="W45" s="50">
        <v>7</v>
      </c>
      <c r="X45" s="51">
        <v>18</v>
      </c>
      <c r="Y45" s="52">
        <v>1</v>
      </c>
      <c r="Z45" s="185">
        <f t="shared" ref="Z45:Z46" si="67">+X45-W45-Y45</f>
        <v>10</v>
      </c>
      <c r="AA45" s="51"/>
      <c r="AB45" s="51"/>
      <c r="AC45" s="185">
        <f t="shared" ref="AC45:AC46" si="68">+AB45-AA45</f>
        <v>0</v>
      </c>
      <c r="AD45" s="52"/>
      <c r="AE45" s="106">
        <f t="shared" ref="AE45:AE46" si="69">+AC45+Z45-AF45</f>
        <v>8</v>
      </c>
      <c r="AF45" s="575">
        <f t="shared" si="51"/>
        <v>2</v>
      </c>
      <c r="AG45" s="69"/>
      <c r="AH45" s="178">
        <v>0</v>
      </c>
      <c r="AI45" s="179">
        <f>+K23+(IF(ISBLANK($K$5),-8,0))</f>
        <v>0</v>
      </c>
      <c r="AJ45" s="179">
        <f>IF(ISBLANK($U$5),-8,0)+U23</f>
        <v>0</v>
      </c>
      <c r="AK45" s="179">
        <f>IF(ISBLANK($AE$5),-8,0)+AE23</f>
        <v>0</v>
      </c>
      <c r="AL45" s="179">
        <f t="shared" si="52"/>
        <v>0</v>
      </c>
      <c r="AM45" s="179">
        <f t="shared" si="53"/>
        <v>0</v>
      </c>
      <c r="AN45" s="179">
        <f t="shared" si="54"/>
        <v>0</v>
      </c>
      <c r="AO45" s="179">
        <f t="shared" si="55"/>
        <v>0</v>
      </c>
      <c r="AP45" s="180">
        <f t="shared" si="56"/>
        <v>0</v>
      </c>
      <c r="AQ45" s="69"/>
      <c r="AR45" s="919">
        <f t="shared" si="57"/>
        <v>0</v>
      </c>
      <c r="AS45" s="920"/>
      <c r="AT45" s="187">
        <f t="shared" si="58"/>
        <v>6</v>
      </c>
      <c r="AU45" s="69"/>
      <c r="AV45" s="69"/>
      <c r="AW45" s="921"/>
      <c r="AX45" s="922"/>
    </row>
    <row r="46" spans="1:57" ht="14.1" customHeight="1">
      <c r="B46" s="142" t="str">
        <f t="shared" si="39"/>
        <v>Jeeimy Davila C.</v>
      </c>
      <c r="C46" s="56">
        <v>7</v>
      </c>
      <c r="D46" s="43">
        <v>16</v>
      </c>
      <c r="E46" s="54">
        <v>1</v>
      </c>
      <c r="F46" s="53">
        <f t="shared" si="61"/>
        <v>8</v>
      </c>
      <c r="G46" s="43"/>
      <c r="H46" s="43"/>
      <c r="I46" s="53">
        <f t="shared" si="62"/>
        <v>0</v>
      </c>
      <c r="J46" s="54"/>
      <c r="K46" s="55">
        <f t="shared" si="63"/>
        <v>8</v>
      </c>
      <c r="L46" s="135">
        <f t="shared" si="43"/>
        <v>0</v>
      </c>
      <c r="M46" s="51">
        <v>7</v>
      </c>
      <c r="N46" s="51">
        <v>16</v>
      </c>
      <c r="O46" s="52">
        <v>1</v>
      </c>
      <c r="P46" s="185">
        <f t="shared" si="64"/>
        <v>8</v>
      </c>
      <c r="Q46" s="576"/>
      <c r="R46" s="174"/>
      <c r="S46" s="185">
        <f t="shared" si="65"/>
        <v>0</v>
      </c>
      <c r="T46" s="52"/>
      <c r="U46" s="106">
        <f t="shared" si="66"/>
        <v>8</v>
      </c>
      <c r="V46" s="575">
        <f t="shared" si="47"/>
        <v>0</v>
      </c>
      <c r="W46" s="50">
        <v>7</v>
      </c>
      <c r="X46" s="51">
        <v>16</v>
      </c>
      <c r="Y46" s="52">
        <v>1</v>
      </c>
      <c r="Z46" s="185">
        <f t="shared" si="67"/>
        <v>8</v>
      </c>
      <c r="AA46" s="51"/>
      <c r="AB46" s="51"/>
      <c r="AC46" s="185">
        <f t="shared" si="68"/>
        <v>0</v>
      </c>
      <c r="AD46" s="52"/>
      <c r="AE46" s="106">
        <f t="shared" si="69"/>
        <v>8</v>
      </c>
      <c r="AF46" s="575">
        <f t="shared" si="51"/>
        <v>0</v>
      </c>
      <c r="AG46" s="69"/>
      <c r="AH46" s="178">
        <v>0</v>
      </c>
      <c r="AI46" s="179">
        <f t="shared" ref="AI46:AI47" si="70">+K24+(IF(ISBLANK($K$5),-8,0))</f>
        <v>0</v>
      </c>
      <c r="AJ46" s="179">
        <f t="shared" ref="AJ46:AJ47" si="71">IF(ISBLANK($U$5),-8,0)+U24</f>
        <v>0</v>
      </c>
      <c r="AK46" s="179">
        <f t="shared" ref="AK46:AK47" si="72">IF(ISBLANK($AE$5),-8,0)+AE24</f>
        <v>0</v>
      </c>
      <c r="AL46" s="179">
        <f t="shared" si="52"/>
        <v>0</v>
      </c>
      <c r="AM46" s="179">
        <f t="shared" si="53"/>
        <v>0</v>
      </c>
      <c r="AN46" s="179">
        <f t="shared" si="54"/>
        <v>0</v>
      </c>
      <c r="AO46" s="179">
        <f t="shared" si="55"/>
        <v>0</v>
      </c>
      <c r="AP46" s="180">
        <f t="shared" si="56"/>
        <v>0</v>
      </c>
      <c r="AQ46" s="69"/>
      <c r="AR46" s="919">
        <f t="shared" ref="AR46" si="73">+X85*Q85</f>
        <v>0</v>
      </c>
      <c r="AS46" s="920"/>
      <c r="AT46" s="187">
        <f t="shared" si="58"/>
        <v>6</v>
      </c>
      <c r="AU46" s="69"/>
      <c r="AV46" s="69"/>
      <c r="AW46" s="921"/>
      <c r="AX46" s="922"/>
    </row>
    <row r="47" spans="1:57" ht="14.1" customHeight="1" thickBot="1">
      <c r="B47" s="566" t="str">
        <f t="shared" si="39"/>
        <v xml:space="preserve">   </v>
      </c>
      <c r="C47" s="610"/>
      <c r="D47" s="611"/>
      <c r="E47" s="612"/>
      <c r="F47" s="613">
        <f t="shared" si="40"/>
        <v>0</v>
      </c>
      <c r="G47" s="611"/>
      <c r="H47" s="611"/>
      <c r="I47" s="613">
        <f t="shared" si="41"/>
        <v>0</v>
      </c>
      <c r="J47" s="612"/>
      <c r="K47" s="614">
        <f t="shared" si="42"/>
        <v>0</v>
      </c>
      <c r="L47" s="615">
        <f t="shared" si="43"/>
        <v>0</v>
      </c>
      <c r="M47" s="568"/>
      <c r="N47" s="568"/>
      <c r="O47" s="569"/>
      <c r="P47" s="570">
        <f t="shared" si="44"/>
        <v>0</v>
      </c>
      <c r="Q47" s="573"/>
      <c r="R47" s="574"/>
      <c r="S47" s="570">
        <f t="shared" si="45"/>
        <v>0</v>
      </c>
      <c r="T47" s="569"/>
      <c r="U47" s="571">
        <f t="shared" si="46"/>
        <v>0</v>
      </c>
      <c r="V47" s="572">
        <f t="shared" si="47"/>
        <v>0</v>
      </c>
      <c r="W47" s="567"/>
      <c r="X47" s="568"/>
      <c r="Y47" s="569"/>
      <c r="Z47" s="570">
        <f t="shared" si="48"/>
        <v>0</v>
      </c>
      <c r="AA47" s="568"/>
      <c r="AB47" s="568"/>
      <c r="AC47" s="570">
        <f t="shared" si="49"/>
        <v>0</v>
      </c>
      <c r="AD47" s="569"/>
      <c r="AE47" s="571">
        <f t="shared" si="50"/>
        <v>0</v>
      </c>
      <c r="AF47" s="572">
        <f t="shared" si="51"/>
        <v>0</v>
      </c>
      <c r="AG47" s="69"/>
      <c r="AH47" s="178">
        <v>0</v>
      </c>
      <c r="AI47" s="179">
        <f t="shared" si="70"/>
        <v>-8</v>
      </c>
      <c r="AJ47" s="179">
        <f t="shared" si="71"/>
        <v>-8</v>
      </c>
      <c r="AK47" s="179">
        <f t="shared" si="72"/>
        <v>-8</v>
      </c>
      <c r="AL47" s="179">
        <f t="shared" si="52"/>
        <v>0</v>
      </c>
      <c r="AM47" s="179">
        <f t="shared" si="53"/>
        <v>-8</v>
      </c>
      <c r="AN47" s="179">
        <f t="shared" si="54"/>
        <v>-8</v>
      </c>
      <c r="AO47" s="179">
        <f t="shared" si="55"/>
        <v>-8</v>
      </c>
      <c r="AP47" s="180">
        <f t="shared" si="56"/>
        <v>-48</v>
      </c>
      <c r="AQ47" s="69"/>
      <c r="AR47" s="919">
        <f>+X86*Q86</f>
        <v>0</v>
      </c>
      <c r="AS47" s="920"/>
      <c r="AT47" s="187">
        <f t="shared" si="58"/>
        <v>0</v>
      </c>
      <c r="AU47" s="69"/>
      <c r="AV47" s="69"/>
      <c r="AW47" s="921"/>
      <c r="AX47" s="922"/>
    </row>
    <row r="48" spans="1:57" ht="14.1" customHeight="1">
      <c r="B48" s="239"/>
      <c r="C48" s="240"/>
      <c r="O48" s="241"/>
      <c r="P48" s="242"/>
      <c r="Q48" s="243"/>
      <c r="R48" s="243"/>
      <c r="S48" s="242"/>
      <c r="T48" s="241"/>
      <c r="U48" s="244"/>
      <c r="V48" s="245"/>
      <c r="W48" s="69"/>
      <c r="X48" s="246"/>
      <c r="Y48" s="247"/>
      <c r="Z48" s="248"/>
      <c r="AA48" s="249"/>
      <c r="AH48" s="250"/>
      <c r="AP48" s="250"/>
      <c r="AR48" s="936">
        <f>SUM(AP11:AQ25)</f>
        <v>131</v>
      </c>
      <c r="AS48" s="937"/>
      <c r="AT48" s="251">
        <f>SUM(AT33:AT47)</f>
        <v>88</v>
      </c>
    </row>
    <row r="49" spans="1:58" ht="10.15" customHeight="1">
      <c r="B49" s="239"/>
      <c r="O49" s="241"/>
      <c r="P49" s="242"/>
      <c r="Q49" s="243"/>
      <c r="R49" s="243"/>
      <c r="S49" s="242"/>
      <c r="T49" s="241"/>
      <c r="U49" s="244"/>
      <c r="V49" s="244"/>
      <c r="W49" s="69"/>
      <c r="X49" s="246"/>
      <c r="Y49" s="247"/>
      <c r="Z49" s="248"/>
      <c r="AA49" s="249"/>
      <c r="AW49" s="938">
        <f>SUM(AW33:AX47)*-1</f>
        <v>92</v>
      </c>
      <c r="AX49" s="939"/>
    </row>
    <row r="50" spans="1:58" ht="14.1" customHeight="1">
      <c r="C50" s="240" t="s">
        <v>25</v>
      </c>
      <c r="E50" s="252"/>
      <c r="O50" s="241"/>
      <c r="P50" s="242"/>
      <c r="Q50" s="243"/>
      <c r="R50" s="243"/>
      <c r="S50" s="242"/>
      <c r="T50" s="241"/>
      <c r="U50" s="244"/>
      <c r="V50" s="244"/>
      <c r="W50" s="69"/>
      <c r="X50" s="246"/>
      <c r="Y50" s="247"/>
      <c r="Z50" s="248"/>
      <c r="AA50" s="249"/>
      <c r="AC50" s="253" t="s">
        <v>26</v>
      </c>
      <c r="AD50" s="254"/>
      <c r="AE50" s="254"/>
      <c r="AF50" s="254"/>
      <c r="AG50" s="254"/>
      <c r="AH50" s="254"/>
      <c r="AI50" s="254"/>
      <c r="AJ50" s="254"/>
      <c r="AK50" s="254"/>
      <c r="AL50" s="254"/>
      <c r="AM50" s="253" t="s">
        <v>27</v>
      </c>
      <c r="AO50" s="255"/>
      <c r="AW50" s="940"/>
      <c r="AX50" s="941"/>
    </row>
    <row r="51" spans="1:58" ht="14.1" customHeight="1">
      <c r="C51" s="240"/>
      <c r="D51" s="256"/>
      <c r="E51" s="252"/>
      <c r="O51" s="241"/>
      <c r="P51" s="242"/>
      <c r="Q51" s="243"/>
      <c r="R51" s="243"/>
      <c r="S51" s="242"/>
      <c r="T51" s="241"/>
      <c r="U51" s="244"/>
      <c r="V51" s="244"/>
      <c r="W51" s="69"/>
      <c r="X51" s="246"/>
      <c r="Y51" s="247"/>
      <c r="Z51" s="248"/>
      <c r="AA51" s="249"/>
      <c r="AC51" s="253"/>
      <c r="AD51" s="254"/>
      <c r="AE51" s="254"/>
      <c r="AF51" s="254"/>
      <c r="AG51" s="254"/>
      <c r="AH51" s="254"/>
      <c r="AI51" s="254"/>
      <c r="AJ51" s="254"/>
      <c r="AK51" s="254"/>
      <c r="AL51" s="254"/>
      <c r="AM51" s="253"/>
      <c r="AO51" s="255"/>
      <c r="AW51" s="257"/>
      <c r="AX51" s="257"/>
    </row>
    <row r="52" spans="1:58" ht="14.1" customHeight="1">
      <c r="D52" s="258">
        <v>915</v>
      </c>
      <c r="E52" s="259">
        <v>1545</v>
      </c>
      <c r="F52" s="260"/>
      <c r="G52" s="258"/>
      <c r="H52" s="258"/>
      <c r="I52" s="260"/>
      <c r="J52" s="258"/>
      <c r="K52" s="261"/>
      <c r="L52" s="261"/>
      <c r="M52" s="258">
        <v>847</v>
      </c>
      <c r="N52" s="258">
        <v>1520</v>
      </c>
      <c r="O52" s="262"/>
      <c r="P52" s="263"/>
      <c r="Q52" s="264"/>
      <c r="R52" s="264"/>
      <c r="S52" s="263"/>
      <c r="T52" s="262"/>
      <c r="U52" s="265"/>
      <c r="V52" s="265"/>
      <c r="W52" s="266">
        <v>720</v>
      </c>
      <c r="X52" s="266">
        <v>1615</v>
      </c>
      <c r="Y52" s="247"/>
      <c r="Z52" s="248"/>
      <c r="AA52" s="249"/>
      <c r="AC52" s="253"/>
      <c r="AD52" s="254"/>
      <c r="AE52" s="254"/>
      <c r="AF52" s="254"/>
      <c r="AG52" s="254"/>
      <c r="AH52" s="254"/>
      <c r="AI52" s="254"/>
      <c r="AJ52" s="254"/>
      <c r="AK52" s="254"/>
      <c r="AL52" s="254"/>
      <c r="AM52" s="253"/>
      <c r="AO52" s="255"/>
      <c r="AW52" s="257"/>
      <c r="AX52" s="257"/>
    </row>
    <row r="53" spans="1:58" ht="14.1" customHeight="1">
      <c r="O53" s="241"/>
      <c r="P53" s="242"/>
      <c r="Q53" s="243"/>
      <c r="R53" s="243"/>
      <c r="S53" s="242"/>
      <c r="T53" s="241"/>
      <c r="U53" s="244"/>
      <c r="V53" s="244"/>
      <c r="W53" s="69"/>
      <c r="X53" s="246"/>
      <c r="Y53" s="247"/>
      <c r="Z53" s="248"/>
      <c r="AA53" s="249"/>
      <c r="AC53" s="253" t="s">
        <v>119</v>
      </c>
      <c r="AD53" s="254"/>
      <c r="AE53" s="254"/>
      <c r="AF53" s="254"/>
      <c r="AG53" s="707">
        <v>8</v>
      </c>
      <c r="AH53" s="708">
        <v>17</v>
      </c>
      <c r="AI53" s="709">
        <v>1</v>
      </c>
      <c r="AJ53" s="710">
        <v>8</v>
      </c>
      <c r="AK53" s="708"/>
      <c r="AL53" s="708"/>
      <c r="AM53" s="711">
        <v>0</v>
      </c>
      <c r="AN53" s="712"/>
      <c r="AO53" s="713">
        <v>16</v>
      </c>
      <c r="AP53" s="942">
        <v>21</v>
      </c>
      <c r="AQ53" s="943"/>
      <c r="AR53" s="944">
        <v>107.8</v>
      </c>
      <c r="AS53" s="945"/>
      <c r="AT53" s="714">
        <v>28</v>
      </c>
      <c r="AW53" s="257"/>
      <c r="AX53" s="257"/>
    </row>
    <row r="54" spans="1:58" ht="14.1" customHeight="1">
      <c r="O54" s="241"/>
      <c r="P54" s="242"/>
      <c r="Q54" s="243"/>
      <c r="R54" s="243"/>
      <c r="S54" s="242"/>
      <c r="T54" s="241"/>
      <c r="U54" s="244"/>
      <c r="V54" s="244"/>
      <c r="W54" s="69"/>
      <c r="X54" s="246"/>
      <c r="Y54" s="247"/>
      <c r="Z54" s="248"/>
      <c r="AA54" s="249"/>
      <c r="AC54" s="253" t="s">
        <v>145</v>
      </c>
      <c r="AD54" s="254"/>
      <c r="AE54" s="254"/>
      <c r="AF54" s="254"/>
      <c r="AG54" s="92"/>
      <c r="AH54" s="92"/>
      <c r="AI54" s="92"/>
      <c r="AJ54" s="46">
        <v>0</v>
      </c>
      <c r="AK54" s="92"/>
      <c r="AL54" s="92"/>
      <c r="AM54" s="93">
        <v>0</v>
      </c>
      <c r="AN54" s="96"/>
      <c r="AO54" s="97">
        <v>0</v>
      </c>
      <c r="AP54" s="833">
        <v>8</v>
      </c>
      <c r="AQ54" s="834"/>
      <c r="AR54" s="946">
        <v>31</v>
      </c>
      <c r="AS54" s="947"/>
      <c r="AT54" s="99">
        <v>24</v>
      </c>
      <c r="AW54" s="257"/>
      <c r="AX54" s="257"/>
    </row>
    <row r="55" spans="1:58" ht="14.1" customHeight="1" thickBot="1">
      <c r="O55" s="241"/>
      <c r="P55" s="242"/>
      <c r="Q55" s="243"/>
      <c r="R55" s="243"/>
      <c r="S55" s="242"/>
      <c r="T55" s="241"/>
      <c r="U55" s="244"/>
      <c r="V55" s="244"/>
      <c r="W55" s="69"/>
      <c r="X55" s="246"/>
      <c r="Y55" s="247"/>
      <c r="Z55" s="248"/>
      <c r="AA55" s="249"/>
      <c r="AC55" s="253"/>
      <c r="AD55" s="254"/>
      <c r="AE55" s="254"/>
      <c r="AF55" s="254"/>
      <c r="AG55" s="254"/>
      <c r="AH55" s="254"/>
      <c r="AI55" s="254"/>
      <c r="AJ55" s="254"/>
      <c r="AK55" s="254"/>
      <c r="AL55" s="254"/>
      <c r="AM55" s="253"/>
      <c r="AO55" s="255"/>
      <c r="AW55" s="257"/>
      <c r="AX55" s="257"/>
    </row>
    <row r="56" spans="1:58" ht="6.95" customHeight="1">
      <c r="C56" s="955">
        <f>+C5</f>
        <v>43888</v>
      </c>
      <c r="D56" s="744"/>
      <c r="E56" s="744"/>
      <c r="F56" s="744"/>
      <c r="G56" s="744"/>
      <c r="H56" s="744"/>
      <c r="I56" s="744"/>
      <c r="J56" s="744"/>
      <c r="K56" s="971"/>
      <c r="L56" s="972"/>
      <c r="M56" s="744">
        <f>1+C56</f>
        <v>43889</v>
      </c>
      <c r="N56" s="744"/>
      <c r="O56" s="744"/>
      <c r="P56" s="744"/>
      <c r="Q56" s="744"/>
      <c r="R56" s="744"/>
      <c r="S56" s="744"/>
      <c r="T56" s="744"/>
      <c r="U56" s="967"/>
      <c r="V56" s="968"/>
      <c r="W56" s="975">
        <f>1+M56</f>
        <v>43890</v>
      </c>
      <c r="X56" s="976"/>
      <c r="Y56" s="976"/>
      <c r="Z56" s="976"/>
      <c r="AA56" s="976"/>
      <c r="AB56" s="976"/>
      <c r="AC56" s="976"/>
      <c r="AD56" s="976"/>
      <c r="AE56" s="979"/>
      <c r="AF56" s="980"/>
      <c r="AG56" s="948">
        <f>1+W56</f>
        <v>43891</v>
      </c>
      <c r="AH56" s="949"/>
      <c r="AI56" s="949"/>
      <c r="AJ56" s="949"/>
      <c r="AK56" s="949"/>
      <c r="AL56" s="949"/>
      <c r="AM56" s="949"/>
      <c r="AN56" s="949"/>
      <c r="AO56" s="791" t="s">
        <v>2</v>
      </c>
      <c r="AW56" s="257"/>
      <c r="AX56" s="257"/>
    </row>
    <row r="57" spans="1:58" s="267" customFormat="1" ht="6.95" customHeight="1" thickBot="1">
      <c r="A57" s="1"/>
      <c r="C57" s="956"/>
      <c r="D57" s="745"/>
      <c r="E57" s="745"/>
      <c r="F57" s="745"/>
      <c r="G57" s="745"/>
      <c r="H57" s="745"/>
      <c r="I57" s="745"/>
      <c r="J57" s="745"/>
      <c r="K57" s="973"/>
      <c r="L57" s="974"/>
      <c r="M57" s="745"/>
      <c r="N57" s="745"/>
      <c r="O57" s="745"/>
      <c r="P57" s="745"/>
      <c r="Q57" s="745"/>
      <c r="R57" s="745"/>
      <c r="S57" s="745"/>
      <c r="T57" s="745"/>
      <c r="U57" s="969"/>
      <c r="V57" s="970"/>
      <c r="W57" s="977"/>
      <c r="X57" s="978"/>
      <c r="Y57" s="978"/>
      <c r="Z57" s="978"/>
      <c r="AA57" s="978"/>
      <c r="AB57" s="978"/>
      <c r="AC57" s="978"/>
      <c r="AD57" s="978"/>
      <c r="AE57" s="981"/>
      <c r="AF57" s="982"/>
      <c r="AG57" s="950"/>
      <c r="AH57" s="951"/>
      <c r="AI57" s="951"/>
      <c r="AJ57" s="951"/>
      <c r="AK57" s="951"/>
      <c r="AL57" s="951"/>
      <c r="AM57" s="951"/>
      <c r="AN57" s="951"/>
      <c r="AO57" s="792"/>
      <c r="AW57" s="257"/>
      <c r="AX57" s="257"/>
    </row>
    <row r="58" spans="1:58" ht="14.1" customHeight="1" thickBot="1">
      <c r="B58" s="268" t="str">
        <f>+B89</f>
        <v>CEQR</v>
      </c>
      <c r="C58" s="231"/>
      <c r="D58" s="232"/>
      <c r="E58" s="233"/>
      <c r="F58" s="234">
        <f>+D58-C58-E58</f>
        <v>0</v>
      </c>
      <c r="G58" s="232"/>
      <c r="H58" s="232"/>
      <c r="I58" s="234">
        <f>+H58-G58</f>
        <v>0</v>
      </c>
      <c r="J58" s="233"/>
      <c r="K58" s="235">
        <f>+I58+F58-L58</f>
        <v>0</v>
      </c>
      <c r="L58" s="269">
        <f>IF(C58&gt;0,(F58+I58)+IF(K$5&gt;0,0+F58,-8),0)</f>
        <v>0</v>
      </c>
      <c r="M58" s="270"/>
      <c r="N58" s="232"/>
      <c r="O58" s="233"/>
      <c r="P58" s="234">
        <f>+N58-M58-O58</f>
        <v>0</v>
      </c>
      <c r="Q58" s="271"/>
      <c r="R58" s="160"/>
      <c r="S58" s="234">
        <f>+R58-Q58</f>
        <v>0</v>
      </c>
      <c r="T58" s="233"/>
      <c r="U58" s="235">
        <f>+S58+P58-V58</f>
        <v>0</v>
      </c>
      <c r="V58" s="269">
        <f>IF(M58&gt;0,(P58+S58)+IF(U$5&gt;0,0+P58,-8),0)</f>
        <v>0</v>
      </c>
      <c r="W58" s="232"/>
      <c r="X58" s="232"/>
      <c r="Y58" s="233"/>
      <c r="Z58" s="234">
        <f>+X58-W58-Y58</f>
        <v>0</v>
      </c>
      <c r="AA58" s="232"/>
      <c r="AB58" s="272"/>
      <c r="AC58" s="234">
        <f>+AB58-AA58</f>
        <v>0</v>
      </c>
      <c r="AD58" s="233"/>
      <c r="AE58" s="235">
        <f>+AC58+Z58-IF(AE$5&gt;0,AF58/2,AF58)</f>
        <v>0</v>
      </c>
      <c r="AF58" s="269">
        <f>IF(W58&gt;0,IF(AE$5&gt;0,(Z58+AC58)*2,(Z58+AC58-8)),0)*IF(Z58&lt;9,IF(AE$5&gt;0,1,2),1)+IF(Z58&gt;8,AC58,0)</f>
        <v>0</v>
      </c>
      <c r="AG58" s="273"/>
      <c r="AH58" s="273"/>
      <c r="AI58" s="274"/>
      <c r="AJ58" s="275">
        <f>+AH58-AG58-AI58</f>
        <v>0</v>
      </c>
      <c r="AK58" s="276"/>
      <c r="AL58" s="276"/>
      <c r="AM58" s="277">
        <f>+AL58-AK58</f>
        <v>0</v>
      </c>
      <c r="AN58" s="274">
        <v>-3</v>
      </c>
      <c r="AO58" s="278">
        <f>(AJ58*2+AM58)</f>
        <v>0</v>
      </c>
      <c r="AP58" s="952">
        <f>+L58+V58+AF58+AO58+L62+V62+AF62-AN58</f>
        <v>3</v>
      </c>
      <c r="AQ58" s="953"/>
      <c r="AR58" s="954">
        <f>ROUND(BD58*AP58,1)</f>
        <v>29.4</v>
      </c>
      <c r="AS58" s="954"/>
      <c r="AT58" s="279" t="e">
        <f>IF(AT62&gt;0,AT62*$AT$10,0)</f>
        <v>#REF!</v>
      </c>
      <c r="AU58" s="69"/>
      <c r="AV58" s="100">
        <f>+L58</f>
        <v>0</v>
      </c>
      <c r="AW58" s="100">
        <f>+V58</f>
        <v>0</v>
      </c>
      <c r="AX58" s="100">
        <f>+AF58</f>
        <v>0</v>
      </c>
      <c r="AY58" s="101">
        <f>+AO58</f>
        <v>0</v>
      </c>
      <c r="AZ58" s="100">
        <f>+L62</f>
        <v>0</v>
      </c>
      <c r="BA58" s="100">
        <f>+V62</f>
        <v>0</v>
      </c>
      <c r="BB58" s="100">
        <f>+AF62</f>
        <v>0</v>
      </c>
      <c r="BC58" s="66"/>
      <c r="BD58" s="36">
        <f>+I89</f>
        <v>9.7916660714285708</v>
      </c>
      <c r="BE58" s="67">
        <f>+BD58*AP58</f>
        <v>29.374998214285711</v>
      </c>
      <c r="BF58" s="68">
        <f>+BD58*AY58</f>
        <v>0</v>
      </c>
    </row>
    <row r="59" spans="1:58" ht="14.1" customHeight="1" thickBot="1">
      <c r="C59" s="280"/>
      <c r="D59" s="280"/>
      <c r="E59" s="281"/>
      <c r="F59" s="282"/>
      <c r="G59" s="280"/>
      <c r="H59" s="280"/>
      <c r="I59" s="282"/>
      <c r="J59" s="281"/>
      <c r="K59" s="283"/>
      <c r="L59" s="284"/>
      <c r="M59" s="280"/>
      <c r="N59" s="280"/>
      <c r="O59" s="281"/>
      <c r="P59" s="282"/>
      <c r="Q59" s="285"/>
      <c r="R59" s="286"/>
      <c r="S59" s="282"/>
      <c r="T59" s="281"/>
      <c r="U59" s="283"/>
      <c r="V59" s="284"/>
      <c r="W59" s="280"/>
      <c r="X59" s="280"/>
      <c r="Y59" s="281"/>
      <c r="Z59" s="282"/>
      <c r="AA59" s="280"/>
      <c r="AB59" s="287"/>
      <c r="AC59" s="282"/>
      <c r="AD59" s="281"/>
      <c r="AE59" s="283"/>
      <c r="AF59" s="284"/>
      <c r="AG59" s="243"/>
      <c r="AH59" s="243"/>
      <c r="AI59" s="241"/>
      <c r="AJ59" s="288"/>
      <c r="AK59" s="289"/>
      <c r="AL59" s="289"/>
      <c r="AM59" s="242"/>
      <c r="AN59" s="241"/>
      <c r="AO59" s="244"/>
      <c r="AP59" s="243"/>
      <c r="AQ59" s="243"/>
      <c r="AR59" s="290"/>
      <c r="AS59" s="290"/>
      <c r="AT59" s="291"/>
      <c r="AU59" s="69"/>
      <c r="AV59" s="66"/>
      <c r="AW59" s="66"/>
      <c r="AX59" s="66"/>
      <c r="AY59" s="292"/>
      <c r="AZ59" s="66"/>
      <c r="BA59" s="66"/>
      <c r="BB59" s="66"/>
      <c r="BC59" s="66"/>
      <c r="BD59" s="293"/>
      <c r="BE59" s="294"/>
      <c r="BF59" s="295"/>
    </row>
    <row r="60" spans="1:58" ht="6.95" customHeight="1">
      <c r="C60" s="955">
        <f>+C27</f>
        <v>43892</v>
      </c>
      <c r="D60" s="744"/>
      <c r="E60" s="744"/>
      <c r="F60" s="744"/>
      <c r="G60" s="744"/>
      <c r="H60" s="744"/>
      <c r="I60" s="744"/>
      <c r="J60" s="744"/>
      <c r="K60" s="957"/>
      <c r="L60" s="958"/>
      <c r="M60" s="961">
        <f>1+C60</f>
        <v>43893</v>
      </c>
      <c r="N60" s="962"/>
      <c r="O60" s="962"/>
      <c r="P60" s="962"/>
      <c r="Q60" s="962"/>
      <c r="R60" s="962"/>
      <c r="S60" s="962"/>
      <c r="T60" s="963"/>
      <c r="U60" s="967"/>
      <c r="V60" s="968"/>
      <c r="W60" s="744">
        <f>1+M60</f>
        <v>43894</v>
      </c>
      <c r="X60" s="744"/>
      <c r="Y60" s="744"/>
      <c r="Z60" s="744"/>
      <c r="AA60" s="744"/>
      <c r="AB60" s="744"/>
      <c r="AC60" s="744"/>
      <c r="AD60" s="744"/>
      <c r="AE60" s="967"/>
      <c r="AF60" s="968"/>
      <c r="AG60" s="254"/>
      <c r="AH60" s="254"/>
      <c r="AI60" s="254"/>
      <c r="AJ60" s="254"/>
      <c r="AK60" s="254"/>
      <c r="AL60" s="254"/>
      <c r="AM60" s="253"/>
      <c r="AO60" s="255"/>
      <c r="AW60" s="257"/>
      <c r="AX60" s="257"/>
    </row>
    <row r="61" spans="1:58" s="267" customFormat="1" ht="6.95" customHeight="1" thickBot="1">
      <c r="A61" s="1"/>
      <c r="C61" s="956"/>
      <c r="D61" s="745"/>
      <c r="E61" s="745"/>
      <c r="F61" s="745"/>
      <c r="G61" s="745"/>
      <c r="H61" s="745"/>
      <c r="I61" s="745"/>
      <c r="J61" s="745"/>
      <c r="K61" s="959"/>
      <c r="L61" s="960"/>
      <c r="M61" s="964"/>
      <c r="N61" s="965"/>
      <c r="O61" s="965"/>
      <c r="P61" s="965"/>
      <c r="Q61" s="965"/>
      <c r="R61" s="965"/>
      <c r="S61" s="965"/>
      <c r="T61" s="966"/>
      <c r="U61" s="969"/>
      <c r="V61" s="970"/>
      <c r="W61" s="745"/>
      <c r="X61" s="745"/>
      <c r="Y61" s="745"/>
      <c r="Z61" s="745"/>
      <c r="AA61" s="745"/>
      <c r="AB61" s="745"/>
      <c r="AC61" s="745"/>
      <c r="AD61" s="745"/>
      <c r="AE61" s="969"/>
      <c r="AF61" s="970"/>
      <c r="AG61" s="296"/>
      <c r="AH61" s="296"/>
      <c r="AI61" s="296"/>
      <c r="AJ61" s="296"/>
      <c r="AK61" s="296"/>
      <c r="AL61" s="296"/>
      <c r="AM61" s="297"/>
      <c r="AO61" s="298"/>
      <c r="AW61" s="257"/>
      <c r="AX61" s="257"/>
    </row>
    <row r="62" spans="1:58" ht="14.1" customHeight="1" thickBot="1">
      <c r="B62" s="268" t="str">
        <f>+B58</f>
        <v>CEQR</v>
      </c>
      <c r="C62" s="231"/>
      <c r="D62" s="232"/>
      <c r="E62" s="233"/>
      <c r="F62" s="234">
        <f>+D62-C62-E62</f>
        <v>0</v>
      </c>
      <c r="G62" s="271"/>
      <c r="H62" s="160"/>
      <c r="I62" s="234">
        <f>+H62-G62</f>
        <v>0</v>
      </c>
      <c r="J62" s="233"/>
      <c r="K62" s="235">
        <f>+I62+F62-L62</f>
        <v>0</v>
      </c>
      <c r="L62" s="269">
        <f>IF(C62&gt;0,(F62+I62)+IF(K$27&gt;0,0+F62,-8),0)</f>
        <v>0</v>
      </c>
      <c r="M62" s="276"/>
      <c r="N62" s="276"/>
      <c r="O62" s="274"/>
      <c r="P62" s="277">
        <f>+N62-M62-O62</f>
        <v>0</v>
      </c>
      <c r="Q62" s="273"/>
      <c r="R62" s="276"/>
      <c r="S62" s="234">
        <f>+R62-Q62</f>
        <v>0</v>
      </c>
      <c r="T62" s="274"/>
      <c r="U62" s="299">
        <f>+S62+P62-V62</f>
        <v>0</v>
      </c>
      <c r="V62" s="300">
        <f>IF(M62&gt;0,(P62+S62)+IF(U$27&gt;0,0+P62,-8),0)</f>
        <v>0</v>
      </c>
      <c r="W62" s="301"/>
      <c r="X62" s="276"/>
      <c r="Y62" s="274"/>
      <c r="Z62" s="277">
        <f>+X62-W62-Y62</f>
        <v>0</v>
      </c>
      <c r="AA62" s="276"/>
      <c r="AB62" s="276"/>
      <c r="AC62" s="234">
        <f>+AB62-AA62</f>
        <v>0</v>
      </c>
      <c r="AD62" s="274"/>
      <c r="AE62" s="299">
        <f>+AC62+Z62-AF62</f>
        <v>0</v>
      </c>
      <c r="AF62" s="236">
        <f>IF(W62&gt;0,(Z62+AC62)+IF(AE$27&gt;0,0+Z62,-8),0)</f>
        <v>0</v>
      </c>
      <c r="AG62" s="69"/>
      <c r="AH62" s="302">
        <v>0</v>
      </c>
      <c r="AI62" s="303">
        <f>+K58+(IF(ISBLANK($K$56),-8,0))</f>
        <v>-8</v>
      </c>
      <c r="AJ62" s="303">
        <f>IF(ISBLANK($U$56),-8,0)+U58</f>
        <v>-8</v>
      </c>
      <c r="AK62" s="304">
        <f>IF(ISBLANK($AE$56),-8,0)+AE58</f>
        <v>-8</v>
      </c>
      <c r="AL62" s="303">
        <f>IF(ISBLANK($AO$56),-8,0)+AM58+AW62</f>
        <v>0</v>
      </c>
      <c r="AM62" s="303">
        <f>IF(ISBLANK($K$60),-8,0)+K62</f>
        <v>-8</v>
      </c>
      <c r="AN62" s="303">
        <f>IF(ISBLANK($U$60),-8,0)+U62</f>
        <v>-8</v>
      </c>
      <c r="AO62" s="303">
        <f>IF(ISBLANK($AE$60),-8,0)+AE62</f>
        <v>-8</v>
      </c>
      <c r="AP62" s="305">
        <f>SUM(AH62:AO62)</f>
        <v>-48</v>
      </c>
      <c r="AQ62" s="306"/>
      <c r="AR62" s="994">
        <f>+X89*Q89</f>
        <v>0</v>
      </c>
      <c r="AS62" s="995"/>
      <c r="AT62" s="307" t="e">
        <f>IF(#REF!+#REF!&gt;0,1,0)+IF(#REF!+#REF!&gt;0,1,0)+IF(#REF!+#REF!&gt;0,1,0)+IF(#REF!&gt;3,1,0)+IF(K62+L62&gt;0,1,0)+IF(U62+V62&gt;0,1,0)+IF(AE62+AF62&gt;0,1,0)</f>
        <v>#REF!</v>
      </c>
      <c r="AU62" s="69"/>
      <c r="AV62" s="69"/>
      <c r="AW62" s="921"/>
      <c r="AX62" s="922"/>
    </row>
    <row r="63" spans="1:58" ht="14.1" customHeight="1">
      <c r="O63" s="241"/>
      <c r="P63" s="242"/>
      <c r="Q63" s="243"/>
      <c r="R63" s="243"/>
      <c r="S63" s="242"/>
      <c r="T63" s="241"/>
      <c r="U63" s="244"/>
      <c r="V63" s="244"/>
      <c r="W63" s="69"/>
      <c r="X63" s="246"/>
      <c r="Y63" s="247"/>
      <c r="Z63" s="248"/>
      <c r="AA63" s="249"/>
      <c r="AC63" s="253"/>
      <c r="AD63" s="254"/>
      <c r="AE63" s="254"/>
      <c r="AF63" s="254"/>
      <c r="AG63" s="254"/>
      <c r="AH63" s="254"/>
      <c r="AI63" s="254"/>
      <c r="AJ63" s="254"/>
      <c r="AK63" s="996"/>
      <c r="AL63" s="996"/>
      <c r="AM63" s="253"/>
      <c r="AO63" s="255"/>
      <c r="AW63" s="257"/>
      <c r="AX63" s="257"/>
    </row>
    <row r="64" spans="1:58" ht="14.1" customHeight="1">
      <c r="O64" s="241"/>
      <c r="P64" s="242"/>
      <c r="Q64" s="243"/>
      <c r="R64" s="243"/>
      <c r="S64" s="242"/>
      <c r="T64" s="241"/>
      <c r="U64" s="244"/>
      <c r="V64" s="244"/>
      <c r="W64" s="69"/>
      <c r="X64" s="246"/>
      <c r="Y64" s="247"/>
      <c r="AW64" s="257"/>
      <c r="AX64" s="257"/>
    </row>
    <row r="65" spans="1:50" ht="18" customHeight="1">
      <c r="C65" s="240" t="s">
        <v>28</v>
      </c>
      <c r="O65" s="241"/>
      <c r="P65" s="242"/>
      <c r="Q65" s="243"/>
      <c r="R65" s="243"/>
      <c r="S65" s="242"/>
      <c r="T65" s="241"/>
      <c r="U65" s="244"/>
      <c r="V65" s="244"/>
      <c r="W65" s="69"/>
      <c r="X65" s="246"/>
      <c r="Y65" s="247"/>
      <c r="AW65" s="257"/>
      <c r="AX65" s="257"/>
    </row>
    <row r="66" spans="1:50" ht="3" customHeight="1">
      <c r="Q66" s="308"/>
      <c r="R66" s="309"/>
      <c r="S66" s="310"/>
      <c r="T66" s="311"/>
      <c r="AX66" s="257"/>
    </row>
    <row r="67" spans="1:50" ht="14.1" customHeight="1" thickBot="1">
      <c r="B67" s="7" t="s">
        <v>29</v>
      </c>
      <c r="C67" s="997" t="s">
        <v>30</v>
      </c>
      <c r="D67" s="997"/>
      <c r="E67" s="997" t="s">
        <v>31</v>
      </c>
      <c r="F67" s="997"/>
      <c r="G67" s="998" t="s">
        <v>32</v>
      </c>
      <c r="H67" s="999"/>
      <c r="I67" s="1004" t="s">
        <v>33</v>
      </c>
      <c r="J67" s="1005"/>
      <c r="K67" s="1006" t="s">
        <v>34</v>
      </c>
      <c r="L67" s="1006"/>
      <c r="M67" s="6"/>
      <c r="N67" s="1007" t="s">
        <v>35</v>
      </c>
      <c r="O67" s="1007"/>
      <c r="P67" s="6"/>
      <c r="Q67" s="1008" t="s">
        <v>36</v>
      </c>
      <c r="R67" s="1009"/>
      <c r="U67" s="1019" t="s">
        <v>37</v>
      </c>
      <c r="V67" s="1022" t="s">
        <v>38</v>
      </c>
      <c r="W67" s="1025" t="s">
        <v>39</v>
      </c>
      <c r="X67" s="983" t="s">
        <v>40</v>
      </c>
      <c r="AX67" s="257"/>
    </row>
    <row r="68" spans="1:50" ht="14.1" customHeight="1">
      <c r="B68" s="7" t="s">
        <v>41</v>
      </c>
      <c r="C68" s="997"/>
      <c r="D68" s="997"/>
      <c r="E68" s="997"/>
      <c r="F68" s="997"/>
      <c r="G68" s="1000"/>
      <c r="H68" s="1001"/>
      <c r="I68" s="1004"/>
      <c r="J68" s="1005"/>
      <c r="K68" s="1006"/>
      <c r="L68" s="1006"/>
      <c r="M68" s="6"/>
      <c r="N68" s="1007"/>
      <c r="O68" s="1007"/>
      <c r="P68" s="6"/>
      <c r="Q68" s="1010"/>
      <c r="R68" s="1011"/>
      <c r="U68" s="1020"/>
      <c r="V68" s="1023"/>
      <c r="W68" s="1026"/>
      <c r="X68" s="984"/>
      <c r="AA68" s="312"/>
      <c r="AB68" s="313"/>
      <c r="AC68" s="314"/>
      <c r="AD68" s="315"/>
      <c r="AE68" s="316"/>
      <c r="AF68" s="316"/>
      <c r="AG68" s="316"/>
      <c r="AH68" s="316"/>
      <c r="AI68" s="316"/>
      <c r="AJ68" s="316"/>
      <c r="AK68" s="316"/>
      <c r="AL68" s="316"/>
      <c r="AM68" s="316"/>
      <c r="AN68" s="314"/>
      <c r="AO68" s="314"/>
      <c r="AP68" s="314"/>
      <c r="AQ68" s="314"/>
      <c r="AR68" s="317"/>
      <c r="AX68" s="257"/>
    </row>
    <row r="69" spans="1:50" ht="14.1" customHeight="1">
      <c r="B69" s="7" t="s">
        <v>42</v>
      </c>
      <c r="C69" s="997"/>
      <c r="D69" s="997"/>
      <c r="E69" s="997"/>
      <c r="F69" s="997"/>
      <c r="G69" s="1000"/>
      <c r="H69" s="1001"/>
      <c r="I69" s="1004"/>
      <c r="J69" s="1005"/>
      <c r="K69" s="1006"/>
      <c r="L69" s="1006"/>
      <c r="M69" s="6"/>
      <c r="N69" s="1007"/>
      <c r="O69" s="1007"/>
      <c r="P69" s="6"/>
      <c r="Q69" s="1012"/>
      <c r="R69" s="1013"/>
      <c r="U69" s="1020"/>
      <c r="V69" s="1023"/>
      <c r="W69" s="1026"/>
      <c r="X69" s="984"/>
      <c r="AA69" s="318"/>
      <c r="AB69" s="319" t="s">
        <v>43</v>
      </c>
      <c r="AC69" s="320"/>
      <c r="AD69" s="320"/>
      <c r="AE69" s="320"/>
      <c r="AF69" s="321"/>
      <c r="AG69" s="321"/>
      <c r="AH69" s="320"/>
      <c r="AI69" s="320"/>
      <c r="AJ69" s="320"/>
      <c r="AK69" s="320"/>
      <c r="AL69" s="320"/>
      <c r="AM69" s="320"/>
      <c r="AN69" s="320"/>
      <c r="AO69" s="322"/>
      <c r="AP69" s="322"/>
      <c r="AQ69" s="323"/>
      <c r="AR69" s="324"/>
      <c r="AT69" s="254"/>
      <c r="AX69" s="257"/>
    </row>
    <row r="70" spans="1:50" ht="27" thickBot="1">
      <c r="B70" s="325" t="s">
        <v>44</v>
      </c>
      <c r="C70" s="986">
        <f>+E70*7</f>
        <v>217</v>
      </c>
      <c r="D70" s="986"/>
      <c r="E70" s="987">
        <f>+K70/30</f>
        <v>31</v>
      </c>
      <c r="F70" s="987"/>
      <c r="G70" s="1000"/>
      <c r="H70" s="1001"/>
      <c r="I70" s="988">
        <f>+E70/8</f>
        <v>3.875</v>
      </c>
      <c r="J70" s="989"/>
      <c r="K70" s="990">
        <f>850+80</f>
        <v>930</v>
      </c>
      <c r="L70" s="990"/>
      <c r="M70" s="326"/>
      <c r="N70" s="991">
        <f>+I70/6*7</f>
        <v>4.5208333333333339</v>
      </c>
      <c r="O70" s="992"/>
      <c r="P70" s="326"/>
      <c r="Q70" s="993">
        <f>+$I$71-I70</f>
        <v>1.3562500000000002</v>
      </c>
      <c r="R70" s="993"/>
      <c r="U70" s="1020"/>
      <c r="V70" s="1023"/>
      <c r="W70" s="1026"/>
      <c r="X70" s="984"/>
      <c r="AA70" s="327"/>
      <c r="AB70" s="328"/>
      <c r="AC70" s="328"/>
      <c r="AD70" s="328"/>
      <c r="AE70" s="328"/>
      <c r="AF70" s="328"/>
      <c r="AG70" s="328"/>
      <c r="AH70" s="328"/>
      <c r="AI70" s="328"/>
      <c r="AJ70" s="328"/>
      <c r="AK70" s="328"/>
      <c r="AL70" s="328"/>
      <c r="AM70" s="328"/>
      <c r="AN70" s="328"/>
      <c r="AO70" s="329" t="s">
        <v>45</v>
      </c>
      <c r="AP70" s="330"/>
      <c r="AQ70" s="328"/>
      <c r="AR70" s="331"/>
    </row>
    <row r="71" spans="1:50" ht="24.75">
      <c r="B71" s="332" t="s">
        <v>46</v>
      </c>
      <c r="C71" s="1014">
        <f>+E71*7</f>
        <v>292.95</v>
      </c>
      <c r="D71" s="1014"/>
      <c r="E71" s="1015">
        <f>+K71/30</f>
        <v>41.85</v>
      </c>
      <c r="F71" s="1015"/>
      <c r="G71" s="1002"/>
      <c r="H71" s="1003"/>
      <c r="I71" s="1016">
        <f>+E71/8</f>
        <v>5.2312500000000002</v>
      </c>
      <c r="J71" s="1017"/>
      <c r="K71" s="1018">
        <f>+K70*1.35</f>
        <v>1255.5</v>
      </c>
      <c r="L71" s="1018"/>
      <c r="M71" s="326"/>
      <c r="N71" s="991">
        <f>+I71/6*7</f>
        <v>6.1031250000000004</v>
      </c>
      <c r="O71" s="992"/>
      <c r="P71" s="326"/>
      <c r="Q71" s="993">
        <f>+$I$71-I71</f>
        <v>0</v>
      </c>
      <c r="R71" s="993"/>
      <c r="U71" s="1020"/>
      <c r="V71" s="1023"/>
      <c r="W71" s="1026"/>
      <c r="X71" s="984"/>
      <c r="AA71" s="333"/>
      <c r="AB71" s="333"/>
      <c r="AC71" s="333"/>
      <c r="AD71" s="333"/>
      <c r="AE71" s="333"/>
      <c r="AF71" s="167"/>
      <c r="AG71" s="167"/>
      <c r="AH71" s="167"/>
      <c r="AJ71" s="296"/>
      <c r="AK71" s="296"/>
      <c r="AL71" s="296"/>
      <c r="AM71" s="296"/>
      <c r="AN71" s="296"/>
      <c r="AO71" s="296"/>
      <c r="AP71" s="296"/>
      <c r="AQ71" s="296"/>
      <c r="AR71" s="296"/>
    </row>
    <row r="72" spans="1:50" ht="2.1" customHeight="1" thickBot="1">
      <c r="B72" s="334"/>
      <c r="C72" s="258"/>
      <c r="D72" s="258"/>
      <c r="G72" s="335"/>
      <c r="H72" s="335"/>
      <c r="I72" s="336"/>
      <c r="J72" s="336"/>
      <c r="K72" s="337"/>
      <c r="L72" s="337"/>
      <c r="M72" s="6"/>
      <c r="N72" s="338"/>
      <c r="O72" s="338"/>
      <c r="P72" s="6"/>
      <c r="Q72" s="339"/>
      <c r="R72" s="339"/>
      <c r="U72" s="1021"/>
      <c r="V72" s="1024"/>
      <c r="W72" s="1027"/>
      <c r="X72" s="985"/>
      <c r="AA72" s="3"/>
    </row>
    <row r="73" spans="1:50" ht="16.5">
      <c r="A73" s="1">
        <v>1</v>
      </c>
      <c r="B73" s="340" t="s">
        <v>47</v>
      </c>
      <c r="C73" s="1040">
        <f>6*3+7*33.8</f>
        <v>254.59999999999997</v>
      </c>
      <c r="D73" s="1041"/>
      <c r="E73" s="1030">
        <f t="shared" ref="E73:E79" si="74">+C73/7</f>
        <v>36.371428571428567</v>
      </c>
      <c r="F73" s="1031"/>
      <c r="G73" s="341"/>
      <c r="H73" s="341"/>
      <c r="I73" s="1032">
        <f t="shared" ref="I73:I85" si="75">+E73/8</f>
        <v>4.5464285714285708</v>
      </c>
      <c r="J73" s="1033"/>
      <c r="K73" s="1034">
        <f t="shared" ref="K73:K85" si="76">+E73*30</f>
        <v>1091.1428571428569</v>
      </c>
      <c r="L73" s="1034"/>
      <c r="M73" s="6"/>
      <c r="N73" s="1035">
        <f t="shared" ref="N73:N89" si="77">+I73/6*7</f>
        <v>5.3041666666666654</v>
      </c>
      <c r="O73" s="1035"/>
      <c r="P73" s="6"/>
      <c r="Q73" s="1036">
        <f>+$I$71-I73</f>
        <v>0.68482142857142936</v>
      </c>
      <c r="R73" s="1037"/>
      <c r="U73" s="342">
        <f t="shared" ref="U73:U85" si="78">+AE33+U33+K33+AO11+AE11+U11+K11</f>
        <v>48</v>
      </c>
      <c r="V73" s="343">
        <v>48</v>
      </c>
      <c r="W73" s="344">
        <f t="shared" ref="W73:W89" si="79">+V73-U73</f>
        <v>0</v>
      </c>
      <c r="X73" s="345">
        <f t="shared" ref="X73:X85" si="80">+J11+T11+AD11+J33+T33+AD33</f>
        <v>0</v>
      </c>
      <c r="Y73" s="1038">
        <f>+X73*Q73</f>
        <v>0</v>
      </c>
      <c r="Z73" s="1039"/>
      <c r="AA73" s="346"/>
      <c r="AB73" s="347"/>
      <c r="AC73" s="348"/>
      <c r="AD73" s="349"/>
      <c r="AE73" s="350"/>
      <c r="AF73" s="350"/>
      <c r="AG73" s="350"/>
      <c r="AH73" s="350"/>
      <c r="AI73" s="350"/>
      <c r="AJ73" s="350"/>
      <c r="AK73" s="350"/>
      <c r="AL73" s="350"/>
      <c r="AM73" s="350"/>
      <c r="AN73" s="348"/>
      <c r="AO73" s="348"/>
      <c r="AP73" s="348"/>
      <c r="AQ73" s="348"/>
      <c r="AR73" s="351"/>
    </row>
    <row r="74" spans="1:50" ht="16.5">
      <c r="A74" s="1">
        <v>2</v>
      </c>
      <c r="B74" s="340" t="s">
        <v>48</v>
      </c>
      <c r="C74" s="1040">
        <f>6*3+7*38.5</f>
        <v>287.5</v>
      </c>
      <c r="D74" s="1041"/>
      <c r="E74" s="1030">
        <f t="shared" si="74"/>
        <v>41.071428571428569</v>
      </c>
      <c r="F74" s="1031"/>
      <c r="G74" s="341"/>
      <c r="H74" s="341"/>
      <c r="I74" s="1032">
        <f t="shared" si="75"/>
        <v>5.1339285714285712</v>
      </c>
      <c r="J74" s="1033"/>
      <c r="K74" s="1034">
        <f t="shared" si="76"/>
        <v>1232.1428571428571</v>
      </c>
      <c r="L74" s="1034"/>
      <c r="M74" s="6"/>
      <c r="N74" s="1035">
        <f t="shared" si="77"/>
        <v>5.989583333333333</v>
      </c>
      <c r="O74" s="1035"/>
      <c r="P74" s="6"/>
      <c r="Q74" s="1036">
        <f>+$I$71-I74</f>
        <v>9.7321428571429003E-2</v>
      </c>
      <c r="R74" s="1037"/>
      <c r="U74" s="342">
        <f t="shared" si="78"/>
        <v>68</v>
      </c>
      <c r="V74" s="343">
        <v>48</v>
      </c>
      <c r="W74" s="344">
        <f t="shared" si="79"/>
        <v>-20</v>
      </c>
      <c r="X74" s="345">
        <f t="shared" si="80"/>
        <v>0</v>
      </c>
      <c r="Y74" s="1038">
        <f>+X74*Q74</f>
        <v>0</v>
      </c>
      <c r="Z74" s="1039"/>
      <c r="AA74" s="352"/>
      <c r="AB74" s="353" t="s">
        <v>49</v>
      </c>
      <c r="AC74" s="354"/>
      <c r="AD74" s="354"/>
      <c r="AE74" s="354"/>
      <c r="AF74" s="355"/>
      <c r="AG74" s="355"/>
      <c r="AH74" s="354"/>
      <c r="AI74" s="354"/>
      <c r="AJ74" s="354"/>
      <c r="AK74" s="354"/>
      <c r="AL74" s="354"/>
      <c r="AM74" s="354"/>
      <c r="AN74" s="354"/>
      <c r="AO74" s="356"/>
      <c r="AP74" s="356"/>
      <c r="AQ74" s="357"/>
      <c r="AR74" s="358"/>
    </row>
    <row r="75" spans="1:50" ht="16.5">
      <c r="A75" s="1">
        <v>5</v>
      </c>
      <c r="B75" s="340" t="s">
        <v>52</v>
      </c>
      <c r="C75" s="1028">
        <f>6*3+7*38.5</f>
        <v>287.5</v>
      </c>
      <c r="D75" s="1029"/>
      <c r="E75" s="1030">
        <f t="shared" si="74"/>
        <v>41.071428571428569</v>
      </c>
      <c r="F75" s="1031"/>
      <c r="G75" s="341"/>
      <c r="H75" s="341"/>
      <c r="I75" s="1032">
        <f t="shared" si="75"/>
        <v>5.1339285714285712</v>
      </c>
      <c r="J75" s="1033"/>
      <c r="K75" s="1034">
        <f t="shared" si="76"/>
        <v>1232.1428571428571</v>
      </c>
      <c r="L75" s="1034"/>
      <c r="M75" s="6"/>
      <c r="N75" s="1035">
        <f t="shared" si="77"/>
        <v>5.989583333333333</v>
      </c>
      <c r="O75" s="1035"/>
      <c r="P75" s="6"/>
      <c r="Q75" s="1036">
        <f>+$I$71-I75</f>
        <v>9.7321428571429003E-2</v>
      </c>
      <c r="R75" s="1037"/>
      <c r="U75" s="342">
        <f t="shared" si="78"/>
        <v>48</v>
      </c>
      <c r="V75" s="343">
        <v>48</v>
      </c>
      <c r="W75" s="344">
        <f t="shared" si="79"/>
        <v>0</v>
      </c>
      <c r="X75" s="345">
        <f t="shared" si="80"/>
        <v>0</v>
      </c>
    </row>
    <row r="76" spans="1:50" ht="16.5">
      <c r="A76" s="1">
        <v>7</v>
      </c>
      <c r="B76" s="365" t="s">
        <v>53</v>
      </c>
      <c r="C76" s="1042">
        <f>6*3+7*(38.5)</f>
        <v>287.5</v>
      </c>
      <c r="D76" s="1043"/>
      <c r="E76" s="1030">
        <f t="shared" si="74"/>
        <v>41.071428571428569</v>
      </c>
      <c r="F76" s="1031"/>
      <c r="G76" s="1046"/>
      <c r="H76" s="1047"/>
      <c r="I76" s="1032">
        <f t="shared" si="75"/>
        <v>5.1339285714285712</v>
      </c>
      <c r="J76" s="1033"/>
      <c r="K76" s="1034">
        <f t="shared" si="76"/>
        <v>1232.1428571428571</v>
      </c>
      <c r="L76" s="1034"/>
      <c r="M76" s="6"/>
      <c r="N76" s="1035">
        <f>+I76/6*7</f>
        <v>5.989583333333333</v>
      </c>
      <c r="O76" s="1035"/>
      <c r="P76" s="6"/>
      <c r="Q76" s="1036">
        <f>+$I$71-I76</f>
        <v>9.7321428571429003E-2</v>
      </c>
      <c r="R76" s="1037"/>
      <c r="U76" s="342">
        <f t="shared" si="78"/>
        <v>45</v>
      </c>
      <c r="V76" s="343">
        <v>48</v>
      </c>
      <c r="W76" s="344">
        <f>+V76-U76</f>
        <v>3</v>
      </c>
      <c r="X76" s="345">
        <f t="shared" si="80"/>
        <v>0</v>
      </c>
      <c r="AD76"/>
    </row>
    <row r="77" spans="1:50" ht="16.5">
      <c r="A77" s="1">
        <v>2</v>
      </c>
      <c r="B77" s="359" t="s">
        <v>62</v>
      </c>
      <c r="C77" s="1042">
        <f>6*3+7*(28.4286)</f>
        <v>217.00020000000001</v>
      </c>
      <c r="D77" s="1043"/>
      <c r="E77" s="1030">
        <f>+C77/7</f>
        <v>31.000028571428572</v>
      </c>
      <c r="F77" s="1031"/>
      <c r="G77" s="1044"/>
      <c r="H77" s="1045"/>
      <c r="I77" s="1032">
        <f>+E77/8</f>
        <v>3.8750035714285715</v>
      </c>
      <c r="J77" s="1033"/>
      <c r="K77" s="1034">
        <f>+E77*30</f>
        <v>930.00085714285717</v>
      </c>
      <c r="L77" s="1034"/>
      <c r="M77" s="6"/>
      <c r="N77" s="1035">
        <f>+I77/6*7</f>
        <v>4.5208375000000007</v>
      </c>
      <c r="O77" s="1035"/>
      <c r="P77" s="6"/>
      <c r="Q77" s="1036">
        <f>+$I$71-I77</f>
        <v>1.3562464285714286</v>
      </c>
      <c r="R77" s="1037"/>
      <c r="U77" s="342">
        <f t="shared" si="78"/>
        <v>48</v>
      </c>
      <c r="V77" s="343">
        <v>48</v>
      </c>
      <c r="W77" s="344">
        <f>+V77-U77</f>
        <v>0</v>
      </c>
      <c r="X77" s="345">
        <f t="shared" si="80"/>
        <v>0</v>
      </c>
    </row>
    <row r="78" spans="1:50" ht="16.5">
      <c r="B78" s="359" t="s">
        <v>55</v>
      </c>
      <c r="C78" s="1042">
        <f t="shared" ref="C78:C83" si="81">6*3+7*(28.4286)</f>
        <v>217.00020000000001</v>
      </c>
      <c r="D78" s="1043"/>
      <c r="E78" s="1030">
        <f t="shared" si="74"/>
        <v>31.000028571428572</v>
      </c>
      <c r="F78" s="1031"/>
      <c r="G78" s="1044"/>
      <c r="H78" s="1045"/>
      <c r="I78" s="1032">
        <f t="shared" si="75"/>
        <v>3.8750035714285715</v>
      </c>
      <c r="J78" s="1033"/>
      <c r="K78" s="1034">
        <f t="shared" si="76"/>
        <v>930.00085714285717</v>
      </c>
      <c r="L78" s="1034"/>
      <c r="M78" s="6"/>
      <c r="N78" s="1050">
        <f t="shared" si="77"/>
        <v>4.5208375000000007</v>
      </c>
      <c r="O78" s="1051"/>
      <c r="P78" s="6"/>
      <c r="Q78" s="1048">
        <f t="shared" ref="Q78:Q89" si="82">+$I$71-I78</f>
        <v>1.3562464285714286</v>
      </c>
      <c r="R78" s="1049"/>
      <c r="U78" s="342">
        <f t="shared" si="78"/>
        <v>64</v>
      </c>
      <c r="V78" s="343">
        <v>48</v>
      </c>
      <c r="W78" s="344">
        <f t="shared" si="79"/>
        <v>-16</v>
      </c>
      <c r="X78" s="345">
        <f t="shared" si="80"/>
        <v>0</v>
      </c>
      <c r="Y78" s="1038">
        <f>+X78*Q78</f>
        <v>0</v>
      </c>
      <c r="Z78" s="1039"/>
      <c r="AA78" s="372"/>
      <c r="AB78" s="733"/>
      <c r="AC78" s="733"/>
      <c r="AD78" s="733"/>
      <c r="AE78" s="296"/>
      <c r="AF78" s="296"/>
      <c r="AG78" s="732"/>
      <c r="AH78" s="732"/>
      <c r="AI78" s="732"/>
      <c r="AJ78" s="732"/>
      <c r="AK78" s="732"/>
      <c r="AL78" s="732"/>
      <c r="AM78" s="732"/>
      <c r="AN78" s="732"/>
      <c r="AO78" s="732"/>
      <c r="AP78" s="732"/>
      <c r="AQ78" s="732"/>
      <c r="AR78" s="732"/>
      <c r="AS78" s="296"/>
      <c r="AT78" s="296"/>
    </row>
    <row r="79" spans="1:50" ht="16.5">
      <c r="B79" s="359" t="s">
        <v>56</v>
      </c>
      <c r="C79" s="1042">
        <f t="shared" si="81"/>
        <v>217.00020000000001</v>
      </c>
      <c r="D79" s="1043"/>
      <c r="E79" s="1030">
        <f t="shared" si="74"/>
        <v>31.000028571428572</v>
      </c>
      <c r="F79" s="1031"/>
      <c r="G79" s="1044"/>
      <c r="H79" s="1045"/>
      <c r="I79" s="1032">
        <f t="shared" si="75"/>
        <v>3.8750035714285715</v>
      </c>
      <c r="J79" s="1033"/>
      <c r="K79" s="1034">
        <f t="shared" si="76"/>
        <v>930.00085714285717</v>
      </c>
      <c r="L79" s="1034"/>
      <c r="M79" s="6"/>
      <c r="N79" s="1050">
        <f t="shared" si="77"/>
        <v>4.5208375000000007</v>
      </c>
      <c r="O79" s="1051"/>
      <c r="P79" s="6"/>
      <c r="Q79" s="1048">
        <f t="shared" si="82"/>
        <v>1.3562464285714286</v>
      </c>
      <c r="R79" s="1049"/>
      <c r="U79" s="342">
        <f t="shared" si="78"/>
        <v>68</v>
      </c>
      <c r="V79" s="343">
        <v>48</v>
      </c>
      <c r="W79" s="344">
        <f t="shared" si="79"/>
        <v>-20</v>
      </c>
      <c r="X79" s="345">
        <f t="shared" si="80"/>
        <v>0</v>
      </c>
      <c r="Y79" s="1038">
        <f>+X79*Q79</f>
        <v>0</v>
      </c>
      <c r="Z79" s="1039"/>
      <c r="AA79" s="372"/>
      <c r="AB79" s="733"/>
      <c r="AC79" s="733"/>
      <c r="AD79" s="733"/>
      <c r="AE79" s="296"/>
      <c r="AF79" s="296"/>
      <c r="AG79" s="732"/>
      <c r="AH79" s="732"/>
      <c r="AI79" s="732"/>
      <c r="AJ79" s="732"/>
      <c r="AK79" s="732"/>
      <c r="AL79" s="732"/>
      <c r="AM79" s="732"/>
      <c r="AN79" s="732"/>
      <c r="AO79" s="732"/>
      <c r="AP79" s="732"/>
      <c r="AQ79" s="732"/>
      <c r="AR79" s="732"/>
      <c r="AS79" s="296"/>
      <c r="AT79" s="296"/>
    </row>
    <row r="80" spans="1:50" ht="16.5">
      <c r="A80" s="366"/>
      <c r="B80" s="359" t="s">
        <v>57</v>
      </c>
      <c r="C80" s="1042">
        <f t="shared" si="81"/>
        <v>217.00020000000001</v>
      </c>
      <c r="D80" s="1043"/>
      <c r="E80" s="1030">
        <f>+C80/7</f>
        <v>31.000028571428572</v>
      </c>
      <c r="F80" s="1031"/>
      <c r="G80" s="1044"/>
      <c r="H80" s="1045"/>
      <c r="I80" s="1032">
        <f t="shared" si="75"/>
        <v>3.8750035714285715</v>
      </c>
      <c r="J80" s="1033"/>
      <c r="K80" s="1034">
        <f t="shared" si="76"/>
        <v>930.00085714285717</v>
      </c>
      <c r="L80" s="1034"/>
      <c r="M80" s="6"/>
      <c r="N80" s="1050">
        <f>+I80/6*7</f>
        <v>4.5208375000000007</v>
      </c>
      <c r="O80" s="1051"/>
      <c r="P80" s="6"/>
      <c r="Q80" s="1048">
        <f t="shared" si="82"/>
        <v>1.3562464285714286</v>
      </c>
      <c r="R80" s="1049"/>
      <c r="U80" s="342">
        <f t="shared" si="78"/>
        <v>64</v>
      </c>
      <c r="V80" s="343">
        <v>48</v>
      </c>
      <c r="W80" s="344">
        <f>+V80-U80</f>
        <v>-16</v>
      </c>
      <c r="X80" s="345">
        <f t="shared" si="80"/>
        <v>0</v>
      </c>
      <c r="Y80" s="1038">
        <f>+X80*Q80</f>
        <v>0</v>
      </c>
      <c r="Z80" s="1039"/>
      <c r="AA80" s="372"/>
      <c r="AB80" s="733"/>
      <c r="AC80" s="733"/>
      <c r="AD80" s="733"/>
      <c r="AE80" s="296"/>
      <c r="AF80" s="296"/>
      <c r="AG80" s="732"/>
      <c r="AH80" s="732"/>
      <c r="AI80" s="732"/>
      <c r="AJ80" s="732"/>
      <c r="AK80" s="718"/>
      <c r="AL80" s="718"/>
      <c r="AM80" s="718"/>
      <c r="AN80" s="718"/>
      <c r="AO80" s="718"/>
      <c r="AP80" s="718"/>
      <c r="AQ80" s="718"/>
      <c r="AR80" s="718"/>
      <c r="AS80" s="296"/>
      <c r="AT80" s="296"/>
    </row>
    <row r="81" spans="1:46" ht="16.5">
      <c r="A81" s="366"/>
      <c r="B81" s="359" t="s">
        <v>58</v>
      </c>
      <c r="C81" s="1042">
        <f t="shared" si="81"/>
        <v>217.00020000000001</v>
      </c>
      <c r="D81" s="1043"/>
      <c r="E81" s="1030">
        <f>+C81/7</f>
        <v>31.000028571428572</v>
      </c>
      <c r="F81" s="1031"/>
      <c r="G81" s="1044"/>
      <c r="H81" s="1045"/>
      <c r="I81" s="1032">
        <f t="shared" si="75"/>
        <v>3.8750035714285715</v>
      </c>
      <c r="J81" s="1033"/>
      <c r="K81" s="1034">
        <f t="shared" si="76"/>
        <v>930.00085714285717</v>
      </c>
      <c r="L81" s="1034"/>
      <c r="M81" s="6"/>
      <c r="N81" s="1050">
        <f>+I81/6*7</f>
        <v>4.5208375000000007</v>
      </c>
      <c r="O81" s="1051"/>
      <c r="P81" s="6"/>
      <c r="Q81" s="1048">
        <f t="shared" si="82"/>
        <v>1.3562464285714286</v>
      </c>
      <c r="R81" s="1049"/>
      <c r="U81" s="342">
        <f t="shared" si="78"/>
        <v>48</v>
      </c>
      <c r="V81" s="343">
        <v>48</v>
      </c>
      <c r="W81" s="344">
        <f>+V81-U81</f>
        <v>0</v>
      </c>
      <c r="X81" s="345">
        <f t="shared" si="80"/>
        <v>0</v>
      </c>
      <c r="Z81" s="372"/>
      <c r="AA81" s="372"/>
      <c r="AB81" s="733"/>
      <c r="AC81" s="733"/>
      <c r="AD81" s="733"/>
      <c r="AE81" s="296"/>
      <c r="AF81" s="296"/>
      <c r="AG81" s="732"/>
      <c r="AH81" s="732"/>
      <c r="AI81" s="732"/>
      <c r="AJ81" s="732"/>
      <c r="AK81" s="718"/>
      <c r="AL81" s="718"/>
      <c r="AM81" s="718"/>
      <c r="AN81" s="718"/>
      <c r="AO81" s="718"/>
      <c r="AP81" s="718"/>
      <c r="AQ81" s="718"/>
      <c r="AR81" s="718"/>
      <c r="AS81" s="296"/>
      <c r="AT81" s="296"/>
    </row>
    <row r="82" spans="1:46" ht="16.5">
      <c r="A82" s="366"/>
      <c r="B82" s="359" t="s">
        <v>63</v>
      </c>
      <c r="C82" s="1042">
        <f>6*3+7*(28.4286)</f>
        <v>217.00020000000001</v>
      </c>
      <c r="D82" s="1043"/>
      <c r="E82" s="1030">
        <f>+C82/7</f>
        <v>31.000028571428572</v>
      </c>
      <c r="F82" s="1031"/>
      <c r="G82" s="1044"/>
      <c r="H82" s="1045"/>
      <c r="I82" s="1032">
        <f>+E82/8</f>
        <v>3.8750035714285715</v>
      </c>
      <c r="J82" s="1033"/>
      <c r="K82" s="1034">
        <f>+E82*30</f>
        <v>930.00085714285717</v>
      </c>
      <c r="L82" s="1034"/>
      <c r="M82" s="6"/>
      <c r="N82" s="1050">
        <f>+I82/6*7</f>
        <v>4.5208375000000007</v>
      </c>
      <c r="O82" s="1051"/>
      <c r="P82" s="6"/>
      <c r="Q82" s="1048">
        <f>+$I$71-I82</f>
        <v>1.3562464285714286</v>
      </c>
      <c r="R82" s="1049"/>
      <c r="U82" s="342">
        <f t="shared" si="78"/>
        <v>69</v>
      </c>
      <c r="V82" s="343">
        <v>48</v>
      </c>
      <c r="W82" s="344">
        <f>+V82-U82</f>
        <v>-21</v>
      </c>
      <c r="X82" s="345">
        <f t="shared" si="80"/>
        <v>0</v>
      </c>
      <c r="Z82" s="372"/>
      <c r="AA82" s="372"/>
      <c r="AB82" s="733"/>
      <c r="AC82" s="733"/>
      <c r="AD82" s="733"/>
      <c r="AE82" s="296"/>
      <c r="AF82" s="296"/>
      <c r="AG82" s="732"/>
      <c r="AH82" s="732"/>
      <c r="AI82" s="732"/>
      <c r="AJ82" s="732"/>
      <c r="AK82" s="718"/>
      <c r="AL82" s="718"/>
      <c r="AM82" s="718"/>
      <c r="AN82" s="718"/>
      <c r="AO82" s="718"/>
      <c r="AP82" s="718"/>
      <c r="AQ82" s="718"/>
      <c r="AR82" s="718"/>
      <c r="AS82" s="296"/>
      <c r="AT82" s="296"/>
    </row>
    <row r="83" spans="1:46" ht="16.5">
      <c r="A83" s="366"/>
      <c r="B83" s="359" t="s">
        <v>59</v>
      </c>
      <c r="C83" s="1042">
        <f t="shared" si="81"/>
        <v>217.00020000000001</v>
      </c>
      <c r="D83" s="1043"/>
      <c r="E83" s="1030">
        <f>+C83/7</f>
        <v>31.000028571428572</v>
      </c>
      <c r="F83" s="1031"/>
      <c r="G83" s="1044"/>
      <c r="H83" s="1045"/>
      <c r="I83" s="1032">
        <f t="shared" si="75"/>
        <v>3.8750035714285715</v>
      </c>
      <c r="J83" s="1033"/>
      <c r="K83" s="1034">
        <f t="shared" si="76"/>
        <v>930.00085714285717</v>
      </c>
      <c r="L83" s="1034"/>
      <c r="M83" s="6"/>
      <c r="N83" s="1050">
        <f>+I83/6*7</f>
        <v>4.5208375000000007</v>
      </c>
      <c r="O83" s="1051"/>
      <c r="P83" s="6"/>
      <c r="Q83" s="1048">
        <f t="shared" si="82"/>
        <v>1.3562464285714286</v>
      </c>
      <c r="R83" s="1049"/>
      <c r="U83" s="342">
        <f t="shared" si="78"/>
        <v>48</v>
      </c>
      <c r="V83" s="343">
        <v>48</v>
      </c>
      <c r="W83" s="344">
        <f>+V83-U83</f>
        <v>0</v>
      </c>
      <c r="X83" s="345">
        <f t="shared" si="80"/>
        <v>0</v>
      </c>
      <c r="Z83" s="372"/>
      <c r="AA83" s="372"/>
      <c r="AB83" s="733"/>
      <c r="AC83" s="733"/>
      <c r="AD83" s="733"/>
      <c r="AE83" s="296"/>
      <c r="AF83" s="296"/>
      <c r="AG83" s="732"/>
      <c r="AH83" s="732"/>
      <c r="AI83" s="732"/>
      <c r="AJ83" s="732"/>
      <c r="AK83" s="732"/>
      <c r="AL83" s="732"/>
      <c r="AM83" s="732"/>
      <c r="AN83" s="732"/>
      <c r="AO83" s="732"/>
      <c r="AP83" s="732"/>
      <c r="AQ83" s="732"/>
      <c r="AR83" s="732"/>
      <c r="AS83" s="296"/>
      <c r="AT83" s="296"/>
    </row>
    <row r="84" spans="1:46" ht="16.5">
      <c r="A84" s="1">
        <v>2</v>
      </c>
      <c r="B84" s="340" t="s">
        <v>61</v>
      </c>
      <c r="C84" s="1040">
        <v>304.26666666666665</v>
      </c>
      <c r="D84" s="1041"/>
      <c r="E84" s="1030">
        <f>+C84/7</f>
        <v>43.466666666666661</v>
      </c>
      <c r="F84" s="1031"/>
      <c r="G84" s="341"/>
      <c r="H84" s="341"/>
      <c r="I84" s="1032">
        <f t="shared" si="75"/>
        <v>5.4333333333333327</v>
      </c>
      <c r="J84" s="1033"/>
      <c r="K84" s="1034">
        <f t="shared" si="76"/>
        <v>1303.9999999999998</v>
      </c>
      <c r="L84" s="1034"/>
      <c r="M84" s="6"/>
      <c r="N84" s="1035">
        <f t="shared" si="77"/>
        <v>6.3388888888888886</v>
      </c>
      <c r="O84" s="1035"/>
      <c r="P84" s="6"/>
      <c r="Q84" s="1036">
        <f t="shared" si="82"/>
        <v>-0.2020833333333325</v>
      </c>
      <c r="R84" s="1037"/>
      <c r="U84" s="342">
        <f t="shared" si="78"/>
        <v>40</v>
      </c>
      <c r="V84" s="343">
        <v>48</v>
      </c>
      <c r="W84" s="344">
        <f t="shared" si="79"/>
        <v>8</v>
      </c>
      <c r="X84" s="345">
        <f t="shared" si="80"/>
        <v>0</v>
      </c>
    </row>
    <row r="85" spans="1:46" ht="16.5">
      <c r="A85" s="366"/>
      <c r="B85" s="359" t="s">
        <v>64</v>
      </c>
      <c r="C85" s="1042">
        <f>6*3+7*(28.4286)</f>
        <v>217.00020000000001</v>
      </c>
      <c r="D85" s="1043"/>
      <c r="E85" s="1030">
        <f t="shared" ref="E85:E89" si="83">+C85/7</f>
        <v>31.000028571428572</v>
      </c>
      <c r="F85" s="1031"/>
      <c r="G85" s="1044"/>
      <c r="H85" s="1045"/>
      <c r="I85" s="1032">
        <f t="shared" si="75"/>
        <v>3.8750035714285715</v>
      </c>
      <c r="J85" s="1033"/>
      <c r="K85" s="1034">
        <f t="shared" si="76"/>
        <v>930.00085714285717</v>
      </c>
      <c r="L85" s="1034"/>
      <c r="M85" s="6"/>
      <c r="N85" s="1050">
        <f t="shared" si="77"/>
        <v>4.5208375000000007</v>
      </c>
      <c r="O85" s="1051"/>
      <c r="P85" s="6"/>
      <c r="Q85" s="1048">
        <f t="shared" si="82"/>
        <v>1.3562464285714286</v>
      </c>
      <c r="R85" s="1049"/>
      <c r="U85" s="342">
        <f t="shared" si="78"/>
        <v>48</v>
      </c>
      <c r="V85" s="343">
        <v>48</v>
      </c>
      <c r="W85" s="344">
        <f t="shared" si="79"/>
        <v>0</v>
      </c>
      <c r="X85" s="345">
        <f t="shared" si="80"/>
        <v>0</v>
      </c>
      <c r="Z85" s="372"/>
      <c r="AA85" s="372"/>
      <c r="AB85" s="733"/>
      <c r="AC85" s="733"/>
      <c r="AD85" s="733"/>
      <c r="AE85" s="296"/>
      <c r="AF85" s="296"/>
      <c r="AG85" s="732"/>
      <c r="AH85" s="732"/>
      <c r="AI85" s="732"/>
      <c r="AJ85" s="732"/>
      <c r="AK85" s="718"/>
      <c r="AL85" s="718"/>
      <c r="AM85" s="718"/>
      <c r="AN85" s="718"/>
      <c r="AO85" s="718"/>
      <c r="AP85" s="718"/>
      <c r="AQ85" s="718"/>
      <c r="AR85" s="718"/>
      <c r="AS85" s="296"/>
      <c r="AT85" s="296"/>
    </row>
    <row r="86" spans="1:46" ht="16.5">
      <c r="A86" s="366"/>
      <c r="B86" s="359" t="s">
        <v>143</v>
      </c>
      <c r="C86" s="1028">
        <f>+G86*6</f>
        <v>198</v>
      </c>
      <c r="D86" s="1029"/>
      <c r="E86" s="1030">
        <f t="shared" si="83"/>
        <v>28.285714285714285</v>
      </c>
      <c r="F86" s="1031"/>
      <c r="G86" s="1044">
        <v>33</v>
      </c>
      <c r="H86" s="1045"/>
      <c r="I86" s="1032">
        <f>+G86/8</f>
        <v>4.125</v>
      </c>
      <c r="J86" s="1033"/>
      <c r="K86" s="1034">
        <f>+G86*30</f>
        <v>990</v>
      </c>
      <c r="L86" s="1034"/>
      <c r="M86" s="6"/>
      <c r="N86" s="1050">
        <f t="shared" si="77"/>
        <v>4.8125</v>
      </c>
      <c r="O86" s="1051"/>
      <c r="P86" s="6"/>
      <c r="Q86" s="1048">
        <f t="shared" si="82"/>
        <v>1.1062500000000002</v>
      </c>
      <c r="R86" s="1049"/>
      <c r="U86" s="342">
        <f>+AE47+U47+K47+AO25+AE25+U25+K25</f>
        <v>0</v>
      </c>
      <c r="V86" s="343">
        <v>48</v>
      </c>
      <c r="W86" s="344">
        <f t="shared" si="79"/>
        <v>48</v>
      </c>
      <c r="X86" s="345">
        <f>+J25+T25+AD25+J47+T47+AD47</f>
        <v>0</v>
      </c>
      <c r="Z86" s="372"/>
      <c r="AA86" s="372"/>
      <c r="AB86" s="733"/>
      <c r="AC86" s="733"/>
      <c r="AD86" s="733"/>
      <c r="AE86" s="296"/>
      <c r="AF86" s="296"/>
      <c r="AG86" s="732"/>
      <c r="AH86" s="732"/>
      <c r="AI86" s="732"/>
      <c r="AJ86" s="732"/>
      <c r="AK86" s="718"/>
      <c r="AL86" s="718"/>
      <c r="AM86" s="718"/>
      <c r="AN86" s="718"/>
      <c r="AO86" s="718"/>
      <c r="AP86" s="718"/>
      <c r="AQ86" s="718"/>
      <c r="AR86" s="718"/>
      <c r="AS86" s="296"/>
      <c r="AT86" s="296"/>
    </row>
    <row r="87" spans="1:46" ht="16.5">
      <c r="A87" s="366"/>
      <c r="B87" s="359"/>
      <c r="C87" s="726"/>
      <c r="D87" s="727"/>
      <c r="E87" s="719"/>
      <c r="F87" s="720"/>
      <c r="G87" s="724"/>
      <c r="H87" s="725"/>
      <c r="I87" s="721"/>
      <c r="J87" s="722"/>
      <c r="K87" s="723"/>
      <c r="L87" s="723"/>
      <c r="M87" s="6"/>
      <c r="N87" s="730"/>
      <c r="O87" s="731"/>
      <c r="P87" s="6"/>
      <c r="Q87" s="728"/>
      <c r="R87" s="729"/>
      <c r="U87" s="342"/>
      <c r="V87" s="343"/>
      <c r="W87" s="344"/>
      <c r="X87" s="345"/>
      <c r="Z87" s="372"/>
      <c r="AA87" s="372"/>
      <c r="AB87" s="733"/>
      <c r="AC87" s="733"/>
      <c r="AD87" s="733"/>
      <c r="AE87" s="296"/>
      <c r="AF87" s="296"/>
      <c r="AG87" s="732"/>
      <c r="AH87" s="732"/>
      <c r="AI87" s="732"/>
      <c r="AJ87" s="732"/>
      <c r="AK87" s="718"/>
      <c r="AL87" s="718"/>
      <c r="AM87" s="718"/>
      <c r="AN87" s="718"/>
      <c r="AO87" s="718"/>
      <c r="AP87" s="718"/>
      <c r="AQ87" s="718"/>
      <c r="AR87" s="718"/>
      <c r="AS87" s="296"/>
      <c r="AT87" s="296"/>
    </row>
    <row r="88" spans="1:46" s="371" customFormat="1" ht="16.5">
      <c r="A88" s="366">
        <v>6</v>
      </c>
      <c r="B88" s="365" t="s">
        <v>142</v>
      </c>
      <c r="C88" s="1028">
        <f>+G88*6</f>
        <v>186</v>
      </c>
      <c r="D88" s="1029"/>
      <c r="E88" s="1030">
        <f t="shared" si="83"/>
        <v>26.571428571428573</v>
      </c>
      <c r="F88" s="1031"/>
      <c r="G88" s="1044">
        <v>31</v>
      </c>
      <c r="H88" s="1045"/>
      <c r="I88" s="1032">
        <f>+G88/8</f>
        <v>3.875</v>
      </c>
      <c r="J88" s="1033"/>
      <c r="K88" s="1034">
        <f>+G88*30</f>
        <v>930</v>
      </c>
      <c r="L88" s="1034"/>
      <c r="M88" s="374"/>
      <c r="N88" s="1035">
        <f t="shared" si="77"/>
        <v>4.5208333333333339</v>
      </c>
      <c r="O88" s="1035"/>
      <c r="P88" s="6"/>
      <c r="Q88" s="1036">
        <f t="shared" ref="Q88" si="84">+$I$71-I88</f>
        <v>1.3562500000000002</v>
      </c>
      <c r="R88" s="1037"/>
      <c r="S88" s="3"/>
      <c r="T88" s="3"/>
      <c r="U88" s="342">
        <f>+AE48+U48+K48+AO26+AE26+U26+K26</f>
        <v>0</v>
      </c>
      <c r="V88" s="343">
        <v>48</v>
      </c>
      <c r="W88" s="344">
        <f t="shared" si="79"/>
        <v>48</v>
      </c>
      <c r="X88" s="345">
        <f>+J26+T26+AD26+J48+T48+AD48</f>
        <v>0</v>
      </c>
      <c r="Y88" s="367"/>
      <c r="Z88" s="733"/>
      <c r="AA88" s="733"/>
      <c r="AB88" s="733"/>
      <c r="AC88" s="733"/>
      <c r="AD88" s="733"/>
      <c r="AE88" s="296"/>
      <c r="AF88" s="296"/>
      <c r="AG88" s="732"/>
      <c r="AH88" s="732"/>
      <c r="AI88" s="370"/>
      <c r="AJ88" s="370"/>
      <c r="AK88" s="370"/>
      <c r="AL88" s="370"/>
      <c r="AM88" s="732"/>
      <c r="AN88" s="732"/>
      <c r="AO88" s="732"/>
      <c r="AP88" s="732"/>
      <c r="AQ88" s="732"/>
      <c r="AR88" s="732"/>
      <c r="AS88" s="296"/>
      <c r="AT88" s="296"/>
    </row>
    <row r="89" spans="1:46" ht="16.5">
      <c r="B89" s="375" t="s">
        <v>65</v>
      </c>
      <c r="C89" s="1054">
        <f>6*3+7*(G89)</f>
        <v>548.33330000000001</v>
      </c>
      <c r="D89" s="1055"/>
      <c r="E89" s="1056">
        <f t="shared" si="83"/>
        <v>78.333328571428567</v>
      </c>
      <c r="F89" s="1057"/>
      <c r="G89" s="1058">
        <v>75.761899999999997</v>
      </c>
      <c r="H89" s="1059"/>
      <c r="I89" s="1060">
        <f>+E89/8</f>
        <v>9.7916660714285708</v>
      </c>
      <c r="J89" s="1061"/>
      <c r="K89" s="1062">
        <f>+E89*30</f>
        <v>2349.9998571428569</v>
      </c>
      <c r="L89" s="1063"/>
      <c r="M89" s="6"/>
      <c r="N89" s="1035">
        <f t="shared" si="77"/>
        <v>11.423610416666666</v>
      </c>
      <c r="O89" s="1035"/>
      <c r="P89" s="6"/>
      <c r="Q89" s="1048">
        <f t="shared" si="82"/>
        <v>-4.5604160714285706</v>
      </c>
      <c r="R89" s="1049"/>
      <c r="U89" s="342">
        <f>+AE48+U48+K48+AO26+AE26+U26+K26</f>
        <v>0</v>
      </c>
      <c r="V89" s="343">
        <v>48</v>
      </c>
      <c r="W89" s="344">
        <f t="shared" si="79"/>
        <v>48</v>
      </c>
      <c r="X89" s="345">
        <f>+J26+T26+AD26+J48+T48+AD48</f>
        <v>0</v>
      </c>
      <c r="Z89" s="372"/>
      <c r="AA89" s="372"/>
      <c r="AB89" s="733"/>
      <c r="AC89" s="733"/>
      <c r="AD89" s="733"/>
      <c r="AE89" s="296"/>
      <c r="AF89" s="296"/>
      <c r="AG89" s="732"/>
      <c r="AH89" s="732"/>
      <c r="AI89" s="732"/>
      <c r="AJ89" s="732"/>
      <c r="AK89" s="732"/>
      <c r="AL89" s="732"/>
      <c r="AM89" s="732"/>
      <c r="AN89" s="732"/>
      <c r="AO89" s="732"/>
      <c r="AP89" s="732"/>
      <c r="AQ89" s="296"/>
      <c r="AR89" s="296"/>
      <c r="AS89" s="296"/>
      <c r="AT89" s="296"/>
    </row>
    <row r="90" spans="1:46">
      <c r="AE90" s="376"/>
      <c r="AF90" s="376"/>
      <c r="AJ90" s="376"/>
      <c r="AK90" s="376"/>
    </row>
    <row r="91" spans="1:46" ht="26.25" thickBot="1">
      <c r="B91" s="377" t="s">
        <v>66</v>
      </c>
      <c r="H91" s="1052">
        <v>43191</v>
      </c>
      <c r="I91" s="1052"/>
      <c r="J91" s="1052"/>
      <c r="K91" s="1052"/>
      <c r="L91" s="1052"/>
      <c r="M91" s="1052"/>
      <c r="N91" s="1052"/>
      <c r="AD91" s="378"/>
      <c r="AE91" s="378"/>
      <c r="AF91" s="378"/>
      <c r="AG91" s="167"/>
      <c r="AH91" s="167"/>
      <c r="AI91" s="167"/>
      <c r="AJ91" s="376"/>
      <c r="AK91" s="376"/>
    </row>
    <row r="92" spans="1:46" ht="16.5" thickBot="1">
      <c r="B92" s="379">
        <v>1100</v>
      </c>
      <c r="C92" s="240" t="s">
        <v>67</v>
      </c>
      <c r="AD92" s="296"/>
      <c r="AE92" s="296"/>
      <c r="AF92" s="296"/>
      <c r="AG92" s="296"/>
      <c r="AH92" s="296"/>
      <c r="AI92" s="296"/>
      <c r="AJ92" s="296"/>
      <c r="AK92" s="296"/>
      <c r="AL92" s="296"/>
      <c r="AM92" s="296"/>
      <c r="AN92" s="296"/>
      <c r="AO92" s="296"/>
      <c r="AP92" s="267"/>
      <c r="AQ92" s="267"/>
      <c r="AR92" s="267"/>
      <c r="AS92" s="267"/>
      <c r="AT92" s="267"/>
    </row>
    <row r="93" spans="1:46" ht="15.75">
      <c r="B93" s="168">
        <f>+B92/30*7</f>
        <v>256.66666666666663</v>
      </c>
      <c r="C93" s="240" t="s">
        <v>68</v>
      </c>
      <c r="D93" s="380"/>
      <c r="O93" s="1053" t="s">
        <v>69</v>
      </c>
      <c r="P93" s="1053"/>
      <c r="Q93" s="1053"/>
      <c r="R93" s="1053"/>
      <c r="S93" s="1053"/>
      <c r="T93" s="1053"/>
      <c r="U93" s="1053"/>
      <c r="V93" s="1053"/>
      <c r="W93" s="1053"/>
      <c r="X93" s="1053"/>
      <c r="Y93" s="1053"/>
      <c r="Z93" s="1053"/>
      <c r="AD93" s="296"/>
      <c r="AE93" s="732"/>
      <c r="AF93" s="732"/>
      <c r="AG93" s="296"/>
      <c r="AH93" s="296"/>
      <c r="AI93" s="296"/>
      <c r="AJ93" s="732"/>
      <c r="AK93" s="732"/>
      <c r="AL93" s="296"/>
      <c r="AM93" s="296"/>
      <c r="AN93" s="296"/>
      <c r="AO93" s="296"/>
      <c r="AP93" s="267"/>
      <c r="AQ93" s="267"/>
      <c r="AR93" s="267"/>
      <c r="AS93" s="267"/>
      <c r="AT93" s="267"/>
    </row>
    <row r="94" spans="1:46">
      <c r="B94" s="168">
        <f>+B93-18</f>
        <v>238.66666666666663</v>
      </c>
      <c r="C94" s="240" t="s">
        <v>70</v>
      </c>
      <c r="O94" s="1053">
        <f>+B92</f>
        <v>1100</v>
      </c>
      <c r="P94" s="1053"/>
      <c r="Q94" s="1053" t="s">
        <v>71</v>
      </c>
      <c r="R94" s="1053"/>
      <c r="S94" s="1053"/>
      <c r="T94" s="1053"/>
      <c r="U94" s="1053"/>
      <c r="V94" s="1053"/>
      <c r="W94" s="1053"/>
      <c r="X94" s="1053"/>
      <c r="Y94" s="1053"/>
      <c r="Z94" s="1053"/>
      <c r="AA94" s="7" t="s">
        <v>72</v>
      </c>
      <c r="AD94" s="296"/>
      <c r="AE94" s="732"/>
      <c r="AF94" s="732"/>
      <c r="AG94" s="296"/>
      <c r="AH94" s="296"/>
      <c r="AI94" s="296"/>
      <c r="AJ94" s="732"/>
      <c r="AK94" s="732"/>
      <c r="AL94" s="296"/>
      <c r="AM94" s="296"/>
      <c r="AN94" s="296"/>
      <c r="AO94" s="296"/>
      <c r="AP94" s="267"/>
      <c r="AQ94" s="267"/>
      <c r="AR94" s="267"/>
      <c r="AS94" s="267"/>
      <c r="AT94" s="267"/>
    </row>
    <row r="95" spans="1:46">
      <c r="B95" s="381">
        <f>+B94/7+0</f>
        <v>34.095238095238088</v>
      </c>
      <c r="C95" s="382" t="s">
        <v>73</v>
      </c>
      <c r="D95" s="383"/>
      <c r="O95" s="1053">
        <f>+O94/30*7</f>
        <v>256.66666666666663</v>
      </c>
      <c r="P95" s="1053"/>
      <c r="Q95" s="1053" t="s">
        <v>74</v>
      </c>
      <c r="R95" s="1053"/>
      <c r="S95" s="1053"/>
      <c r="T95" s="1053"/>
      <c r="U95" s="1053"/>
      <c r="V95" s="1053"/>
      <c r="W95" s="1053"/>
      <c r="X95" s="1053"/>
      <c r="Y95" s="1053"/>
      <c r="Z95" s="1053"/>
      <c r="AA95" s="1064">
        <f>+O95*0.87</f>
        <v>223.29999999999995</v>
      </c>
      <c r="AB95" s="1064"/>
      <c r="AD95" s="296"/>
      <c r="AE95" s="384"/>
      <c r="AF95" s="384"/>
      <c r="AG95" s="296"/>
      <c r="AH95" s="296"/>
      <c r="AI95" s="296"/>
      <c r="AJ95" s="384"/>
      <c r="AK95" s="384"/>
      <c r="AL95" s="385"/>
      <c r="AM95" s="385"/>
      <c r="AN95" s="385"/>
      <c r="AO95" s="385"/>
      <c r="AP95" s="386"/>
      <c r="AQ95" s="386"/>
      <c r="AR95" s="267"/>
      <c r="AS95" s="267"/>
      <c r="AT95" s="267"/>
    </row>
    <row r="96" spans="1:46">
      <c r="O96" s="1053">
        <f>+O95/7</f>
        <v>36.666666666666664</v>
      </c>
      <c r="P96" s="1053"/>
      <c r="Q96" s="1053" t="s">
        <v>75</v>
      </c>
      <c r="R96" s="1053"/>
      <c r="S96" s="1053"/>
      <c r="T96" s="1053"/>
      <c r="U96" s="1053"/>
      <c r="V96" s="1053"/>
      <c r="W96" s="1053"/>
      <c r="X96" s="1053"/>
      <c r="Y96" s="1053"/>
      <c r="Z96" s="1053"/>
      <c r="AD96" s="296"/>
      <c r="AE96" s="732"/>
      <c r="AF96" s="732"/>
      <c r="AG96" s="296"/>
      <c r="AH96" s="296"/>
      <c r="AI96" s="296"/>
      <c r="AJ96" s="732"/>
      <c r="AK96" s="732"/>
      <c r="AL96" s="387"/>
      <c r="AM96" s="387"/>
      <c r="AN96" s="385"/>
      <c r="AO96" s="385"/>
      <c r="AP96" s="386"/>
      <c r="AQ96" s="386"/>
      <c r="AR96" s="267"/>
      <c r="AS96" s="267"/>
      <c r="AT96" s="267"/>
    </row>
    <row r="97" spans="2:46" ht="15.75">
      <c r="B97" s="388">
        <f>+B95</f>
        <v>34.095238095238088</v>
      </c>
      <c r="C97" s="389" t="s">
        <v>76</v>
      </c>
      <c r="D97" s="390"/>
      <c r="E97" s="390"/>
      <c r="F97" s="390"/>
      <c r="O97" s="1065">
        <f>(O95-18)/7</f>
        <v>34.095238095238088</v>
      </c>
      <c r="P97" s="1065"/>
      <c r="Q97" s="1065" t="s">
        <v>77</v>
      </c>
      <c r="R97" s="1065"/>
      <c r="S97" s="1065"/>
      <c r="T97" s="1065"/>
      <c r="U97" s="1065"/>
      <c r="V97" s="1065"/>
      <c r="W97" s="1065"/>
      <c r="X97" s="1065"/>
      <c r="Y97" s="1065"/>
      <c r="Z97" s="1065"/>
      <c r="AD97" s="296"/>
      <c r="AE97" s="391"/>
      <c r="AF97" s="391"/>
      <c r="AG97" s="392"/>
      <c r="AH97" s="392"/>
      <c r="AI97" s="392"/>
      <c r="AJ97" s="391"/>
      <c r="AK97" s="391"/>
      <c r="AL97" s="385"/>
      <c r="AM97" s="385"/>
      <c r="AN97" s="385"/>
      <c r="AO97" s="385"/>
      <c r="AP97" s="386"/>
      <c r="AQ97" s="386"/>
      <c r="AR97" s="267"/>
      <c r="AS97" s="267"/>
      <c r="AT97" s="267"/>
    </row>
    <row r="98" spans="2:46">
      <c r="B98" s="168">
        <v>3</v>
      </c>
      <c r="C98" s="240" t="s">
        <v>78</v>
      </c>
      <c r="O98" s="1053">
        <v>3</v>
      </c>
      <c r="P98" s="1053"/>
      <c r="Q98" s="1053" t="s">
        <v>79</v>
      </c>
      <c r="R98" s="1053"/>
      <c r="S98" s="1053"/>
      <c r="T98" s="1053"/>
      <c r="U98" s="1053"/>
      <c r="V98" s="1053"/>
      <c r="W98" s="1053"/>
      <c r="X98" s="1053"/>
      <c r="Y98" s="1053"/>
      <c r="Z98" s="1053"/>
      <c r="AD98" s="296"/>
      <c r="AE98" s="296"/>
      <c r="AF98" s="391"/>
      <c r="AG98" s="392"/>
      <c r="AH98" s="392"/>
      <c r="AI98" s="392"/>
      <c r="AJ98" s="391"/>
      <c r="AK98" s="296"/>
      <c r="AL98" s="385"/>
      <c r="AM98" s="385"/>
      <c r="AN98" s="385"/>
      <c r="AO98" s="385"/>
      <c r="AP98" s="386"/>
      <c r="AQ98" s="386"/>
      <c r="AR98" s="267"/>
      <c r="AS98" s="267"/>
      <c r="AT98" s="267"/>
    </row>
    <row r="99" spans="2:46">
      <c r="B99" s="381">
        <f>+B98+B97</f>
        <v>37.095238095238088</v>
      </c>
      <c r="C99" s="382" t="s">
        <v>80</v>
      </c>
      <c r="D99" s="393"/>
      <c r="E99" s="394"/>
      <c r="F99" s="395"/>
      <c r="G99" s="393"/>
      <c r="H99" s="393"/>
      <c r="I99" s="395"/>
      <c r="J99" s="393"/>
      <c r="K99" s="396"/>
      <c r="L99" s="396"/>
      <c r="M99" s="383"/>
      <c r="O99" s="1053">
        <f>+O98+O97</f>
        <v>37.095238095238088</v>
      </c>
      <c r="P99" s="1053"/>
      <c r="AD99" s="296"/>
      <c r="AE99" s="732"/>
      <c r="AF99" s="732"/>
      <c r="AG99" s="296"/>
      <c r="AH99" s="296"/>
      <c r="AI99" s="296"/>
      <c r="AJ99" s="732"/>
      <c r="AK99" s="732"/>
      <c r="AL99" s="387"/>
      <c r="AM99" s="387"/>
      <c r="AN99" s="387"/>
      <c r="AO99" s="387"/>
      <c r="AP99" s="397"/>
      <c r="AQ99" s="267"/>
      <c r="AR99" s="267"/>
      <c r="AS99" s="267"/>
      <c r="AT99" s="267"/>
    </row>
    <row r="100" spans="2:46">
      <c r="B100" s="168"/>
      <c r="AD100" s="296"/>
      <c r="AE100" s="398"/>
      <c r="AF100" s="398"/>
      <c r="AG100" s="398"/>
      <c r="AH100" s="296"/>
      <c r="AI100" s="296"/>
      <c r="AJ100" s="398"/>
      <c r="AK100" s="398"/>
      <c r="AL100" s="385"/>
      <c r="AM100" s="296"/>
      <c r="AN100" s="296"/>
      <c r="AO100" s="296"/>
      <c r="AP100" s="267"/>
      <c r="AQ100" s="267"/>
      <c r="AR100" s="267"/>
      <c r="AS100" s="267"/>
      <c r="AT100" s="267"/>
    </row>
    <row r="101" spans="2:46">
      <c r="B101" s="168">
        <f>+B99*6</f>
        <v>222.57142857142853</v>
      </c>
      <c r="C101" s="240" t="s">
        <v>81</v>
      </c>
      <c r="O101" s="1053" t="s">
        <v>82</v>
      </c>
      <c r="P101" s="1053"/>
      <c r="Q101" s="1053"/>
      <c r="R101" s="1053"/>
      <c r="S101" s="1053"/>
      <c r="T101" s="1053"/>
      <c r="U101" s="1053"/>
      <c r="V101" s="1053"/>
      <c r="W101" s="1053"/>
      <c r="X101" s="1053"/>
      <c r="Y101" s="1053"/>
      <c r="Z101" s="1053"/>
      <c r="AD101" s="296"/>
      <c r="AE101" s="296"/>
      <c r="AF101" s="296"/>
      <c r="AG101" s="296"/>
      <c r="AH101" s="296"/>
      <c r="AI101" s="385"/>
      <c r="AJ101" s="385"/>
      <c r="AK101" s="387"/>
      <c r="AL101" s="718"/>
      <c r="AM101" s="732"/>
      <c r="AN101" s="718"/>
      <c r="AO101" s="296"/>
      <c r="AP101" s="267"/>
      <c r="AQ101" s="267"/>
      <c r="AR101" s="267"/>
      <c r="AS101" s="267"/>
      <c r="AT101" s="267"/>
    </row>
    <row r="102" spans="2:46">
      <c r="B102" s="399">
        <f>+B97</f>
        <v>34.095238095238088</v>
      </c>
      <c r="C102" s="400" t="s">
        <v>83</v>
      </c>
      <c r="D102" s="401"/>
      <c r="E102" s="402"/>
      <c r="F102" s="403"/>
      <c r="G102" s="401"/>
      <c r="H102" s="401"/>
      <c r="I102" s="403"/>
      <c r="J102" s="401"/>
      <c r="K102" s="404"/>
      <c r="L102" s="405"/>
      <c r="O102" s="1053">
        <f>+O94*1.1</f>
        <v>1210</v>
      </c>
      <c r="P102" s="1053"/>
      <c r="Q102" s="1053" t="s">
        <v>71</v>
      </c>
      <c r="R102" s="1053"/>
      <c r="S102" s="1053"/>
      <c r="T102" s="1053"/>
      <c r="U102" s="1053"/>
      <c r="V102" s="1053"/>
      <c r="W102" s="1053"/>
      <c r="X102" s="1053"/>
      <c r="Y102" s="1053"/>
      <c r="Z102" s="1053"/>
      <c r="AA102" s="7" t="s">
        <v>84</v>
      </c>
      <c r="AG102" s="267"/>
      <c r="AH102" s="267"/>
      <c r="AI102" s="386"/>
      <c r="AJ102" s="386"/>
      <c r="AK102" s="386"/>
      <c r="AL102" s="267"/>
      <c r="AM102" s="267"/>
      <c r="AN102" s="267"/>
      <c r="AO102" s="267"/>
    </row>
    <row r="103" spans="2:46">
      <c r="B103" s="381">
        <f>+B102+B101</f>
        <v>256.66666666666663</v>
      </c>
      <c r="C103" s="382" t="s">
        <v>85</v>
      </c>
      <c r="D103" s="393"/>
      <c r="E103" s="394"/>
      <c r="F103" s="395"/>
      <c r="G103" s="393"/>
      <c r="H103" s="393"/>
      <c r="I103" s="395"/>
      <c r="J103" s="393"/>
      <c r="K103" s="406"/>
      <c r="L103" s="405"/>
      <c r="O103" s="1053">
        <f>+O102/30*7</f>
        <v>282.33333333333337</v>
      </c>
      <c r="P103" s="1053"/>
      <c r="Q103" s="1053" t="s">
        <v>74</v>
      </c>
      <c r="R103" s="1053"/>
      <c r="S103" s="1053"/>
      <c r="T103" s="1053"/>
      <c r="U103" s="1053"/>
      <c r="V103" s="1053"/>
      <c r="W103" s="1053"/>
      <c r="X103" s="1053"/>
      <c r="Y103" s="1053"/>
      <c r="Z103" s="1053"/>
      <c r="AA103" s="1064">
        <f>+O103*0.87</f>
        <v>245.63000000000002</v>
      </c>
      <c r="AB103" s="1064"/>
      <c r="AG103" s="267"/>
      <c r="AH103" s="267"/>
      <c r="AI103" s="386"/>
      <c r="AJ103" s="386"/>
      <c r="AK103" s="407"/>
      <c r="AL103" s="267"/>
      <c r="AM103" s="267"/>
      <c r="AN103" s="267"/>
      <c r="AO103" s="267"/>
    </row>
    <row r="104" spans="2:46">
      <c r="B104" s="408"/>
      <c r="C104" s="409"/>
      <c r="D104" s="333"/>
      <c r="E104" s="410"/>
      <c r="F104" s="411"/>
      <c r="G104" s="333"/>
      <c r="H104" s="333"/>
      <c r="I104" s="411"/>
      <c r="J104" s="333"/>
      <c r="K104" s="405"/>
      <c r="L104" s="405"/>
      <c r="O104" s="1053">
        <f>+O103/7</f>
        <v>40.333333333333336</v>
      </c>
      <c r="P104" s="1053"/>
      <c r="Q104" s="1053" t="s">
        <v>75</v>
      </c>
      <c r="R104" s="1053"/>
      <c r="S104" s="1053"/>
      <c r="T104" s="1053"/>
      <c r="U104" s="1053"/>
      <c r="V104" s="1053"/>
      <c r="W104" s="1053"/>
      <c r="X104" s="1053"/>
      <c r="Y104" s="1053"/>
      <c r="Z104" s="1053"/>
      <c r="AG104" s="267"/>
      <c r="AH104" s="267"/>
      <c r="AI104" s="412"/>
      <c r="AJ104" s="413"/>
      <c r="AK104" s="407"/>
      <c r="AL104" s="267"/>
      <c r="AM104" s="267"/>
      <c r="AN104" s="267"/>
      <c r="AO104" s="267"/>
    </row>
    <row r="105" spans="2:46" ht="15.75">
      <c r="B105" s="414">
        <f>+B103/7</f>
        <v>36.666666666666664</v>
      </c>
      <c r="C105" s="415" t="s">
        <v>86</v>
      </c>
      <c r="D105" s="416"/>
      <c r="E105" s="417"/>
      <c r="F105" s="418"/>
      <c r="G105" s="419"/>
      <c r="H105" s="419"/>
      <c r="I105" s="411"/>
      <c r="J105" s="333"/>
      <c r="K105" s="405"/>
      <c r="L105" s="405"/>
      <c r="O105" s="1065">
        <f>(O103-18)/7</f>
        <v>37.761904761904766</v>
      </c>
      <c r="P105" s="1065"/>
      <c r="Q105" s="1065" t="s">
        <v>77</v>
      </c>
      <c r="R105" s="1065"/>
      <c r="S105" s="1065"/>
      <c r="T105" s="1065"/>
      <c r="U105" s="1065"/>
      <c r="V105" s="1065"/>
      <c r="W105" s="1065"/>
      <c r="X105" s="1065"/>
      <c r="Y105" s="1065"/>
      <c r="Z105" s="1065"/>
      <c r="AG105" s="267"/>
      <c r="AH105" s="267"/>
      <c r="AI105" s="267"/>
      <c r="AJ105" s="267"/>
      <c r="AK105" s="407"/>
      <c r="AL105" s="267"/>
      <c r="AM105" s="267"/>
      <c r="AN105" s="267"/>
      <c r="AO105" s="267"/>
    </row>
    <row r="106" spans="2:46">
      <c r="B106" s="408"/>
      <c r="C106" s="409"/>
      <c r="D106" s="333"/>
      <c r="E106" s="410"/>
      <c r="F106" s="411"/>
      <c r="G106" s="333"/>
      <c r="H106" s="333"/>
      <c r="I106" s="411"/>
      <c r="J106" s="333"/>
      <c r="K106" s="405"/>
      <c r="L106" s="405"/>
      <c r="O106" s="1053">
        <v>3</v>
      </c>
      <c r="P106" s="1053"/>
      <c r="Q106" s="1053" t="s">
        <v>79</v>
      </c>
      <c r="R106" s="1053"/>
      <c r="S106" s="1053"/>
      <c r="T106" s="1053"/>
      <c r="U106" s="1053"/>
      <c r="V106" s="1053"/>
      <c r="W106" s="1053"/>
      <c r="X106" s="1053"/>
      <c r="Y106" s="1053"/>
      <c r="Z106" s="1053"/>
      <c r="AG106" s="267"/>
      <c r="AH106" s="267"/>
      <c r="AI106" s="267"/>
      <c r="AJ106" s="267"/>
      <c r="AK106" s="267"/>
      <c r="AL106" s="267"/>
      <c r="AM106" s="267"/>
      <c r="AN106" s="267"/>
      <c r="AO106" s="267"/>
    </row>
    <row r="107" spans="2:46">
      <c r="B107" s="408"/>
      <c r="C107" s="409"/>
      <c r="D107" s="333"/>
      <c r="E107" s="410"/>
      <c r="F107" s="411"/>
      <c r="G107" s="333"/>
      <c r="H107" s="333"/>
      <c r="I107" s="411"/>
      <c r="J107" s="333"/>
      <c r="K107" s="405"/>
      <c r="L107" s="405"/>
      <c r="O107" s="1053">
        <f>+O106+O105</f>
        <v>40.761904761904766</v>
      </c>
      <c r="P107" s="1053"/>
      <c r="AG107" s="267"/>
      <c r="AH107" s="267"/>
      <c r="AI107" s="267"/>
      <c r="AJ107" s="267"/>
      <c r="AK107" s="267"/>
      <c r="AL107" s="267"/>
      <c r="AM107" s="267"/>
      <c r="AN107" s="267"/>
      <c r="AO107" s="267"/>
    </row>
    <row r="108" spans="2:46">
      <c r="AG108" s="267"/>
      <c r="AH108" s="267"/>
      <c r="AI108" s="267"/>
      <c r="AJ108" s="267"/>
      <c r="AK108" s="267"/>
      <c r="AL108" s="267"/>
      <c r="AM108" s="267"/>
      <c r="AN108" s="267"/>
      <c r="AO108" s="267"/>
    </row>
    <row r="109" spans="2:46" ht="26.25" thickBot="1">
      <c r="B109" s="377" t="s">
        <v>87</v>
      </c>
      <c r="H109" s="1052">
        <v>43167</v>
      </c>
      <c r="I109" s="1052"/>
      <c r="J109" s="1052"/>
      <c r="K109" s="1052"/>
      <c r="L109" s="1052"/>
      <c r="M109" s="1052"/>
      <c r="N109" s="1052"/>
      <c r="O109" s="420" t="s">
        <v>88</v>
      </c>
      <c r="P109" s="421"/>
      <c r="Q109" s="422"/>
      <c r="AG109" s="267"/>
      <c r="AH109" s="267"/>
      <c r="AI109" s="267"/>
      <c r="AJ109" s="267"/>
      <c r="AK109" s="267"/>
      <c r="AL109" s="267"/>
      <c r="AM109" s="267"/>
      <c r="AN109" s="267"/>
      <c r="AO109" s="267"/>
    </row>
    <row r="110" spans="2:46" ht="16.5" thickBot="1">
      <c r="B110" s="379">
        <v>850</v>
      </c>
      <c r="C110" s="240" t="s">
        <v>67</v>
      </c>
      <c r="AD110" s="296"/>
      <c r="AE110" s="296"/>
      <c r="AF110" s="296"/>
      <c r="AG110" s="296"/>
      <c r="AH110" s="296"/>
      <c r="AI110" s="296"/>
      <c r="AJ110" s="296"/>
      <c r="AK110" s="296"/>
      <c r="AL110" s="296"/>
      <c r="AM110" s="296"/>
      <c r="AN110" s="296"/>
      <c r="AO110" s="296"/>
      <c r="AP110" s="267"/>
      <c r="AQ110" s="267"/>
      <c r="AR110" s="267"/>
      <c r="AS110" s="267"/>
      <c r="AT110" s="267"/>
    </row>
    <row r="111" spans="2:46" ht="15.75">
      <c r="B111" s="423">
        <f>+B110/30*7</f>
        <v>198.33333333333331</v>
      </c>
      <c r="C111" s="240" t="s">
        <v>68</v>
      </c>
      <c r="D111" s="380"/>
      <c r="O111" s="1053" t="s">
        <v>69</v>
      </c>
      <c r="P111" s="1053"/>
      <c r="Q111" s="1053"/>
      <c r="R111" s="1053"/>
      <c r="S111" s="1053"/>
      <c r="T111" s="1053"/>
      <c r="U111" s="1053"/>
      <c r="V111" s="1053"/>
      <c r="W111" s="1053"/>
      <c r="X111" s="1053"/>
      <c r="Y111" s="1053"/>
      <c r="Z111" s="1053"/>
      <c r="AD111" s="296"/>
      <c r="AE111" s="732"/>
      <c r="AF111" s="732"/>
      <c r="AG111" s="296"/>
      <c r="AH111" s="296"/>
      <c r="AI111" s="296"/>
      <c r="AJ111" s="732"/>
      <c r="AK111" s="732"/>
      <c r="AL111" s="296"/>
      <c r="AM111" s="296"/>
      <c r="AN111" s="296"/>
      <c r="AO111" s="296"/>
      <c r="AP111" s="267"/>
      <c r="AQ111" s="267"/>
      <c r="AR111" s="267"/>
      <c r="AS111" s="267"/>
      <c r="AT111" s="267"/>
    </row>
    <row r="112" spans="2:46">
      <c r="B112" s="423">
        <f>+B111-18</f>
        <v>180.33333333333331</v>
      </c>
      <c r="C112" s="240" t="s">
        <v>70</v>
      </c>
      <c r="O112" s="1053">
        <f>+B110</f>
        <v>850</v>
      </c>
      <c r="P112" s="1053"/>
      <c r="Q112" s="1053" t="s">
        <v>71</v>
      </c>
      <c r="R112" s="1053"/>
      <c r="S112" s="1053"/>
      <c r="T112" s="1053"/>
      <c r="U112" s="1053"/>
      <c r="V112" s="1053"/>
      <c r="W112" s="1053"/>
      <c r="X112" s="1053"/>
      <c r="Y112" s="1053"/>
      <c r="Z112" s="1053"/>
      <c r="AA112" s="7" t="s">
        <v>72</v>
      </c>
      <c r="AD112" s="296"/>
      <c r="AE112" s="996">
        <v>198.32</v>
      </c>
      <c r="AF112" s="996"/>
      <c r="AG112" s="996"/>
      <c r="AH112" s="296"/>
      <c r="AI112" s="996"/>
      <c r="AJ112" s="996"/>
      <c r="AK112" s="996"/>
      <c r="AL112" s="1068">
        <f>+AL113+AL114</f>
        <v>192.18149689334777</v>
      </c>
      <c r="AM112" s="1068"/>
      <c r="AN112" s="1068"/>
      <c r="AO112" s="1068">
        <f>+AL112-18</f>
        <v>174.18149689334777</v>
      </c>
      <c r="AP112" s="1068"/>
      <c r="AQ112" s="1068"/>
      <c r="AR112" s="267"/>
      <c r="AS112" s="267"/>
      <c r="AT112" s="267"/>
    </row>
    <row r="113" spans="2:46">
      <c r="B113" s="424">
        <f>+B112/7</f>
        <v>25.761904761904759</v>
      </c>
      <c r="C113" s="382" t="s">
        <v>73</v>
      </c>
      <c r="D113" s="383"/>
      <c r="O113" s="1053">
        <f>+O112/30*7</f>
        <v>198.33333333333331</v>
      </c>
      <c r="P113" s="1053"/>
      <c r="Q113" s="1053" t="s">
        <v>74</v>
      </c>
      <c r="R113" s="1053"/>
      <c r="S113" s="1053"/>
      <c r="T113" s="1053"/>
      <c r="U113" s="1053"/>
      <c r="V113" s="1053"/>
      <c r="W113" s="1053"/>
      <c r="X113" s="1053"/>
      <c r="Y113" s="1053"/>
      <c r="Z113" s="1053"/>
      <c r="AA113" s="1064">
        <f>+O113*0.87</f>
        <v>172.54999999999998</v>
      </c>
      <c r="AB113" s="1064"/>
      <c r="AD113" s="296"/>
      <c r="AE113" s="996">
        <v>22.89</v>
      </c>
      <c r="AF113" s="996"/>
      <c r="AG113" s="996"/>
      <c r="AH113" s="296"/>
      <c r="AI113" s="1069">
        <f>+AE113/AE112</f>
        <v>0.11541952400161357</v>
      </c>
      <c r="AJ113" s="1069"/>
      <c r="AK113" s="1069"/>
      <c r="AL113" s="1068">
        <f>+AI113*AL114/AI114</f>
        <v>22.181496893347781</v>
      </c>
      <c r="AM113" s="1068"/>
      <c r="AN113" s="1068"/>
      <c r="AO113" s="1070">
        <f>+AO112/7</f>
        <v>24.883070984763968</v>
      </c>
      <c r="AP113" s="1071"/>
      <c r="AQ113" s="1072"/>
      <c r="AR113" s="267"/>
      <c r="AS113" s="267"/>
      <c r="AT113" s="267"/>
    </row>
    <row r="114" spans="2:46">
      <c r="O114" s="1053">
        <f>+O113/7</f>
        <v>28.333333333333332</v>
      </c>
      <c r="P114" s="1053"/>
      <c r="Q114" s="1053" t="s">
        <v>75</v>
      </c>
      <c r="R114" s="1053"/>
      <c r="S114" s="1053"/>
      <c r="T114" s="1053"/>
      <c r="U114" s="1053"/>
      <c r="V114" s="1053"/>
      <c r="W114" s="1053"/>
      <c r="X114" s="1053"/>
      <c r="Y114" s="1053"/>
      <c r="Z114" s="1053"/>
      <c r="AD114" s="296"/>
      <c r="AE114" s="996">
        <v>175.43</v>
      </c>
      <c r="AF114" s="996"/>
      <c r="AG114" s="996"/>
      <c r="AH114" s="296"/>
      <c r="AI114" s="1066">
        <f>1-AI113</f>
        <v>0.88458047599838641</v>
      </c>
      <c r="AJ114" s="1067"/>
      <c r="AK114" s="1067"/>
      <c r="AL114" s="1068">
        <v>170</v>
      </c>
      <c r="AM114" s="1068"/>
      <c r="AN114" s="1068"/>
      <c r="AO114" s="996"/>
      <c r="AP114" s="996"/>
      <c r="AQ114" s="996"/>
      <c r="AR114" s="267"/>
      <c r="AS114" s="267"/>
      <c r="AT114" s="267"/>
    </row>
    <row r="115" spans="2:46" ht="15.75">
      <c r="B115" s="388">
        <f>+B113</f>
        <v>25.761904761904759</v>
      </c>
      <c r="C115" s="389" t="s">
        <v>76</v>
      </c>
      <c r="D115" s="390"/>
      <c r="E115" s="390"/>
      <c r="F115" s="390"/>
      <c r="O115" s="1065">
        <f>(O113-18)/7</f>
        <v>25.761904761904759</v>
      </c>
      <c r="P115" s="1065"/>
      <c r="Q115" s="1065" t="s">
        <v>77</v>
      </c>
      <c r="R115" s="1065"/>
      <c r="S115" s="1065"/>
      <c r="T115" s="1065"/>
      <c r="U115" s="1065"/>
      <c r="V115" s="1065"/>
      <c r="W115" s="1065"/>
      <c r="X115" s="1065"/>
      <c r="Y115" s="1065"/>
      <c r="Z115" s="1065"/>
      <c r="AD115" s="296"/>
      <c r="AE115" s="996"/>
      <c r="AF115" s="996"/>
      <c r="AG115" s="996"/>
      <c r="AH115" s="296"/>
      <c r="AI115" s="1067"/>
      <c r="AJ115" s="1067"/>
      <c r="AK115" s="1067"/>
      <c r="AL115" s="296"/>
      <c r="AM115" s="385"/>
      <c r="AN115" s="385"/>
      <c r="AO115" s="385"/>
      <c r="AP115" s="386"/>
      <c r="AQ115" s="386"/>
      <c r="AR115" s="267"/>
      <c r="AS115" s="267"/>
      <c r="AT115" s="267"/>
    </row>
    <row r="116" spans="2:46">
      <c r="B116" s="168">
        <v>3</v>
      </c>
      <c r="C116" s="240" t="s">
        <v>78</v>
      </c>
      <c r="O116" s="1053">
        <v>3</v>
      </c>
      <c r="P116" s="1053"/>
      <c r="Q116" s="1053" t="s">
        <v>79</v>
      </c>
      <c r="R116" s="1053"/>
      <c r="S116" s="1053"/>
      <c r="T116" s="1053"/>
      <c r="U116" s="1053"/>
      <c r="V116" s="1053"/>
      <c r="W116" s="1053"/>
      <c r="X116" s="1053"/>
      <c r="Y116" s="1053"/>
      <c r="Z116" s="1053"/>
      <c r="AD116" s="296"/>
      <c r="AE116" s="996">
        <v>198.39</v>
      </c>
      <c r="AF116" s="996"/>
      <c r="AG116" s="996"/>
      <c r="AH116" s="296"/>
      <c r="AI116" s="1067">
        <v>198.32</v>
      </c>
      <c r="AJ116" s="1067"/>
      <c r="AK116" s="1067"/>
      <c r="AL116" s="296"/>
      <c r="AM116" s="385"/>
      <c r="AN116" s="385"/>
      <c r="AO116" s="385"/>
      <c r="AP116" s="386"/>
      <c r="AQ116" s="386"/>
      <c r="AR116" s="267"/>
      <c r="AS116" s="267"/>
      <c r="AT116" s="267"/>
    </row>
    <row r="117" spans="2:46">
      <c r="B117" s="381">
        <f>+B116+B115</f>
        <v>28.761904761904759</v>
      </c>
      <c r="C117" s="382" t="s">
        <v>80</v>
      </c>
      <c r="D117" s="393"/>
      <c r="E117" s="394"/>
      <c r="F117" s="395"/>
      <c r="G117" s="393"/>
      <c r="H117" s="393"/>
      <c r="I117" s="395"/>
      <c r="J117" s="393"/>
      <c r="K117" s="396"/>
      <c r="L117" s="396"/>
      <c r="M117" s="383"/>
      <c r="O117" s="1053">
        <f>+O116+O115</f>
        <v>28.761904761904759</v>
      </c>
      <c r="P117" s="1053"/>
      <c r="AD117" s="296"/>
      <c r="AE117" s="1073">
        <f>+AE116/7*30</f>
        <v>850.24285714285702</v>
      </c>
      <c r="AF117" s="1073"/>
      <c r="AG117" s="1073"/>
      <c r="AH117" s="296"/>
      <c r="AI117" s="1074">
        <f>+AI116/7*30</f>
        <v>849.94285714285718</v>
      </c>
      <c r="AJ117" s="1074"/>
      <c r="AK117" s="1074"/>
      <c r="AL117" s="296"/>
      <c r="AM117" s="387"/>
      <c r="AN117" s="387"/>
      <c r="AO117" s="387"/>
      <c r="AP117" s="397"/>
      <c r="AQ117" s="267"/>
      <c r="AR117" s="267"/>
      <c r="AS117" s="267"/>
      <c r="AT117" s="267"/>
    </row>
    <row r="118" spans="2:46">
      <c r="B118" s="168"/>
      <c r="AD118" s="296"/>
      <c r="AE118" s="296"/>
      <c r="AF118" s="296"/>
      <c r="AG118" s="296"/>
      <c r="AH118" s="296"/>
      <c r="AI118" s="296"/>
      <c r="AJ118" s="296"/>
      <c r="AK118" s="296"/>
      <c r="AL118" s="296"/>
      <c r="AM118" s="296"/>
      <c r="AN118" s="296"/>
      <c r="AO118" s="296"/>
      <c r="AP118" s="267"/>
      <c r="AQ118" s="267"/>
      <c r="AR118" s="267"/>
      <c r="AS118" s="267"/>
      <c r="AT118" s="267"/>
    </row>
    <row r="119" spans="2:46">
      <c r="B119" s="168">
        <f>+B117*6</f>
        <v>172.57142857142856</v>
      </c>
      <c r="C119" s="240" t="s">
        <v>81</v>
      </c>
      <c r="O119" s="1053" t="s">
        <v>82</v>
      </c>
      <c r="P119" s="1053"/>
      <c r="Q119" s="1053"/>
      <c r="R119" s="1053"/>
      <c r="S119" s="1053"/>
      <c r="T119" s="1053"/>
      <c r="U119" s="1053"/>
      <c r="V119" s="1053"/>
      <c r="W119" s="1053"/>
      <c r="X119" s="1053"/>
      <c r="Y119" s="1053"/>
      <c r="Z119" s="1053"/>
      <c r="AD119" s="296"/>
      <c r="AE119" s="296"/>
      <c r="AF119" s="296"/>
      <c r="AG119" s="296"/>
      <c r="AH119" s="296"/>
      <c r="AI119" s="385"/>
      <c r="AJ119" s="385"/>
      <c r="AK119" s="387"/>
      <c r="AL119" s="718"/>
      <c r="AM119" s="732"/>
      <c r="AN119" s="718"/>
      <c r="AO119" s="296"/>
      <c r="AP119" s="267"/>
      <c r="AQ119" s="267"/>
      <c r="AR119" s="267"/>
      <c r="AS119" s="267"/>
      <c r="AT119" s="267"/>
    </row>
    <row r="120" spans="2:46">
      <c r="B120" s="399">
        <f>+B115</f>
        <v>25.761904761904759</v>
      </c>
      <c r="C120" s="400" t="s">
        <v>83</v>
      </c>
      <c r="D120" s="401"/>
      <c r="E120" s="402"/>
      <c r="F120" s="403"/>
      <c r="G120" s="401"/>
      <c r="H120" s="401"/>
      <c r="I120" s="403"/>
      <c r="J120" s="401"/>
      <c r="K120" s="404"/>
      <c r="L120" s="405"/>
      <c r="O120" s="1053">
        <f>+O112*1.1</f>
        <v>935.00000000000011</v>
      </c>
      <c r="P120" s="1053"/>
      <c r="Q120" s="1053" t="s">
        <v>71</v>
      </c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7" t="s">
        <v>84</v>
      </c>
      <c r="AG120" s="267"/>
      <c r="AH120" s="267"/>
      <c r="AI120" s="386"/>
      <c r="AJ120" s="386"/>
      <c r="AK120" s="386"/>
      <c r="AL120" s="267"/>
      <c r="AM120" s="267"/>
      <c r="AN120" s="267"/>
      <c r="AO120" s="267"/>
    </row>
    <row r="121" spans="2:46">
      <c r="B121" s="381">
        <f>+B120+B119</f>
        <v>198.33333333333331</v>
      </c>
      <c r="C121" s="382" t="s">
        <v>85</v>
      </c>
      <c r="D121" s="393"/>
      <c r="E121" s="394"/>
      <c r="F121" s="395"/>
      <c r="G121" s="393"/>
      <c r="H121" s="393"/>
      <c r="I121" s="395"/>
      <c r="J121" s="393"/>
      <c r="K121" s="406"/>
      <c r="L121" s="405"/>
      <c r="O121" s="1053">
        <f>+O120/30*7</f>
        <v>218.16666666666669</v>
      </c>
      <c r="P121" s="1053"/>
      <c r="Q121" s="1053" t="s">
        <v>74</v>
      </c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64">
        <f>+O121*0.87</f>
        <v>189.80500000000001</v>
      </c>
      <c r="AB121" s="1064"/>
      <c r="AG121" s="267"/>
      <c r="AH121" s="267"/>
      <c r="AI121" s="386"/>
      <c r="AJ121" s="386"/>
      <c r="AK121" s="407"/>
      <c r="AL121" s="267"/>
      <c r="AM121" s="267"/>
      <c r="AN121" s="267"/>
      <c r="AO121" s="267"/>
    </row>
    <row r="122" spans="2:46">
      <c r="B122" s="408"/>
      <c r="C122" s="409"/>
      <c r="D122" s="333"/>
      <c r="E122" s="410"/>
      <c r="F122" s="411"/>
      <c r="G122" s="333"/>
      <c r="H122" s="333"/>
      <c r="I122" s="411"/>
      <c r="J122" s="333"/>
      <c r="K122" s="405"/>
      <c r="L122" s="405"/>
      <c r="O122" s="1053">
        <f>+O121/7</f>
        <v>31.166666666666668</v>
      </c>
      <c r="P122" s="1053"/>
      <c r="Q122" s="1053" t="s">
        <v>75</v>
      </c>
      <c r="R122" s="1053"/>
      <c r="S122" s="1053"/>
      <c r="T122" s="1053"/>
      <c r="U122" s="1053"/>
      <c r="V122" s="1053"/>
      <c r="W122" s="1053"/>
      <c r="X122" s="1053"/>
      <c r="Y122" s="1053"/>
      <c r="Z122" s="1053"/>
      <c r="AG122" s="267"/>
      <c r="AH122" s="267"/>
      <c r="AI122" s="412"/>
      <c r="AJ122" s="413"/>
      <c r="AK122" s="407"/>
      <c r="AL122" s="267"/>
      <c r="AM122" s="267"/>
      <c r="AN122" s="267"/>
      <c r="AO122" s="267"/>
    </row>
    <row r="123" spans="2:46" ht="15.75">
      <c r="B123" s="426">
        <f>+B121/7</f>
        <v>28.333333333333332</v>
      </c>
      <c r="C123" s="415" t="s">
        <v>86</v>
      </c>
      <c r="D123" s="416"/>
      <c r="E123" s="417"/>
      <c r="F123" s="411"/>
      <c r="G123" s="333"/>
      <c r="H123" s="333"/>
      <c r="I123" s="411"/>
      <c r="J123" s="333"/>
      <c r="K123" s="405"/>
      <c r="L123" s="405"/>
      <c r="O123" s="1065">
        <f>(O121-18)/7</f>
        <v>28.595238095238098</v>
      </c>
      <c r="P123" s="1065"/>
      <c r="Q123" s="1065" t="s">
        <v>77</v>
      </c>
      <c r="R123" s="1065"/>
      <c r="S123" s="1065"/>
      <c r="T123" s="1065"/>
      <c r="U123" s="1065"/>
      <c r="V123" s="1065"/>
      <c r="W123" s="1065"/>
      <c r="X123" s="1065"/>
      <c r="Y123" s="1065"/>
      <c r="Z123" s="1065"/>
      <c r="AG123" s="267"/>
      <c r="AH123" s="267"/>
      <c r="AI123" s="267"/>
      <c r="AJ123" s="267"/>
      <c r="AK123" s="407"/>
      <c r="AL123" s="267"/>
      <c r="AM123" s="267"/>
      <c r="AN123" s="267"/>
      <c r="AO123" s="267"/>
    </row>
    <row r="124" spans="2:46">
      <c r="B124" s="408"/>
      <c r="C124" s="409"/>
      <c r="D124" s="333"/>
      <c r="E124" s="410"/>
      <c r="F124" s="411"/>
      <c r="G124" s="333"/>
      <c r="H124" s="333"/>
      <c r="I124" s="411"/>
      <c r="J124" s="333"/>
      <c r="K124" s="405"/>
      <c r="L124" s="405"/>
      <c r="O124" s="1053">
        <v>3</v>
      </c>
      <c r="P124" s="1053"/>
      <c r="Q124" s="1053" t="s">
        <v>79</v>
      </c>
      <c r="R124" s="1053"/>
      <c r="S124" s="1053"/>
      <c r="T124" s="1053"/>
      <c r="U124" s="1053"/>
      <c r="V124" s="1053"/>
      <c r="W124" s="1053"/>
      <c r="X124" s="1053"/>
      <c r="Y124" s="1053"/>
      <c r="Z124" s="1053"/>
      <c r="AG124" s="267"/>
      <c r="AH124" s="267"/>
      <c r="AI124" s="267"/>
      <c r="AJ124" s="267"/>
      <c r="AK124" s="267"/>
      <c r="AL124" s="267"/>
      <c r="AM124" s="267"/>
      <c r="AN124" s="267"/>
      <c r="AO124" s="267"/>
    </row>
    <row r="125" spans="2:46">
      <c r="B125" s="408">
        <v>28.333333333333332</v>
      </c>
      <c r="C125" s="409"/>
      <c r="D125" s="333"/>
      <c r="E125" s="410"/>
      <c r="F125" s="411"/>
      <c r="G125" s="333"/>
      <c r="H125" s="333"/>
      <c r="I125" s="411"/>
      <c r="J125" s="333"/>
      <c r="K125" s="405"/>
      <c r="L125" s="405"/>
      <c r="O125" s="1053">
        <f>+O124+O123</f>
        <v>31.595238095238098</v>
      </c>
      <c r="P125" s="1053"/>
      <c r="AG125" s="267"/>
      <c r="AH125" s="267"/>
      <c r="AI125" s="267"/>
      <c r="AJ125" s="267"/>
      <c r="AK125" s="267"/>
      <c r="AL125" s="267"/>
      <c r="AM125" s="267"/>
      <c r="AN125" s="267"/>
      <c r="AO125" s="267"/>
    </row>
    <row r="126" spans="2:46">
      <c r="B126" s="168"/>
      <c r="AG126" s="267"/>
      <c r="AH126" s="267"/>
      <c r="AI126" s="267"/>
      <c r="AJ126" s="267"/>
      <c r="AK126" s="267"/>
      <c r="AL126" s="267"/>
      <c r="AM126" s="267"/>
      <c r="AN126" s="267"/>
      <c r="AO126" s="267"/>
    </row>
    <row r="127" spans="2:46">
      <c r="B127" s="168"/>
      <c r="AG127" s="267"/>
      <c r="AH127" s="267"/>
      <c r="AI127" s="267"/>
      <c r="AJ127" s="267"/>
      <c r="AK127" s="267"/>
      <c r="AL127" s="267"/>
      <c r="AM127" s="267"/>
      <c r="AN127" s="267"/>
      <c r="AO127" s="267"/>
    </row>
    <row r="128" spans="2:46" ht="26.25" thickBot="1">
      <c r="B128" s="377" t="s">
        <v>89</v>
      </c>
      <c r="H128" s="1052">
        <v>42922</v>
      </c>
      <c r="I128" s="1052"/>
      <c r="J128" s="1052"/>
      <c r="K128" s="1052"/>
      <c r="L128" s="1052"/>
      <c r="M128" s="1052"/>
      <c r="N128" s="1052"/>
      <c r="AD128" s="378"/>
      <c r="AE128" s="378"/>
      <c r="AF128" s="378"/>
      <c r="AG128" s="167"/>
      <c r="AH128" s="167"/>
      <c r="AI128" s="167"/>
      <c r="AJ128" s="376"/>
      <c r="AK128" s="376"/>
    </row>
    <row r="129" spans="2:46" ht="16.5" thickBot="1">
      <c r="B129" s="379">
        <v>1231.53</v>
      </c>
      <c r="C129" s="240" t="s">
        <v>67</v>
      </c>
      <c r="AD129" s="296"/>
      <c r="AE129" s="296"/>
      <c r="AF129" s="296"/>
      <c r="AG129" s="296"/>
      <c r="AH129" s="296"/>
      <c r="AI129" s="296"/>
      <c r="AJ129" s="296"/>
      <c r="AK129" s="296"/>
      <c r="AL129" s="296"/>
      <c r="AM129" s="296"/>
      <c r="AN129" s="296"/>
      <c r="AO129" s="296"/>
      <c r="AP129" s="267"/>
      <c r="AQ129" s="267"/>
      <c r="AR129" s="267"/>
      <c r="AS129" s="267"/>
      <c r="AT129" s="267"/>
    </row>
    <row r="130" spans="2:46" ht="15.75">
      <c r="B130" s="168">
        <f>+B129/30*7</f>
        <v>287.35700000000003</v>
      </c>
      <c r="C130" s="240" t="s">
        <v>68</v>
      </c>
      <c r="D130" s="380"/>
      <c r="O130" s="1053" t="s">
        <v>69</v>
      </c>
      <c r="P130" s="1053"/>
      <c r="Q130" s="1053"/>
      <c r="R130" s="1053"/>
      <c r="S130" s="1053"/>
      <c r="T130" s="1053"/>
      <c r="U130" s="1053"/>
      <c r="V130" s="1053"/>
      <c r="W130" s="1053"/>
      <c r="X130" s="1053"/>
      <c r="Y130" s="1053"/>
      <c r="Z130" s="1053"/>
      <c r="AD130" s="296"/>
      <c r="AE130" s="732"/>
      <c r="AF130" s="732"/>
      <c r="AG130" s="296"/>
      <c r="AH130" s="296"/>
      <c r="AI130" s="296"/>
      <c r="AJ130" s="732"/>
      <c r="AK130" s="732"/>
      <c r="AL130" s="296"/>
      <c r="AM130" s="296"/>
      <c r="AN130" s="296"/>
      <c r="AO130" s="296"/>
      <c r="AP130" s="267"/>
      <c r="AQ130" s="267"/>
      <c r="AR130" s="267"/>
      <c r="AS130" s="267"/>
      <c r="AT130" s="267"/>
    </row>
    <row r="131" spans="2:46">
      <c r="B131" s="168">
        <f>+B130-18</f>
        <v>269.35700000000003</v>
      </c>
      <c r="C131" s="240" t="s">
        <v>70</v>
      </c>
      <c r="O131" s="1053">
        <f>+B129</f>
        <v>1231.53</v>
      </c>
      <c r="P131" s="1053"/>
      <c r="Q131" s="1053" t="s">
        <v>71</v>
      </c>
      <c r="R131" s="1053"/>
      <c r="S131" s="1053"/>
      <c r="T131" s="1053"/>
      <c r="U131" s="1053"/>
      <c r="V131" s="1053"/>
      <c r="W131" s="1053"/>
      <c r="X131" s="1053"/>
      <c r="Y131" s="1053"/>
      <c r="Z131" s="1053"/>
      <c r="AA131" s="7" t="s">
        <v>72</v>
      </c>
      <c r="AD131" s="296"/>
      <c r="AE131" s="732"/>
      <c r="AF131" s="732"/>
      <c r="AG131" s="296"/>
      <c r="AH131" s="296"/>
      <c r="AI131" s="296"/>
      <c r="AJ131" s="732"/>
      <c r="AK131" s="732"/>
      <c r="AL131" s="296"/>
      <c r="AM131" s="296"/>
      <c r="AN131" s="296"/>
      <c r="AO131" s="296"/>
      <c r="AP131" s="267"/>
      <c r="AQ131" s="267"/>
      <c r="AR131" s="267"/>
      <c r="AS131" s="267"/>
      <c r="AT131" s="267"/>
    </row>
    <row r="132" spans="2:46">
      <c r="B132" s="381">
        <f>+B131/7+0</f>
        <v>38.479571428571433</v>
      </c>
      <c r="C132" s="382" t="s">
        <v>73</v>
      </c>
      <c r="D132" s="383"/>
      <c r="O132" s="1053">
        <f>+O131/30*7</f>
        <v>287.35700000000003</v>
      </c>
      <c r="P132" s="1053"/>
      <c r="Q132" s="1053" t="s">
        <v>74</v>
      </c>
      <c r="R132" s="1053"/>
      <c r="S132" s="1053"/>
      <c r="T132" s="1053"/>
      <c r="U132" s="1053"/>
      <c r="V132" s="1053"/>
      <c r="W132" s="1053"/>
      <c r="X132" s="1053"/>
      <c r="Y132" s="1053"/>
      <c r="Z132" s="1053"/>
      <c r="AA132" s="1064">
        <f>+O132*0.87</f>
        <v>250.00059000000002</v>
      </c>
      <c r="AB132" s="1064"/>
      <c r="AD132" s="296"/>
      <c r="AE132" s="384"/>
      <c r="AF132" s="384"/>
      <c r="AG132" s="296"/>
      <c r="AH132" s="296"/>
      <c r="AI132" s="296"/>
      <c r="AJ132" s="384"/>
      <c r="AK132" s="384"/>
      <c r="AL132" s="385"/>
      <c r="AM132" s="385"/>
      <c r="AN132" s="385"/>
      <c r="AO132" s="385"/>
      <c r="AP132" s="386"/>
      <c r="AQ132" s="386"/>
      <c r="AR132" s="267"/>
      <c r="AS132" s="267"/>
      <c r="AT132" s="267"/>
    </row>
    <row r="133" spans="2:46">
      <c r="O133" s="1053">
        <f>+O132/7</f>
        <v>41.051000000000002</v>
      </c>
      <c r="P133" s="1053"/>
      <c r="Q133" s="1053" t="s">
        <v>75</v>
      </c>
      <c r="R133" s="1053"/>
      <c r="S133" s="1053"/>
      <c r="T133" s="1053"/>
      <c r="U133" s="1053"/>
      <c r="V133" s="1053"/>
      <c r="W133" s="1053"/>
      <c r="X133" s="1053"/>
      <c r="Y133" s="1053"/>
      <c r="Z133" s="1053"/>
      <c r="AD133" s="296"/>
      <c r="AE133" s="732"/>
      <c r="AF133" s="732"/>
      <c r="AG133" s="296"/>
      <c r="AH133" s="296"/>
      <c r="AI133" s="296"/>
      <c r="AJ133" s="732"/>
      <c r="AK133" s="732"/>
      <c r="AL133" s="387"/>
      <c r="AM133" s="387"/>
      <c r="AN133" s="385"/>
      <c r="AO133" s="385"/>
      <c r="AP133" s="386"/>
      <c r="AQ133" s="386"/>
      <c r="AR133" s="267"/>
      <c r="AS133" s="267"/>
      <c r="AT133" s="267"/>
    </row>
    <row r="134" spans="2:46" ht="15.75">
      <c r="B134" s="427">
        <f>+B132</f>
        <v>38.479571428571433</v>
      </c>
      <c r="C134" s="389" t="s">
        <v>76</v>
      </c>
      <c r="D134" s="390"/>
      <c r="E134" s="390"/>
      <c r="F134" s="390"/>
      <c r="O134" s="1065">
        <f>(O132-18)/7</f>
        <v>38.479571428571433</v>
      </c>
      <c r="P134" s="1065"/>
      <c r="Q134" s="1065" t="s">
        <v>77</v>
      </c>
      <c r="R134" s="1065"/>
      <c r="S134" s="1065"/>
      <c r="T134" s="1065"/>
      <c r="U134" s="1065"/>
      <c r="V134" s="1065"/>
      <c r="W134" s="1065"/>
      <c r="X134" s="1065"/>
      <c r="Y134" s="1065"/>
      <c r="Z134" s="1065"/>
      <c r="AD134" s="296"/>
      <c r="AE134" s="391"/>
      <c r="AF134" s="391"/>
      <c r="AG134" s="392"/>
      <c r="AH134" s="392"/>
      <c r="AI134" s="392"/>
      <c r="AJ134" s="391"/>
      <c r="AK134" s="391"/>
      <c r="AL134" s="385"/>
      <c r="AM134" s="385"/>
      <c r="AN134" s="385"/>
      <c r="AO134" s="385"/>
      <c r="AP134" s="386"/>
      <c r="AQ134" s="386"/>
      <c r="AR134" s="267"/>
      <c r="AS134" s="267"/>
      <c r="AT134" s="267"/>
    </row>
    <row r="135" spans="2:46">
      <c r="B135" s="168">
        <v>3</v>
      </c>
      <c r="C135" s="240" t="s">
        <v>78</v>
      </c>
      <c r="O135" s="1053">
        <v>3</v>
      </c>
      <c r="P135" s="1053"/>
      <c r="Q135" s="1053" t="s">
        <v>79</v>
      </c>
      <c r="R135" s="1053"/>
      <c r="S135" s="1053"/>
      <c r="T135" s="1053"/>
      <c r="U135" s="1053"/>
      <c r="V135" s="1053"/>
      <c r="W135" s="1053"/>
      <c r="X135" s="1053"/>
      <c r="Y135" s="1053"/>
      <c r="Z135" s="1053"/>
      <c r="AD135" s="296"/>
      <c r="AE135" s="296"/>
      <c r="AF135" s="391"/>
      <c r="AG135" s="392"/>
      <c r="AH135" s="392"/>
      <c r="AI135" s="392"/>
      <c r="AJ135" s="391"/>
      <c r="AK135" s="296"/>
      <c r="AL135" s="385"/>
      <c r="AM135" s="385"/>
      <c r="AN135" s="385"/>
      <c r="AO135" s="385"/>
      <c r="AP135" s="386"/>
      <c r="AQ135" s="386"/>
      <c r="AR135" s="267"/>
      <c r="AS135" s="267"/>
      <c r="AT135" s="267"/>
    </row>
    <row r="136" spans="2:46">
      <c r="B136" s="381">
        <f>+B135+B134</f>
        <v>41.479571428571433</v>
      </c>
      <c r="C136" s="382" t="s">
        <v>80</v>
      </c>
      <c r="D136" s="393"/>
      <c r="E136" s="394"/>
      <c r="F136" s="395"/>
      <c r="G136" s="393"/>
      <c r="H136" s="393"/>
      <c r="I136" s="395"/>
      <c r="J136" s="393"/>
      <c r="K136" s="396"/>
      <c r="L136" s="396"/>
      <c r="M136" s="383"/>
      <c r="O136" s="1053">
        <f>+O135+O134</f>
        <v>41.479571428571433</v>
      </c>
      <c r="P136" s="1053"/>
      <c r="AD136" s="296"/>
      <c r="AE136" s="732"/>
      <c r="AF136" s="732"/>
      <c r="AG136" s="296"/>
      <c r="AH136" s="296"/>
      <c r="AI136" s="296"/>
      <c r="AJ136" s="732"/>
      <c r="AK136" s="732"/>
      <c r="AL136" s="387"/>
      <c r="AM136" s="387"/>
      <c r="AN136" s="387"/>
      <c r="AO136" s="387"/>
      <c r="AP136" s="397"/>
      <c r="AQ136" s="267"/>
      <c r="AR136" s="267"/>
      <c r="AS136" s="267"/>
      <c r="AT136" s="267"/>
    </row>
    <row r="137" spans="2:46">
      <c r="B137" s="168"/>
      <c r="AD137" s="296"/>
      <c r="AE137" s="398"/>
      <c r="AF137" s="398"/>
      <c r="AG137" s="398"/>
      <c r="AH137" s="296"/>
      <c r="AI137" s="296"/>
      <c r="AJ137" s="398"/>
      <c r="AK137" s="398"/>
      <c r="AL137" s="385"/>
      <c r="AM137" s="296"/>
      <c r="AN137" s="296"/>
      <c r="AO137" s="296"/>
      <c r="AP137" s="267"/>
      <c r="AQ137" s="267"/>
      <c r="AR137" s="267"/>
      <c r="AS137" s="267"/>
      <c r="AT137" s="267"/>
    </row>
    <row r="138" spans="2:46">
      <c r="B138" s="168">
        <f>+B136*6</f>
        <v>248.8774285714286</v>
      </c>
      <c r="C138" s="240" t="s">
        <v>81</v>
      </c>
      <c r="O138" s="1053" t="s">
        <v>82</v>
      </c>
      <c r="P138" s="1053"/>
      <c r="Q138" s="1053"/>
      <c r="R138" s="1053"/>
      <c r="S138" s="1053"/>
      <c r="T138" s="1053"/>
      <c r="U138" s="1053"/>
      <c r="V138" s="1053"/>
      <c r="W138" s="1053"/>
      <c r="X138" s="1053"/>
      <c r="Y138" s="1053"/>
      <c r="Z138" s="1053"/>
      <c r="AD138" s="296"/>
      <c r="AE138" s="296"/>
      <c r="AF138" s="296"/>
      <c r="AG138" s="296"/>
      <c r="AH138" s="296"/>
      <c r="AI138" s="385"/>
      <c r="AJ138" s="385"/>
      <c r="AK138" s="387"/>
      <c r="AL138" s="718"/>
      <c r="AM138" s="732"/>
      <c r="AN138" s="718"/>
      <c r="AO138" s="296"/>
      <c r="AP138" s="267"/>
      <c r="AQ138" s="267"/>
      <c r="AR138" s="267"/>
      <c r="AS138" s="267"/>
      <c r="AT138" s="267"/>
    </row>
    <row r="139" spans="2:46">
      <c r="B139" s="399">
        <f>+B134</f>
        <v>38.479571428571433</v>
      </c>
      <c r="C139" s="400" t="s">
        <v>83</v>
      </c>
      <c r="D139" s="401"/>
      <c r="E139" s="402"/>
      <c r="F139" s="403"/>
      <c r="G139" s="401"/>
      <c r="H139" s="401"/>
      <c r="I139" s="403"/>
      <c r="J139" s="401"/>
      <c r="K139" s="404"/>
      <c r="L139" s="405"/>
      <c r="O139" s="1053">
        <f>+O131*1.1</f>
        <v>1354.683</v>
      </c>
      <c r="P139" s="1053"/>
      <c r="Q139" s="1053" t="s">
        <v>71</v>
      </c>
      <c r="R139" s="1053"/>
      <c r="S139" s="1053"/>
      <c r="T139" s="1053"/>
      <c r="U139" s="1053"/>
      <c r="V139" s="1053"/>
      <c r="W139" s="1053"/>
      <c r="X139" s="1053"/>
      <c r="Y139" s="1053"/>
      <c r="Z139" s="1053"/>
      <c r="AA139" s="7" t="s">
        <v>84</v>
      </c>
      <c r="AG139" s="267"/>
      <c r="AH139" s="267"/>
      <c r="AI139" s="386"/>
      <c r="AJ139" s="386"/>
      <c r="AK139" s="386"/>
      <c r="AL139" s="267"/>
      <c r="AM139" s="267"/>
      <c r="AN139" s="267"/>
      <c r="AO139" s="267"/>
    </row>
    <row r="140" spans="2:46">
      <c r="B140" s="381">
        <f>+B139+B138</f>
        <v>287.35700000000003</v>
      </c>
      <c r="C140" s="382" t="s">
        <v>85</v>
      </c>
      <c r="D140" s="393"/>
      <c r="E140" s="394"/>
      <c r="F140" s="395"/>
      <c r="G140" s="393"/>
      <c r="H140" s="393"/>
      <c r="I140" s="395"/>
      <c r="J140" s="393"/>
      <c r="K140" s="406"/>
      <c r="L140" s="405"/>
      <c r="O140" s="1053">
        <f>+O139/30*7</f>
        <v>316.09270000000004</v>
      </c>
      <c r="P140" s="1053"/>
      <c r="Q140" s="1053" t="s">
        <v>74</v>
      </c>
      <c r="R140" s="1053"/>
      <c r="S140" s="1053"/>
      <c r="T140" s="1053"/>
      <c r="U140" s="1053"/>
      <c r="V140" s="1053"/>
      <c r="W140" s="1053"/>
      <c r="X140" s="1053"/>
      <c r="Y140" s="1053"/>
      <c r="Z140" s="1053"/>
      <c r="AA140" s="1064">
        <f>+O140*0.87</f>
        <v>275.00064900000001</v>
      </c>
      <c r="AB140" s="1064"/>
      <c r="AG140" s="267"/>
      <c r="AH140" s="267"/>
      <c r="AI140" s="386"/>
      <c r="AJ140" s="386"/>
      <c r="AK140" s="407"/>
      <c r="AL140" s="267"/>
      <c r="AM140" s="267"/>
      <c r="AN140" s="267"/>
      <c r="AO140" s="267"/>
    </row>
    <row r="141" spans="2:46">
      <c r="B141" s="408"/>
      <c r="C141" s="409"/>
      <c r="D141" s="333"/>
      <c r="E141" s="410"/>
      <c r="F141" s="411"/>
      <c r="G141" s="333"/>
      <c r="H141" s="333"/>
      <c r="I141" s="411"/>
      <c r="J141" s="333"/>
      <c r="K141" s="405"/>
      <c r="L141" s="405"/>
      <c r="O141" s="1053">
        <f>+O140/7</f>
        <v>45.156100000000002</v>
      </c>
      <c r="P141" s="1053"/>
      <c r="Q141" s="1053" t="s">
        <v>75</v>
      </c>
      <c r="R141" s="1053"/>
      <c r="S141" s="1053"/>
      <c r="T141" s="1053"/>
      <c r="U141" s="1053"/>
      <c r="V141" s="1053"/>
      <c r="W141" s="1053"/>
      <c r="X141" s="1053"/>
      <c r="Y141" s="1053"/>
      <c r="Z141" s="1053"/>
      <c r="AG141" s="267"/>
      <c r="AH141" s="267"/>
      <c r="AI141" s="412"/>
      <c r="AJ141" s="413"/>
      <c r="AK141" s="407"/>
      <c r="AL141" s="267"/>
      <c r="AM141" s="267"/>
      <c r="AN141" s="267"/>
      <c r="AO141" s="267"/>
    </row>
    <row r="142" spans="2:46" ht="15.75">
      <c r="B142" s="426">
        <f>+B140/7</f>
        <v>41.051000000000002</v>
      </c>
      <c r="C142" s="415" t="s">
        <v>86</v>
      </c>
      <c r="D142" s="416"/>
      <c r="E142" s="417"/>
      <c r="F142" s="418"/>
      <c r="G142" s="419"/>
      <c r="H142" s="419"/>
      <c r="I142" s="411"/>
      <c r="J142" s="333"/>
      <c r="K142" s="405"/>
      <c r="L142" s="405"/>
      <c r="O142" s="1065">
        <f>(O140-18)/7</f>
        <v>42.584671428571433</v>
      </c>
      <c r="P142" s="1065"/>
      <c r="Q142" s="1065" t="s">
        <v>77</v>
      </c>
      <c r="R142" s="1065"/>
      <c r="S142" s="1065"/>
      <c r="T142" s="1065"/>
      <c r="U142" s="1065"/>
      <c r="V142" s="1065"/>
      <c r="W142" s="1065"/>
      <c r="X142" s="1065"/>
      <c r="Y142" s="1065"/>
      <c r="Z142" s="1065"/>
      <c r="AG142" s="267"/>
      <c r="AH142" s="267"/>
      <c r="AI142" s="267"/>
      <c r="AJ142" s="267"/>
      <c r="AK142" s="407"/>
      <c r="AL142" s="267"/>
      <c r="AM142" s="267"/>
      <c r="AN142" s="267"/>
      <c r="AO142" s="267"/>
    </row>
    <row r="143" spans="2:46">
      <c r="B143" s="408"/>
      <c r="C143" s="409"/>
      <c r="D143" s="333"/>
      <c r="E143" s="410"/>
      <c r="F143" s="411"/>
      <c r="G143" s="333"/>
      <c r="H143" s="333"/>
      <c r="I143" s="411"/>
      <c r="J143" s="333"/>
      <c r="K143" s="405"/>
      <c r="L143" s="405"/>
      <c r="O143" s="1053">
        <v>3</v>
      </c>
      <c r="P143" s="1053"/>
      <c r="Q143" s="1053" t="s">
        <v>79</v>
      </c>
      <c r="R143" s="1053"/>
      <c r="S143" s="1053"/>
      <c r="T143" s="1053"/>
      <c r="U143" s="1053"/>
      <c r="V143" s="1053"/>
      <c r="W143" s="1053"/>
      <c r="X143" s="1053"/>
      <c r="Y143" s="1053"/>
      <c r="Z143" s="1053"/>
      <c r="AG143" s="267"/>
      <c r="AH143" s="267"/>
      <c r="AI143" s="267"/>
      <c r="AJ143" s="267"/>
      <c r="AK143" s="267"/>
      <c r="AL143" s="267"/>
      <c r="AM143" s="267"/>
      <c r="AN143" s="267"/>
      <c r="AO143" s="267"/>
    </row>
    <row r="144" spans="2:46">
      <c r="B144" s="408"/>
      <c r="C144" s="409"/>
      <c r="D144" s="333"/>
      <c r="E144" s="410"/>
      <c r="F144" s="411"/>
      <c r="G144" s="333"/>
      <c r="H144" s="333"/>
      <c r="I144" s="411"/>
      <c r="J144" s="333"/>
      <c r="K144" s="405"/>
      <c r="L144" s="405"/>
      <c r="O144" s="1053">
        <f>+O143+O142</f>
        <v>45.584671428571433</v>
      </c>
      <c r="P144" s="1053"/>
      <c r="AG144" s="267"/>
      <c r="AH144" s="267"/>
      <c r="AI144" s="267"/>
      <c r="AJ144" s="267"/>
      <c r="AK144" s="267"/>
      <c r="AL144" s="267"/>
      <c r="AM144" s="267"/>
      <c r="AN144" s="267"/>
      <c r="AO144" s="267"/>
    </row>
    <row r="145" spans="2:46">
      <c r="B145" s="168"/>
      <c r="AG145" s="267"/>
      <c r="AH145" s="267"/>
      <c r="AI145" s="267"/>
      <c r="AJ145" s="267"/>
      <c r="AK145" s="267"/>
      <c r="AL145" s="267"/>
      <c r="AM145" s="267"/>
      <c r="AN145" s="267"/>
      <c r="AO145" s="267"/>
    </row>
    <row r="146" spans="2:46" ht="26.25" thickBot="1">
      <c r="B146" s="377" t="s">
        <v>53</v>
      </c>
      <c r="H146" s="1052">
        <v>42744</v>
      </c>
      <c r="I146" s="1052"/>
      <c r="J146" s="1052"/>
      <c r="K146" s="1052"/>
      <c r="L146" s="1052"/>
      <c r="M146" s="1052"/>
      <c r="N146" s="1052"/>
      <c r="AD146" s="378"/>
      <c r="AE146" s="378"/>
      <c r="AF146" s="378"/>
      <c r="AG146" s="167"/>
      <c r="AH146" s="167"/>
      <c r="AI146" s="167"/>
      <c r="AJ146" s="376"/>
      <c r="AK146" s="376"/>
    </row>
    <row r="147" spans="2:46" ht="16.5" thickBot="1">
      <c r="B147" s="379">
        <v>1232.1400000000001</v>
      </c>
      <c r="C147" s="240" t="s">
        <v>67</v>
      </c>
      <c r="AD147" s="296"/>
      <c r="AE147" s="296"/>
      <c r="AF147" s="296"/>
      <c r="AG147" s="296"/>
      <c r="AH147" s="296"/>
      <c r="AI147" s="296"/>
      <c r="AJ147" s="296"/>
      <c r="AK147" s="296"/>
      <c r="AL147" s="296"/>
      <c r="AM147" s="296"/>
      <c r="AN147" s="296"/>
      <c r="AO147" s="296"/>
      <c r="AP147" s="267"/>
      <c r="AQ147" s="267"/>
      <c r="AR147" s="267"/>
      <c r="AS147" s="267"/>
      <c r="AT147" s="267"/>
    </row>
    <row r="148" spans="2:46" ht="15.75">
      <c r="B148" s="168">
        <f>+B147/30*7</f>
        <v>287.49933333333337</v>
      </c>
      <c r="C148" s="240" t="s">
        <v>68</v>
      </c>
      <c r="D148" s="380"/>
      <c r="O148" s="1053" t="s">
        <v>69</v>
      </c>
      <c r="P148" s="1053"/>
      <c r="Q148" s="1053"/>
      <c r="R148" s="1053"/>
      <c r="S148" s="1053"/>
      <c r="T148" s="1053"/>
      <c r="U148" s="1053"/>
      <c r="V148" s="1053"/>
      <c r="W148" s="1053"/>
      <c r="X148" s="1053"/>
      <c r="Y148" s="1053"/>
      <c r="Z148" s="1053"/>
      <c r="AD148" s="296"/>
      <c r="AE148" s="732"/>
      <c r="AF148" s="732"/>
      <c r="AG148" s="296"/>
      <c r="AH148" s="296"/>
      <c r="AI148" s="296"/>
      <c r="AJ148" s="732"/>
      <c r="AK148" s="732"/>
      <c r="AL148" s="296"/>
      <c r="AM148" s="296"/>
      <c r="AN148" s="296"/>
      <c r="AO148" s="296"/>
      <c r="AP148" s="267"/>
      <c r="AQ148" s="267"/>
      <c r="AR148" s="267"/>
      <c r="AS148" s="267"/>
      <c r="AT148" s="267"/>
    </row>
    <row r="149" spans="2:46">
      <c r="B149" s="168">
        <f>+B148-18</f>
        <v>269.49933333333337</v>
      </c>
      <c r="C149" s="240" t="s">
        <v>70</v>
      </c>
      <c r="O149" s="1053">
        <f>+B147</f>
        <v>1232.1400000000001</v>
      </c>
      <c r="P149" s="1053"/>
      <c r="Q149" s="1053" t="s">
        <v>71</v>
      </c>
      <c r="R149" s="1053"/>
      <c r="S149" s="1053"/>
      <c r="T149" s="1053"/>
      <c r="U149" s="1053"/>
      <c r="V149" s="1053"/>
      <c r="W149" s="1053"/>
      <c r="X149" s="1053"/>
      <c r="Y149" s="1053"/>
      <c r="Z149" s="1053"/>
      <c r="AA149" s="7" t="s">
        <v>72</v>
      </c>
      <c r="AD149" s="296"/>
      <c r="AE149" s="732"/>
      <c r="AF149" s="732"/>
      <c r="AG149" s="296"/>
      <c r="AH149" s="296"/>
      <c r="AI149" s="296"/>
      <c r="AJ149" s="732"/>
      <c r="AK149" s="732"/>
      <c r="AL149" s="296"/>
      <c r="AM149" s="296"/>
      <c r="AN149" s="296"/>
      <c r="AO149" s="296"/>
      <c r="AP149" s="267"/>
      <c r="AQ149" s="267"/>
      <c r="AR149" s="267"/>
      <c r="AS149" s="267"/>
      <c r="AT149" s="267"/>
    </row>
    <row r="150" spans="2:46">
      <c r="B150" s="381">
        <f>+B149/7+0</f>
        <v>38.499904761904766</v>
      </c>
      <c r="C150" s="382" t="s">
        <v>73</v>
      </c>
      <c r="D150" s="383"/>
      <c r="O150" s="1053">
        <f>+O149/30*7</f>
        <v>287.49933333333337</v>
      </c>
      <c r="P150" s="1053"/>
      <c r="Q150" s="1053" t="s">
        <v>74</v>
      </c>
      <c r="R150" s="1053"/>
      <c r="S150" s="1053"/>
      <c r="T150" s="1053"/>
      <c r="U150" s="1053"/>
      <c r="V150" s="1053"/>
      <c r="W150" s="1053"/>
      <c r="X150" s="1053"/>
      <c r="Y150" s="1053"/>
      <c r="Z150" s="1053"/>
      <c r="AA150" s="1064">
        <f>+O150*0.87</f>
        <v>250.12442000000001</v>
      </c>
      <c r="AB150" s="1064"/>
      <c r="AD150" s="296"/>
      <c r="AE150" s="384"/>
      <c r="AF150" s="384"/>
      <c r="AG150" s="296"/>
      <c r="AH150" s="296"/>
      <c r="AI150" s="296"/>
      <c r="AJ150" s="384"/>
      <c r="AK150" s="384"/>
      <c r="AL150" s="385"/>
      <c r="AM150" s="385"/>
      <c r="AN150" s="385"/>
      <c r="AO150" s="385"/>
      <c r="AP150" s="386"/>
      <c r="AQ150" s="386"/>
      <c r="AR150" s="267"/>
      <c r="AS150" s="267"/>
      <c r="AT150" s="267"/>
    </row>
    <row r="151" spans="2:46">
      <c r="O151" s="1053">
        <f>+O150/7</f>
        <v>41.071333333333335</v>
      </c>
      <c r="P151" s="1053"/>
      <c r="Q151" s="1053" t="s">
        <v>75</v>
      </c>
      <c r="R151" s="1053"/>
      <c r="S151" s="1053"/>
      <c r="T151" s="1053"/>
      <c r="U151" s="1053"/>
      <c r="V151" s="1053"/>
      <c r="W151" s="1053"/>
      <c r="X151" s="1053"/>
      <c r="Y151" s="1053"/>
      <c r="Z151" s="1053"/>
      <c r="AD151" s="296"/>
      <c r="AE151" s="732"/>
      <c r="AF151" s="732"/>
      <c r="AG151" s="296"/>
      <c r="AH151" s="296"/>
      <c r="AI151" s="296"/>
      <c r="AJ151" s="732"/>
      <c r="AK151" s="732"/>
      <c r="AL151" s="387"/>
      <c r="AM151" s="387"/>
      <c r="AN151" s="385"/>
      <c r="AO151" s="385"/>
      <c r="AP151" s="386"/>
      <c r="AQ151" s="386"/>
      <c r="AR151" s="267"/>
      <c r="AS151" s="267"/>
      <c r="AT151" s="267"/>
    </row>
    <row r="152" spans="2:46" ht="15.75">
      <c r="B152" s="427">
        <f>+B150</f>
        <v>38.499904761904766</v>
      </c>
      <c r="C152" s="389" t="s">
        <v>76</v>
      </c>
      <c r="D152" s="390"/>
      <c r="E152" s="390"/>
      <c r="F152" s="390"/>
      <c r="O152" s="1065">
        <f>(O150-18)/7</f>
        <v>38.499904761904766</v>
      </c>
      <c r="P152" s="1065"/>
      <c r="Q152" s="1065" t="s">
        <v>77</v>
      </c>
      <c r="R152" s="1065"/>
      <c r="S152" s="1065"/>
      <c r="T152" s="1065"/>
      <c r="U152" s="1065"/>
      <c r="V152" s="1065"/>
      <c r="W152" s="1065"/>
      <c r="X152" s="1065"/>
      <c r="Y152" s="1065"/>
      <c r="Z152" s="1065"/>
      <c r="AD152" s="296"/>
      <c r="AE152" s="391"/>
      <c r="AF152" s="391"/>
      <c r="AG152" s="392"/>
      <c r="AH152" s="392"/>
      <c r="AI152" s="392"/>
      <c r="AJ152" s="391"/>
      <c r="AK152" s="391"/>
      <c r="AL152" s="385"/>
      <c r="AM152" s="385"/>
      <c r="AN152" s="385"/>
      <c r="AO152" s="385"/>
      <c r="AP152" s="386"/>
      <c r="AQ152" s="386"/>
      <c r="AR152" s="267"/>
      <c r="AS152" s="267"/>
      <c r="AT152" s="267"/>
    </row>
    <row r="153" spans="2:46">
      <c r="B153" s="168">
        <v>3</v>
      </c>
      <c r="C153" s="240" t="s">
        <v>78</v>
      </c>
      <c r="O153" s="1053">
        <v>3</v>
      </c>
      <c r="P153" s="1053"/>
      <c r="Q153" s="1053" t="s">
        <v>79</v>
      </c>
      <c r="R153" s="1053"/>
      <c r="S153" s="1053"/>
      <c r="T153" s="1053"/>
      <c r="U153" s="1053"/>
      <c r="V153" s="1053"/>
      <c r="W153" s="1053"/>
      <c r="X153" s="1053"/>
      <c r="Y153" s="1053"/>
      <c r="Z153" s="1053"/>
      <c r="AD153" s="296"/>
      <c r="AE153" s="296"/>
      <c r="AF153" s="996">
        <v>993814365</v>
      </c>
      <c r="AG153" s="996"/>
      <c r="AH153" s="996"/>
      <c r="AI153" s="996"/>
      <c r="AJ153" s="996"/>
      <c r="AK153" s="296"/>
      <c r="AL153" s="385"/>
      <c r="AM153" s="385"/>
      <c r="AN153" s="385"/>
      <c r="AO153" s="385"/>
      <c r="AP153" s="386"/>
      <c r="AQ153" s="386"/>
      <c r="AR153" s="267"/>
      <c r="AS153" s="267"/>
      <c r="AT153" s="267"/>
    </row>
    <row r="154" spans="2:46">
      <c r="B154" s="381">
        <f>+B153+B152</f>
        <v>41.499904761904766</v>
      </c>
      <c r="C154" s="382" t="s">
        <v>80</v>
      </c>
      <c r="D154" s="393"/>
      <c r="E154" s="394"/>
      <c r="F154" s="395"/>
      <c r="G154" s="393"/>
      <c r="H154" s="393"/>
      <c r="I154" s="395"/>
      <c r="J154" s="393"/>
      <c r="K154" s="396"/>
      <c r="L154" s="396"/>
      <c r="M154" s="383"/>
      <c r="O154" s="1053">
        <f>+O153+O152</f>
        <v>41.499904761904766</v>
      </c>
      <c r="P154" s="1053"/>
      <c r="AD154" s="296"/>
      <c r="AE154" s="732"/>
      <c r="AF154" s="732"/>
      <c r="AG154" s="296"/>
      <c r="AH154" s="296"/>
      <c r="AI154" s="296"/>
      <c r="AJ154" s="732"/>
      <c r="AK154" s="732"/>
      <c r="AL154" s="387"/>
      <c r="AM154" s="387"/>
      <c r="AN154" s="387"/>
      <c r="AO154" s="387"/>
      <c r="AP154" s="397"/>
      <c r="AQ154" s="267"/>
      <c r="AR154" s="267"/>
      <c r="AS154" s="267"/>
      <c r="AT154" s="267"/>
    </row>
    <row r="155" spans="2:46">
      <c r="B155" s="168"/>
      <c r="AD155" s="296"/>
      <c r="AE155" s="398"/>
      <c r="AF155" s="398"/>
      <c r="AG155" s="398"/>
      <c r="AH155" s="296"/>
      <c r="AI155" s="296"/>
      <c r="AJ155" s="398"/>
      <c r="AK155" s="398"/>
      <c r="AL155" s="385"/>
      <c r="AM155" s="296"/>
      <c r="AN155" s="296"/>
      <c r="AO155" s="296"/>
      <c r="AP155" s="267"/>
      <c r="AQ155" s="267"/>
      <c r="AR155" s="267"/>
      <c r="AS155" s="267"/>
      <c r="AT155" s="267"/>
    </row>
    <row r="156" spans="2:46">
      <c r="B156" s="168">
        <f>+B154*6</f>
        <v>248.99942857142861</v>
      </c>
      <c r="C156" s="240" t="s">
        <v>81</v>
      </c>
      <c r="O156" s="1053" t="s">
        <v>82</v>
      </c>
      <c r="P156" s="1053"/>
      <c r="Q156" s="1053"/>
      <c r="R156" s="1053"/>
      <c r="S156" s="1053"/>
      <c r="T156" s="1053"/>
      <c r="U156" s="1053"/>
      <c r="V156" s="1053"/>
      <c r="W156" s="1053"/>
      <c r="X156" s="1053"/>
      <c r="Y156" s="1053"/>
      <c r="Z156" s="1053"/>
      <c r="AD156" s="296"/>
      <c r="AE156" s="296"/>
      <c r="AF156" s="296"/>
      <c r="AG156" s="296"/>
      <c r="AH156" s="296"/>
      <c r="AI156" s="385"/>
      <c r="AJ156" s="385"/>
      <c r="AK156" s="387"/>
      <c r="AL156" s="718"/>
      <c r="AM156" s="732"/>
      <c r="AN156" s="718"/>
      <c r="AO156" s="296"/>
      <c r="AP156" s="267"/>
      <c r="AQ156" s="267"/>
      <c r="AR156" s="267"/>
      <c r="AS156" s="267"/>
      <c r="AT156" s="267"/>
    </row>
    <row r="157" spans="2:46">
      <c r="B157" s="399">
        <f>+B152</f>
        <v>38.499904761904766</v>
      </c>
      <c r="C157" s="400" t="s">
        <v>83</v>
      </c>
      <c r="D157" s="401"/>
      <c r="E157" s="402"/>
      <c r="F157" s="403"/>
      <c r="G157" s="401"/>
      <c r="H157" s="401"/>
      <c r="I157" s="403"/>
      <c r="J157" s="401"/>
      <c r="K157" s="404"/>
      <c r="L157" s="405"/>
      <c r="O157" s="1053">
        <f>+O149*1.1</f>
        <v>1355.3540000000003</v>
      </c>
      <c r="P157" s="1053"/>
      <c r="Q157" s="1053" t="s">
        <v>71</v>
      </c>
      <c r="R157" s="1053"/>
      <c r="S157" s="1053"/>
      <c r="T157" s="1053"/>
      <c r="U157" s="1053"/>
      <c r="V157" s="1053"/>
      <c r="W157" s="1053"/>
      <c r="X157" s="1053"/>
      <c r="Y157" s="1053"/>
      <c r="Z157" s="1053"/>
      <c r="AA157" s="7" t="s">
        <v>84</v>
      </c>
      <c r="AG157" s="267"/>
      <c r="AH157" s="267"/>
      <c r="AI157" s="386"/>
      <c r="AJ157" s="386"/>
      <c r="AK157" s="386"/>
      <c r="AL157" s="267"/>
      <c r="AM157" s="267"/>
      <c r="AN157" s="267"/>
      <c r="AO157" s="267"/>
    </row>
    <row r="158" spans="2:46">
      <c r="B158" s="381">
        <f>+B157+B156</f>
        <v>287.49933333333337</v>
      </c>
      <c r="C158" s="382" t="s">
        <v>85</v>
      </c>
      <c r="D158" s="393"/>
      <c r="E158" s="394"/>
      <c r="F158" s="395"/>
      <c r="G158" s="393"/>
      <c r="H158" s="393"/>
      <c r="I158" s="395"/>
      <c r="J158" s="393"/>
      <c r="K158" s="406"/>
      <c r="L158" s="405"/>
      <c r="O158" s="1053">
        <f>+O157/30*7</f>
        <v>316.2492666666667</v>
      </c>
      <c r="P158" s="1053"/>
      <c r="Q158" s="1053" t="s">
        <v>74</v>
      </c>
      <c r="R158" s="1053"/>
      <c r="S158" s="1053"/>
      <c r="T158" s="1053"/>
      <c r="U158" s="1053"/>
      <c r="V158" s="1053"/>
      <c r="W158" s="1053"/>
      <c r="X158" s="1053"/>
      <c r="Y158" s="1053"/>
      <c r="Z158" s="1053"/>
      <c r="AA158" s="1064">
        <f>+O158*0.87</f>
        <v>275.13686200000001</v>
      </c>
      <c r="AB158" s="1064"/>
      <c r="AG158" s="267"/>
      <c r="AH158" s="267"/>
      <c r="AI158" s="386"/>
      <c r="AJ158" s="386"/>
      <c r="AK158" s="407"/>
      <c r="AL158" s="267"/>
      <c r="AM158" s="267"/>
      <c r="AN158" s="267"/>
      <c r="AO158" s="267"/>
    </row>
    <row r="159" spans="2:46">
      <c r="B159" s="408"/>
      <c r="C159" s="409"/>
      <c r="D159" s="333"/>
      <c r="E159" s="410"/>
      <c r="F159" s="411"/>
      <c r="G159" s="333"/>
      <c r="H159" s="333"/>
      <c r="I159" s="411"/>
      <c r="J159" s="333"/>
      <c r="K159" s="405"/>
      <c r="L159" s="405"/>
      <c r="O159" s="1053">
        <f>+O158/7</f>
        <v>45.178466666666672</v>
      </c>
      <c r="P159" s="1053"/>
      <c r="Q159" s="1053" t="s">
        <v>75</v>
      </c>
      <c r="R159" s="1053"/>
      <c r="S159" s="1053"/>
      <c r="T159" s="1053"/>
      <c r="U159" s="1053"/>
      <c r="V159" s="1053"/>
      <c r="W159" s="1053"/>
      <c r="X159" s="1053"/>
      <c r="Y159" s="1053"/>
      <c r="Z159" s="1053"/>
      <c r="AG159" s="267"/>
      <c r="AH159" s="267"/>
      <c r="AI159" s="412"/>
      <c r="AJ159" s="413"/>
      <c r="AK159" s="407"/>
      <c r="AL159" s="267"/>
      <c r="AM159" s="267"/>
      <c r="AN159" s="267"/>
      <c r="AO159" s="267"/>
    </row>
    <row r="160" spans="2:46" ht="15.75">
      <c r="B160" s="426">
        <f>+B158/7</f>
        <v>41.071333333333335</v>
      </c>
      <c r="C160" s="415" t="s">
        <v>86</v>
      </c>
      <c r="D160" s="416"/>
      <c r="E160" s="417"/>
      <c r="F160" s="418"/>
      <c r="G160" s="419"/>
      <c r="H160" s="419"/>
      <c r="I160" s="411"/>
      <c r="J160" s="333"/>
      <c r="K160" s="405"/>
      <c r="L160" s="405"/>
      <c r="O160" s="1065">
        <f>(O158-18)/7</f>
        <v>42.607038095238103</v>
      </c>
      <c r="P160" s="1065"/>
      <c r="Q160" s="1065" t="s">
        <v>77</v>
      </c>
      <c r="R160" s="1065"/>
      <c r="S160" s="1065"/>
      <c r="T160" s="1065"/>
      <c r="U160" s="1065"/>
      <c r="V160" s="1065"/>
      <c r="W160" s="1065"/>
      <c r="X160" s="1065"/>
      <c r="Y160" s="1065"/>
      <c r="Z160" s="1065"/>
      <c r="AG160" s="267"/>
      <c r="AH160" s="267"/>
      <c r="AI160" s="267"/>
      <c r="AJ160" s="267"/>
      <c r="AK160" s="407"/>
      <c r="AL160" s="267"/>
      <c r="AM160" s="267"/>
      <c r="AN160" s="267"/>
      <c r="AO160" s="267"/>
    </row>
    <row r="161" spans="2:46">
      <c r="B161" s="408"/>
      <c r="C161" s="409"/>
      <c r="D161" s="333"/>
      <c r="E161" s="410"/>
      <c r="F161" s="411"/>
      <c r="G161" s="333"/>
      <c r="H161" s="333"/>
      <c r="I161" s="411"/>
      <c r="J161" s="333"/>
      <c r="K161" s="405"/>
      <c r="L161" s="405"/>
      <c r="O161" s="1053">
        <v>3</v>
      </c>
      <c r="P161" s="1053"/>
      <c r="Q161" s="1053" t="s">
        <v>79</v>
      </c>
      <c r="R161" s="1053"/>
      <c r="S161" s="1053"/>
      <c r="T161" s="1053"/>
      <c r="U161" s="1053"/>
      <c r="V161" s="1053"/>
      <c r="W161" s="1053"/>
      <c r="X161" s="1053"/>
      <c r="Y161" s="1053"/>
      <c r="Z161" s="1053"/>
      <c r="AG161" s="267"/>
      <c r="AH161" s="267"/>
      <c r="AI161" s="267"/>
      <c r="AJ161" s="267"/>
      <c r="AK161" s="267"/>
      <c r="AL161" s="267"/>
      <c r="AM161" s="267"/>
      <c r="AN161" s="267"/>
      <c r="AO161" s="267"/>
    </row>
    <row r="162" spans="2:46">
      <c r="B162" s="408"/>
      <c r="C162" s="409"/>
      <c r="D162" s="333"/>
      <c r="E162" s="410"/>
      <c r="F162" s="411"/>
      <c r="G162" s="333"/>
      <c r="H162" s="333"/>
      <c r="I162" s="411"/>
      <c r="J162" s="333"/>
      <c r="K162" s="405"/>
      <c r="L162" s="405"/>
      <c r="O162" s="1053">
        <f>+O161+O160</f>
        <v>45.607038095238103</v>
      </c>
      <c r="P162" s="1053"/>
      <c r="AG162" s="267"/>
      <c r="AH162" s="267"/>
      <c r="AI162" s="267"/>
      <c r="AJ162" s="267"/>
      <c r="AK162" s="267"/>
      <c r="AL162" s="267"/>
      <c r="AM162" s="267"/>
      <c r="AN162" s="267"/>
      <c r="AO162" s="267"/>
    </row>
    <row r="163" spans="2:46">
      <c r="B163" s="168"/>
      <c r="AG163" s="267"/>
      <c r="AH163" s="267"/>
      <c r="AI163" s="267"/>
      <c r="AJ163" s="267"/>
      <c r="AK163" s="267"/>
      <c r="AL163" s="267"/>
      <c r="AM163" s="267"/>
      <c r="AN163" s="267"/>
      <c r="AO163" s="267"/>
    </row>
    <row r="164" spans="2:46">
      <c r="AG164" s="267"/>
      <c r="AH164" s="267"/>
      <c r="AI164" s="267"/>
      <c r="AJ164" s="267"/>
      <c r="AK164" s="267"/>
      <c r="AL164" s="267"/>
      <c r="AM164" s="267"/>
      <c r="AN164" s="267"/>
      <c r="AO164" s="267"/>
    </row>
    <row r="165" spans="2:46">
      <c r="AG165" s="267"/>
      <c r="AH165" s="267"/>
      <c r="AI165" s="267"/>
      <c r="AJ165" s="267"/>
      <c r="AK165" s="267"/>
      <c r="AL165" s="267"/>
      <c r="AM165" s="267"/>
      <c r="AN165" s="267"/>
      <c r="AO165" s="267"/>
    </row>
    <row r="166" spans="2:46" ht="26.25" thickBot="1">
      <c r="B166" s="377" t="s">
        <v>90</v>
      </c>
      <c r="H166" s="1052">
        <v>42736</v>
      </c>
      <c r="I166" s="1052"/>
      <c r="J166" s="1052"/>
      <c r="K166" s="1052"/>
      <c r="L166" s="1052"/>
      <c r="M166" s="1052"/>
      <c r="N166" s="1052"/>
      <c r="AG166" s="267"/>
      <c r="AH166" s="267"/>
      <c r="AI166" s="267"/>
      <c r="AJ166" s="267"/>
      <c r="AK166" s="267"/>
      <c r="AL166" s="267"/>
      <c r="AM166" s="267"/>
      <c r="AN166" s="267"/>
      <c r="AO166" s="267"/>
    </row>
    <row r="167" spans="2:46" ht="16.5" thickBot="1">
      <c r="B167" s="379">
        <v>850</v>
      </c>
      <c r="C167" s="240" t="s">
        <v>67</v>
      </c>
      <c r="AD167" s="296"/>
      <c r="AE167" s="296"/>
      <c r="AF167" s="296"/>
      <c r="AG167" s="296"/>
      <c r="AH167" s="296"/>
      <c r="AI167" s="296"/>
      <c r="AJ167" s="296"/>
      <c r="AK167" s="296"/>
      <c r="AL167" s="296"/>
      <c r="AM167" s="296"/>
      <c r="AN167" s="296"/>
      <c r="AO167" s="296"/>
      <c r="AP167" s="267"/>
      <c r="AQ167" s="267"/>
      <c r="AR167" s="267"/>
      <c r="AS167" s="267"/>
      <c r="AT167" s="267"/>
    </row>
    <row r="168" spans="2:46" ht="15.75">
      <c r="B168" s="168">
        <f>+B167/30*7</f>
        <v>198.33333333333331</v>
      </c>
      <c r="C168" s="240" t="s">
        <v>68</v>
      </c>
      <c r="D168" s="380"/>
      <c r="O168" s="1053" t="s">
        <v>69</v>
      </c>
      <c r="P168" s="1053"/>
      <c r="Q168" s="1053"/>
      <c r="R168" s="1053"/>
      <c r="S168" s="1053"/>
      <c r="T168" s="1053"/>
      <c r="U168" s="1053"/>
      <c r="V168" s="1053"/>
      <c r="W168" s="1053"/>
      <c r="X168" s="1053"/>
      <c r="Y168" s="1053"/>
      <c r="Z168" s="1053"/>
      <c r="AD168" s="296"/>
      <c r="AE168" s="732"/>
      <c r="AF168" s="732"/>
      <c r="AG168" s="296"/>
      <c r="AH168" s="296"/>
      <c r="AI168" s="296"/>
      <c r="AJ168" s="732"/>
      <c r="AK168" s="732"/>
      <c r="AL168" s="296"/>
      <c r="AM168" s="296"/>
      <c r="AN168" s="296"/>
      <c r="AO168" s="296"/>
      <c r="AP168" s="267"/>
      <c r="AQ168" s="267"/>
      <c r="AR168" s="267"/>
      <c r="AS168" s="267"/>
      <c r="AT168" s="267"/>
    </row>
    <row r="169" spans="2:46">
      <c r="B169" s="168">
        <f>+B168-18</f>
        <v>180.33333333333331</v>
      </c>
      <c r="C169" s="240" t="s">
        <v>70</v>
      </c>
      <c r="O169" s="1053">
        <f>+B167</f>
        <v>850</v>
      </c>
      <c r="P169" s="1053"/>
      <c r="Q169" s="1053" t="s">
        <v>71</v>
      </c>
      <c r="R169" s="1053"/>
      <c r="S169" s="1053"/>
      <c r="T169" s="1053"/>
      <c r="U169" s="1053"/>
      <c r="V169" s="1053"/>
      <c r="W169" s="1053"/>
      <c r="X169" s="1053"/>
      <c r="Y169" s="1053"/>
      <c r="Z169" s="1053"/>
      <c r="AA169" s="7" t="s">
        <v>72</v>
      </c>
      <c r="AD169" s="428" t="s">
        <v>91</v>
      </c>
      <c r="AE169" s="429"/>
      <c r="AF169" s="429"/>
      <c r="AG169" s="1075">
        <v>233.32</v>
      </c>
      <c r="AH169" s="1075"/>
      <c r="AI169" s="430"/>
      <c r="AJ169" s="1076">
        <f>233.32-AG169</f>
        <v>0</v>
      </c>
      <c r="AK169" s="1076"/>
      <c r="AL169" s="431"/>
      <c r="AM169" s="296"/>
      <c r="AN169" s="296"/>
      <c r="AO169" s="296"/>
      <c r="AP169" s="267"/>
      <c r="AQ169" s="267"/>
      <c r="AR169" s="267"/>
      <c r="AS169" s="267"/>
      <c r="AT169" s="267"/>
    </row>
    <row r="170" spans="2:46">
      <c r="B170" s="381">
        <f>+B169/7</f>
        <v>25.761904761904759</v>
      </c>
      <c r="C170" s="382" t="s">
        <v>73</v>
      </c>
      <c r="D170" s="383"/>
      <c r="O170" s="1053">
        <f>+O169/30*7</f>
        <v>198.33333333333331</v>
      </c>
      <c r="P170" s="1053"/>
      <c r="Q170" s="1053" t="s">
        <v>74</v>
      </c>
      <c r="R170" s="1053"/>
      <c r="S170" s="1053"/>
      <c r="T170" s="1053"/>
      <c r="U170" s="1053"/>
      <c r="V170" s="1053"/>
      <c r="W170" s="1053"/>
      <c r="X170" s="1053"/>
      <c r="Y170" s="1053"/>
      <c r="Z170" s="1053"/>
      <c r="AA170" s="1064">
        <f>+O170*0.87</f>
        <v>172.54999999999998</v>
      </c>
      <c r="AB170" s="1064"/>
      <c r="AD170" s="432" t="s">
        <v>92</v>
      </c>
      <c r="AE170" s="433"/>
      <c r="AF170" s="433"/>
      <c r="AG170" s="1077">
        <f>218.15-19.83</f>
        <v>198.32</v>
      </c>
      <c r="AH170" s="1077"/>
      <c r="AI170" s="434"/>
      <c r="AJ170" s="1078">
        <f>233.32-AG170</f>
        <v>35</v>
      </c>
      <c r="AK170" s="1078"/>
      <c r="AL170" s="435"/>
      <c r="AM170" s="385"/>
      <c r="AN170" s="385"/>
      <c r="AO170" s="385"/>
      <c r="AP170" s="386"/>
      <c r="AQ170" s="386"/>
      <c r="AR170" s="267"/>
      <c r="AS170" s="267"/>
      <c r="AT170" s="267"/>
    </row>
    <row r="171" spans="2:46">
      <c r="O171" s="1053">
        <f>+O170/7</f>
        <v>28.333333333333332</v>
      </c>
      <c r="P171" s="1053"/>
      <c r="Q171" s="1053" t="s">
        <v>75</v>
      </c>
      <c r="R171" s="1053"/>
      <c r="S171" s="1053"/>
      <c r="T171" s="1053"/>
      <c r="U171" s="1053"/>
      <c r="V171" s="1053"/>
      <c r="W171" s="1053"/>
      <c r="X171" s="1053"/>
      <c r="Y171" s="1053"/>
      <c r="Z171" s="1053"/>
      <c r="AD171" s="432" t="s">
        <v>93</v>
      </c>
      <c r="AE171" s="436"/>
      <c r="AF171" s="436"/>
      <c r="AG171" s="1077">
        <f>218.15-19.83</f>
        <v>198.32</v>
      </c>
      <c r="AH171" s="1077"/>
      <c r="AI171" s="434"/>
      <c r="AJ171" s="1078">
        <f>233.32-AG171</f>
        <v>35</v>
      </c>
      <c r="AK171" s="1078"/>
      <c r="AL171" s="437"/>
      <c r="AM171" s="387"/>
      <c r="AN171" s="385"/>
      <c r="AO171" s="385"/>
      <c r="AP171" s="386"/>
      <c r="AQ171" s="386"/>
      <c r="AR171" s="267"/>
      <c r="AS171" s="267"/>
      <c r="AT171" s="267"/>
    </row>
    <row r="172" spans="2:46" ht="15.75">
      <c r="B172" s="427">
        <f>+B170</f>
        <v>25.761904761904759</v>
      </c>
      <c r="C172" s="389" t="s">
        <v>76</v>
      </c>
      <c r="D172" s="390"/>
      <c r="E172" s="390"/>
      <c r="F172" s="390"/>
      <c r="O172" s="1065">
        <f>(O170-18)/7</f>
        <v>25.761904761904759</v>
      </c>
      <c r="P172" s="1065"/>
      <c r="Q172" s="1065" t="s">
        <v>77</v>
      </c>
      <c r="R172" s="1065"/>
      <c r="S172" s="1065"/>
      <c r="T172" s="1065"/>
      <c r="U172" s="1065"/>
      <c r="V172" s="1065"/>
      <c r="W172" s="1065"/>
      <c r="X172" s="1065"/>
      <c r="Y172" s="1065"/>
      <c r="Z172" s="1065"/>
      <c r="AD172" s="432" t="s">
        <v>94</v>
      </c>
      <c r="AE172" s="438"/>
      <c r="AF172" s="438"/>
      <c r="AG172" s="1077">
        <f>228.07-29.75</f>
        <v>198.32</v>
      </c>
      <c r="AH172" s="1077"/>
      <c r="AI172" s="439"/>
      <c r="AJ172" s="1078">
        <f>233.32-AG172</f>
        <v>35</v>
      </c>
      <c r="AK172" s="1078"/>
      <c r="AL172" s="435"/>
      <c r="AM172" s="385"/>
      <c r="AN172" s="385"/>
      <c r="AO172" s="385"/>
      <c r="AP172" s="386"/>
      <c r="AQ172" s="386"/>
      <c r="AR172" s="267"/>
      <c r="AS172" s="267"/>
      <c r="AT172" s="267"/>
    </row>
    <row r="173" spans="2:46">
      <c r="B173" s="168">
        <v>3</v>
      </c>
      <c r="C173" s="240" t="s">
        <v>78</v>
      </c>
      <c r="O173" s="1053">
        <v>3</v>
      </c>
      <c r="P173" s="1053"/>
      <c r="Q173" s="1053" t="s">
        <v>79</v>
      </c>
      <c r="R173" s="1053"/>
      <c r="S173" s="1053"/>
      <c r="T173" s="1053"/>
      <c r="U173" s="1053"/>
      <c r="V173" s="1053"/>
      <c r="W173" s="1053"/>
      <c r="X173" s="1053"/>
      <c r="Y173" s="1053"/>
      <c r="Z173" s="1053"/>
      <c r="AD173" s="432" t="s">
        <v>95</v>
      </c>
      <c r="AE173" s="434"/>
      <c r="AF173" s="438"/>
      <c r="AG173" s="1077">
        <f>208.24-9.92</f>
        <v>198.32000000000002</v>
      </c>
      <c r="AH173" s="1077"/>
      <c r="AI173" s="439"/>
      <c r="AJ173" s="1078">
        <f>233.32-AG173</f>
        <v>34.999999999999972</v>
      </c>
      <c r="AK173" s="1078"/>
      <c r="AL173" s="435"/>
      <c r="AM173" s="385"/>
      <c r="AN173" s="385"/>
      <c r="AO173" s="385"/>
      <c r="AP173" s="386"/>
      <c r="AQ173" s="386"/>
      <c r="AR173" s="267"/>
      <c r="AS173" s="267"/>
      <c r="AT173" s="267"/>
    </row>
    <row r="174" spans="2:46">
      <c r="B174" s="381">
        <f>+B173+B172</f>
        <v>28.761904761904759</v>
      </c>
      <c r="C174" s="382" t="s">
        <v>80</v>
      </c>
      <c r="D174" s="393"/>
      <c r="E174" s="394"/>
      <c r="F174" s="395"/>
      <c r="G174" s="393"/>
      <c r="H174" s="393"/>
      <c r="I174" s="395"/>
      <c r="J174" s="393"/>
      <c r="K174" s="396"/>
      <c r="L174" s="396"/>
      <c r="M174" s="383"/>
      <c r="O174" s="1053">
        <f>+O173+O172</f>
        <v>28.761904761904759</v>
      </c>
      <c r="P174" s="1053"/>
      <c r="AD174" s="440"/>
      <c r="AE174" s="436"/>
      <c r="AF174" s="436"/>
      <c r="AG174" s="441" t="s">
        <v>96</v>
      </c>
      <c r="AH174" s="442"/>
      <c r="AI174" s="434"/>
      <c r="AJ174" s="436"/>
      <c r="AK174" s="1079">
        <f>SUM(AJ169:AK173)</f>
        <v>139.99999999999997</v>
      </c>
      <c r="AL174" s="1080"/>
      <c r="AM174" s="387"/>
      <c r="AN174" s="387"/>
      <c r="AO174" s="387"/>
      <c r="AP174" s="397"/>
      <c r="AQ174" s="267"/>
      <c r="AR174" s="267"/>
      <c r="AS174" s="267"/>
      <c r="AT174" s="267"/>
    </row>
    <row r="175" spans="2:46">
      <c r="B175" s="168"/>
      <c r="AD175" s="443"/>
      <c r="AE175" s="444"/>
      <c r="AF175" s="444"/>
      <c r="AG175" s="445"/>
      <c r="AH175" s="446"/>
      <c r="AI175" s="447" t="s">
        <v>97</v>
      </c>
      <c r="AJ175" s="444"/>
      <c r="AK175" s="444"/>
      <c r="AL175" s="448"/>
      <c r="AM175" s="296"/>
      <c r="AN175" s="296"/>
      <c r="AO175" s="296"/>
      <c r="AP175" s="267"/>
      <c r="AQ175" s="267"/>
      <c r="AR175" s="267"/>
      <c r="AS175" s="267"/>
      <c r="AT175" s="267"/>
    </row>
    <row r="176" spans="2:46">
      <c r="B176" s="168">
        <f>+B174*6</f>
        <v>172.57142857142856</v>
      </c>
      <c r="C176" s="240" t="s">
        <v>81</v>
      </c>
      <c r="O176" s="1053" t="s">
        <v>82</v>
      </c>
      <c r="P176" s="1053"/>
      <c r="Q176" s="1053"/>
      <c r="R176" s="1053"/>
      <c r="S176" s="1053"/>
      <c r="T176" s="1053"/>
      <c r="U176" s="1053"/>
      <c r="V176" s="1053"/>
      <c r="W176" s="1053"/>
      <c r="X176" s="1053"/>
      <c r="Y176" s="1053"/>
      <c r="Z176" s="1053"/>
      <c r="AD176" s="296"/>
      <c r="AE176" s="296"/>
      <c r="AF176" s="296"/>
      <c r="AG176" s="296"/>
      <c r="AH176" s="296"/>
      <c r="AI176" s="385"/>
      <c r="AJ176" s="385"/>
      <c r="AK176" s="387"/>
      <c r="AL176" s="718"/>
      <c r="AM176" s="732"/>
      <c r="AN176" s="718"/>
      <c r="AO176" s="296"/>
      <c r="AP176" s="267"/>
      <c r="AQ176" s="267"/>
      <c r="AR176" s="267"/>
      <c r="AS176" s="267"/>
      <c r="AT176" s="267"/>
    </row>
    <row r="177" spans="2:46">
      <c r="B177" s="399">
        <f>+B172</f>
        <v>25.761904761904759</v>
      </c>
      <c r="C177" s="400" t="s">
        <v>83</v>
      </c>
      <c r="D177" s="401"/>
      <c r="E177" s="402"/>
      <c r="F177" s="403"/>
      <c r="G177" s="401"/>
      <c r="H177" s="401"/>
      <c r="I177" s="403"/>
      <c r="J177" s="401"/>
      <c r="K177" s="404"/>
      <c r="L177" s="405"/>
      <c r="O177" s="1053">
        <f>+O169*1.1</f>
        <v>935.00000000000011</v>
      </c>
      <c r="P177" s="1053"/>
      <c r="Q177" s="1053" t="s">
        <v>71</v>
      </c>
      <c r="R177" s="1053"/>
      <c r="S177" s="1053"/>
      <c r="T177" s="1053"/>
      <c r="U177" s="1053"/>
      <c r="V177" s="1053"/>
      <c r="W177" s="1053"/>
      <c r="X177" s="1053"/>
      <c r="Y177" s="1053"/>
      <c r="Z177" s="1053"/>
      <c r="AA177" s="7" t="s">
        <v>84</v>
      </c>
      <c r="AG177" s="267"/>
      <c r="AH177" s="267"/>
      <c r="AI177" s="386"/>
      <c r="AJ177" s="386"/>
      <c r="AK177" s="386"/>
      <c r="AL177" s="267"/>
      <c r="AM177" s="267"/>
      <c r="AN177" s="267"/>
      <c r="AO177" s="267"/>
    </row>
    <row r="178" spans="2:46">
      <c r="B178" s="381">
        <f>+B177+B176</f>
        <v>198.33333333333331</v>
      </c>
      <c r="C178" s="382" t="s">
        <v>85</v>
      </c>
      <c r="D178" s="393"/>
      <c r="E178" s="394"/>
      <c r="F178" s="395"/>
      <c r="G178" s="393"/>
      <c r="H178" s="393"/>
      <c r="I178" s="395"/>
      <c r="J178" s="393"/>
      <c r="K178" s="406"/>
      <c r="L178" s="405"/>
      <c r="O178" s="1053">
        <f>+O177/30*7</f>
        <v>218.16666666666669</v>
      </c>
      <c r="P178" s="1053"/>
      <c r="Q178" s="1053" t="s">
        <v>74</v>
      </c>
      <c r="R178" s="1053"/>
      <c r="S178" s="1053"/>
      <c r="T178" s="1053"/>
      <c r="U178" s="1053"/>
      <c r="V178" s="1053"/>
      <c r="W178" s="1053"/>
      <c r="X178" s="1053"/>
      <c r="Y178" s="1053"/>
      <c r="Z178" s="1053"/>
      <c r="AA178" s="1064">
        <f>+O178*0.87</f>
        <v>189.80500000000001</v>
      </c>
      <c r="AB178" s="1064"/>
      <c r="AG178" s="267"/>
      <c r="AH178" s="267"/>
      <c r="AI178" s="386"/>
      <c r="AJ178" s="386"/>
      <c r="AK178" s="407"/>
      <c r="AL178" s="267"/>
      <c r="AM178" s="267"/>
      <c r="AN178" s="267"/>
      <c r="AO178" s="267"/>
    </row>
    <row r="179" spans="2:46">
      <c r="B179" s="408"/>
      <c r="C179" s="409"/>
      <c r="D179" s="333"/>
      <c r="E179" s="410"/>
      <c r="F179" s="411"/>
      <c r="G179" s="333"/>
      <c r="H179" s="333"/>
      <c r="I179" s="411"/>
      <c r="J179" s="333"/>
      <c r="K179" s="405"/>
      <c r="L179" s="405"/>
      <c r="O179" s="1053">
        <f>+O178/7</f>
        <v>31.166666666666668</v>
      </c>
      <c r="P179" s="1053"/>
      <c r="Q179" s="1053" t="s">
        <v>75</v>
      </c>
      <c r="R179" s="1053"/>
      <c r="S179" s="1053"/>
      <c r="T179" s="1053"/>
      <c r="U179" s="1053"/>
      <c r="V179" s="1053"/>
      <c r="W179" s="1053"/>
      <c r="X179" s="1053"/>
      <c r="Y179" s="1053"/>
      <c r="Z179" s="1053"/>
      <c r="AG179" s="267"/>
      <c r="AH179" s="267"/>
      <c r="AI179" s="412"/>
      <c r="AJ179" s="413"/>
      <c r="AK179" s="407"/>
      <c r="AL179" s="267"/>
      <c r="AM179" s="267"/>
      <c r="AN179" s="267"/>
      <c r="AO179" s="267"/>
    </row>
    <row r="180" spans="2:46">
      <c r="B180" s="449">
        <f>+B178/7</f>
        <v>28.333333333333332</v>
      </c>
      <c r="C180" s="450" t="s">
        <v>86</v>
      </c>
      <c r="F180" s="411"/>
      <c r="G180" s="333"/>
      <c r="H180" s="333"/>
      <c r="I180" s="411"/>
      <c r="J180" s="333"/>
      <c r="K180" s="405"/>
      <c r="L180" s="405"/>
      <c r="O180" s="1065">
        <f>(O178-18)/7</f>
        <v>28.595238095238098</v>
      </c>
      <c r="P180" s="1065"/>
      <c r="Q180" s="1065" t="s">
        <v>77</v>
      </c>
      <c r="R180" s="1065"/>
      <c r="S180" s="1065"/>
      <c r="T180" s="1065"/>
      <c r="U180" s="1065"/>
      <c r="V180" s="1065"/>
      <c r="W180" s="1065"/>
      <c r="X180" s="1065"/>
      <c r="Y180" s="1065"/>
      <c r="Z180" s="1065"/>
      <c r="AG180" s="267"/>
      <c r="AH180" s="267"/>
      <c r="AI180" s="267"/>
      <c r="AJ180" s="267"/>
      <c r="AK180" s="407"/>
      <c r="AL180" s="267"/>
      <c r="AM180" s="267"/>
      <c r="AN180" s="267"/>
      <c r="AO180" s="267"/>
    </row>
    <row r="181" spans="2:46">
      <c r="B181" s="408"/>
      <c r="C181" s="409"/>
      <c r="D181" s="333"/>
      <c r="E181" s="410"/>
      <c r="F181" s="411"/>
      <c r="G181" s="333"/>
      <c r="H181" s="333"/>
      <c r="I181" s="411"/>
      <c r="J181" s="333"/>
      <c r="K181" s="405"/>
      <c r="L181" s="405"/>
      <c r="O181" s="1053">
        <v>3</v>
      </c>
      <c r="P181" s="1053"/>
      <c r="Q181" s="1053" t="s">
        <v>79</v>
      </c>
      <c r="R181" s="1053"/>
      <c r="S181" s="1053"/>
      <c r="T181" s="1053"/>
      <c r="U181" s="1053"/>
      <c r="V181" s="1053"/>
      <c r="W181" s="1053"/>
      <c r="X181" s="1053"/>
      <c r="Y181" s="1053"/>
      <c r="Z181" s="1053"/>
      <c r="AG181" s="267"/>
      <c r="AH181" s="267"/>
      <c r="AI181" s="267"/>
      <c r="AJ181" s="267"/>
      <c r="AK181" s="267"/>
      <c r="AL181" s="267"/>
      <c r="AM181" s="267"/>
      <c r="AN181" s="267"/>
      <c r="AO181" s="267"/>
    </row>
    <row r="182" spans="2:46">
      <c r="B182" s="408"/>
      <c r="C182" s="409"/>
      <c r="D182" s="333"/>
      <c r="E182" s="410"/>
      <c r="F182" s="411"/>
      <c r="G182" s="333"/>
      <c r="H182" s="333"/>
      <c r="I182" s="411"/>
      <c r="J182" s="333"/>
      <c r="K182" s="405"/>
      <c r="L182" s="405"/>
      <c r="O182" s="1053">
        <f>+O181+O180</f>
        <v>31.595238095238098</v>
      </c>
      <c r="P182" s="1053"/>
      <c r="AG182" s="267"/>
      <c r="AH182" s="267"/>
      <c r="AI182" s="267"/>
      <c r="AJ182" s="267"/>
      <c r="AK182" s="267"/>
      <c r="AL182" s="267"/>
      <c r="AM182" s="267"/>
      <c r="AN182" s="267"/>
      <c r="AO182" s="267"/>
    </row>
    <row r="183" spans="2:46">
      <c r="B183" s="168"/>
      <c r="AG183" s="267"/>
      <c r="AH183" s="267"/>
      <c r="AI183" s="267"/>
      <c r="AJ183" s="267"/>
      <c r="AK183" s="267"/>
      <c r="AL183" s="267"/>
      <c r="AM183" s="267"/>
      <c r="AN183" s="267"/>
      <c r="AO183" s="267"/>
    </row>
    <row r="184" spans="2:46">
      <c r="AG184" s="267"/>
      <c r="AH184" s="267"/>
      <c r="AI184" s="267"/>
      <c r="AJ184" s="267"/>
      <c r="AK184" s="267"/>
      <c r="AL184" s="267"/>
      <c r="AM184" s="267"/>
      <c r="AN184" s="267"/>
      <c r="AO184" s="267"/>
    </row>
    <row r="185" spans="2:46" ht="15.75" thickBot="1">
      <c r="AG185" s="267"/>
      <c r="AH185" s="267"/>
      <c r="AI185" s="267"/>
      <c r="AJ185" s="267"/>
      <c r="AK185" s="267"/>
      <c r="AL185" s="267"/>
      <c r="AM185" s="267"/>
      <c r="AN185" s="267"/>
      <c r="AO185" s="267"/>
    </row>
    <row r="186" spans="2:46" ht="17.25" thickTop="1" thickBot="1">
      <c r="B186" s="451">
        <f>850+80</f>
        <v>930</v>
      </c>
      <c r="C186" s="452" t="s">
        <v>67</v>
      </c>
      <c r="D186" s="453"/>
      <c r="E186" s="454" t="s">
        <v>98</v>
      </c>
      <c r="F186" s="455"/>
      <c r="G186" s="453"/>
      <c r="H186" s="453"/>
      <c r="I186" s="455"/>
      <c r="J186" s="453"/>
      <c r="K186" s="456"/>
      <c r="L186" s="456"/>
      <c r="M186" s="453"/>
      <c r="N186" s="453"/>
      <c r="O186" s="453"/>
      <c r="P186" s="453"/>
      <c r="Q186" s="453"/>
      <c r="R186" s="453"/>
      <c r="S186" s="453"/>
      <c r="T186" s="453"/>
      <c r="U186" s="453"/>
      <c r="V186" s="453"/>
      <c r="W186" s="453"/>
      <c r="X186" s="453"/>
      <c r="Y186" s="453"/>
      <c r="Z186" s="453"/>
      <c r="AA186" s="457"/>
      <c r="AB186" s="457"/>
      <c r="AC186" s="458"/>
      <c r="AD186" s="296"/>
      <c r="AE186" s="296"/>
      <c r="AF186" s="296"/>
      <c r="AG186" s="296"/>
      <c r="AH186" s="296"/>
      <c r="AI186" s="296"/>
      <c r="AJ186" s="296"/>
      <c r="AK186" s="296"/>
      <c r="AL186" s="296"/>
      <c r="AM186" s="296"/>
      <c r="AN186" s="296"/>
      <c r="AO186" s="296"/>
      <c r="AP186" s="267"/>
      <c r="AQ186" s="267"/>
      <c r="AR186" s="267"/>
      <c r="AS186" s="267"/>
      <c r="AT186" s="267"/>
    </row>
    <row r="187" spans="2:46" ht="15.75">
      <c r="B187" s="459">
        <f>+B186/30*7</f>
        <v>217</v>
      </c>
      <c r="C187" s="409" t="s">
        <v>68</v>
      </c>
      <c r="D187" s="460"/>
      <c r="E187" s="410"/>
      <c r="F187" s="411"/>
      <c r="G187" s="333"/>
      <c r="H187" s="333"/>
      <c r="I187" s="411"/>
      <c r="J187" s="333"/>
      <c r="K187" s="405"/>
      <c r="L187" s="405"/>
      <c r="M187" s="333"/>
      <c r="N187" s="333"/>
      <c r="O187" s="1053" t="s">
        <v>69</v>
      </c>
      <c r="P187" s="1053"/>
      <c r="Q187" s="1053"/>
      <c r="R187" s="1053"/>
      <c r="S187" s="1053"/>
      <c r="T187" s="1053"/>
      <c r="U187" s="1053"/>
      <c r="V187" s="1053"/>
      <c r="W187" s="1053"/>
      <c r="X187" s="1053"/>
      <c r="Y187" s="1053"/>
      <c r="Z187" s="1053"/>
      <c r="AA187" s="167"/>
      <c r="AB187" s="167"/>
      <c r="AC187" s="461"/>
      <c r="AD187" s="296"/>
      <c r="AE187" s="732"/>
      <c r="AF187" s="732"/>
      <c r="AG187" s="296"/>
      <c r="AH187" s="296"/>
      <c r="AI187" s="296"/>
      <c r="AJ187" s="732"/>
      <c r="AK187" s="732"/>
      <c r="AL187" s="296"/>
      <c r="AM187" s="296"/>
      <c r="AN187" s="296"/>
      <c r="AO187" s="296"/>
      <c r="AP187" s="267"/>
      <c r="AQ187" s="267"/>
      <c r="AR187" s="267"/>
      <c r="AS187" s="267"/>
      <c r="AT187" s="267"/>
    </row>
    <row r="188" spans="2:46">
      <c r="B188" s="459">
        <f>+B187-18</f>
        <v>199</v>
      </c>
      <c r="C188" s="409" t="s">
        <v>70</v>
      </c>
      <c r="D188" s="333"/>
      <c r="E188" s="410"/>
      <c r="F188" s="411"/>
      <c r="G188" s="333"/>
      <c r="H188" s="333"/>
      <c r="I188" s="411"/>
      <c r="J188" s="333"/>
      <c r="K188" s="405"/>
      <c r="L188" s="405"/>
      <c r="M188" s="333"/>
      <c r="N188" s="333"/>
      <c r="O188" s="1053">
        <f>+B186</f>
        <v>930</v>
      </c>
      <c r="P188" s="1053"/>
      <c r="Q188" s="1053" t="s">
        <v>71</v>
      </c>
      <c r="R188" s="1053"/>
      <c r="S188" s="1053"/>
      <c r="T188" s="1053"/>
      <c r="U188" s="1053"/>
      <c r="V188" s="1053"/>
      <c r="W188" s="1053"/>
      <c r="X188" s="1053"/>
      <c r="Y188" s="1053"/>
      <c r="Z188" s="1053"/>
      <c r="AA188" s="167" t="s">
        <v>72</v>
      </c>
      <c r="AB188" s="167"/>
      <c r="AC188" s="461"/>
      <c r="AD188" s="296"/>
      <c r="AE188" s="732"/>
      <c r="AF188" s="732"/>
      <c r="AG188" s="296"/>
      <c r="AH188" s="296"/>
      <c r="AI188" s="296"/>
      <c r="AJ188" s="732"/>
      <c r="AK188" s="732"/>
      <c r="AL188" s="296"/>
      <c r="AM188" s="296"/>
      <c r="AN188" s="296"/>
      <c r="AO188" s="296"/>
      <c r="AP188" s="267"/>
      <c r="AQ188" s="267"/>
      <c r="AR188" s="267"/>
      <c r="AS188" s="267"/>
      <c r="AT188" s="267"/>
    </row>
    <row r="189" spans="2:46">
      <c r="B189" s="462">
        <f>+B188/7</f>
        <v>28.428571428571427</v>
      </c>
      <c r="C189" s="382" t="s">
        <v>73</v>
      </c>
      <c r="D189" s="383"/>
      <c r="E189" s="410"/>
      <c r="F189" s="411"/>
      <c r="G189" s="333"/>
      <c r="H189" s="333"/>
      <c r="I189" s="411"/>
      <c r="J189" s="333"/>
      <c r="K189" s="405"/>
      <c r="L189" s="405"/>
      <c r="M189" s="333"/>
      <c r="N189" s="333"/>
      <c r="O189" s="1053">
        <f>+O188/30*7</f>
        <v>217</v>
      </c>
      <c r="P189" s="1053"/>
      <c r="Q189" s="1053" t="s">
        <v>74</v>
      </c>
      <c r="R189" s="1053"/>
      <c r="S189" s="1053"/>
      <c r="T189" s="1053"/>
      <c r="U189" s="1053"/>
      <c r="V189" s="1053"/>
      <c r="W189" s="1053"/>
      <c r="X189" s="1053"/>
      <c r="Y189" s="1053"/>
      <c r="Z189" s="1053"/>
      <c r="AA189" s="1064">
        <f>+O189*0.87</f>
        <v>188.79</v>
      </c>
      <c r="AB189" s="1064"/>
      <c r="AC189" s="461"/>
      <c r="AD189" s="296"/>
      <c r="AE189" s="384"/>
      <c r="AF189" s="384"/>
      <c r="AG189" s="296"/>
      <c r="AH189" s="296"/>
      <c r="AI189" s="296"/>
      <c r="AJ189" s="384"/>
      <c r="AK189" s="384"/>
      <c r="AL189" s="385"/>
      <c r="AM189" s="385"/>
      <c r="AN189" s="385"/>
      <c r="AO189" s="385"/>
      <c r="AP189" s="386"/>
      <c r="AQ189" s="386"/>
      <c r="AR189" s="267"/>
      <c r="AS189" s="267"/>
      <c r="AT189" s="267"/>
    </row>
    <row r="190" spans="2:46">
      <c r="B190" s="463"/>
      <c r="C190" s="333"/>
      <c r="D190" s="333"/>
      <c r="E190" s="410"/>
      <c r="F190" s="411"/>
      <c r="G190" s="333"/>
      <c r="H190" s="333"/>
      <c r="I190" s="411"/>
      <c r="J190" s="333"/>
      <c r="K190" s="405"/>
      <c r="L190" s="405"/>
      <c r="M190" s="333"/>
      <c r="N190" s="333"/>
      <c r="O190" s="1053">
        <f>+O189/7</f>
        <v>31</v>
      </c>
      <c r="P190" s="1053"/>
      <c r="Q190" s="1053" t="s">
        <v>75</v>
      </c>
      <c r="R190" s="1053"/>
      <c r="S190" s="1053"/>
      <c r="T190" s="1053"/>
      <c r="U190" s="1053"/>
      <c r="V190" s="1053"/>
      <c r="W190" s="1053"/>
      <c r="X190" s="1053"/>
      <c r="Y190" s="1053"/>
      <c r="Z190" s="1053"/>
      <c r="AA190" s="167"/>
      <c r="AB190" s="167"/>
      <c r="AC190" s="461"/>
      <c r="AD190" s="296"/>
      <c r="AE190" s="732"/>
      <c r="AF190" s="732"/>
      <c r="AG190" s="296"/>
      <c r="AH190" s="296"/>
      <c r="AI190" s="296"/>
      <c r="AJ190" s="732"/>
      <c r="AK190" s="732"/>
      <c r="AL190" s="387"/>
      <c r="AM190" s="387"/>
      <c r="AN190" s="385"/>
      <c r="AO190" s="385"/>
      <c r="AP190" s="386"/>
      <c r="AQ190" s="386"/>
      <c r="AR190" s="267"/>
      <c r="AS190" s="267"/>
      <c r="AT190" s="267"/>
    </row>
    <row r="191" spans="2:46" ht="15.75">
      <c r="B191" s="464">
        <f>+B189</f>
        <v>28.428571428571427</v>
      </c>
      <c r="C191" s="465" t="s">
        <v>76</v>
      </c>
      <c r="D191" s="418"/>
      <c r="E191" s="418"/>
      <c r="F191" s="418"/>
      <c r="G191" s="333"/>
      <c r="H191" s="333"/>
      <c r="I191" s="411"/>
      <c r="J191" s="333"/>
      <c r="K191" s="405"/>
      <c r="L191" s="405"/>
      <c r="M191" s="333"/>
      <c r="N191" s="333"/>
      <c r="O191" s="1065">
        <f>(O189-18)/7</f>
        <v>28.428571428571427</v>
      </c>
      <c r="P191" s="1065"/>
      <c r="Q191" s="1065" t="s">
        <v>77</v>
      </c>
      <c r="R191" s="1065"/>
      <c r="S191" s="1065"/>
      <c r="T191" s="1065"/>
      <c r="U191" s="1065"/>
      <c r="V191" s="1065"/>
      <c r="W191" s="1065"/>
      <c r="X191" s="1065"/>
      <c r="Y191" s="1065"/>
      <c r="Z191" s="1065"/>
      <c r="AA191" s="167"/>
      <c r="AB191" s="167"/>
      <c r="AC191" s="461"/>
      <c r="AD191" s="296"/>
      <c r="AE191" s="391"/>
      <c r="AF191" s="391"/>
      <c r="AG191" s="392"/>
      <c r="AH191" s="392"/>
      <c r="AI191" s="392"/>
      <c r="AJ191" s="391"/>
      <c r="AK191" s="391"/>
      <c r="AL191" s="385"/>
      <c r="AM191" s="385"/>
      <c r="AN191" s="385"/>
      <c r="AO191" s="385"/>
      <c r="AP191" s="386"/>
      <c r="AQ191" s="386"/>
      <c r="AR191" s="267"/>
      <c r="AS191" s="267"/>
      <c r="AT191" s="267"/>
    </row>
    <row r="192" spans="2:46">
      <c r="B192" s="459">
        <v>3</v>
      </c>
      <c r="C192" s="409" t="s">
        <v>78</v>
      </c>
      <c r="D192" s="333"/>
      <c r="E192" s="410"/>
      <c r="F192" s="411"/>
      <c r="G192" s="333"/>
      <c r="H192" s="333"/>
      <c r="I192" s="411"/>
      <c r="J192" s="333"/>
      <c r="K192" s="405"/>
      <c r="L192" s="405"/>
      <c r="M192" s="333"/>
      <c r="N192" s="333"/>
      <c r="O192" s="1053">
        <v>3</v>
      </c>
      <c r="P192" s="1053"/>
      <c r="Q192" s="1053" t="s">
        <v>79</v>
      </c>
      <c r="R192" s="1053"/>
      <c r="S192" s="1053"/>
      <c r="T192" s="1053"/>
      <c r="U192" s="1053"/>
      <c r="V192" s="1053"/>
      <c r="W192" s="1053"/>
      <c r="X192" s="1053"/>
      <c r="Y192" s="1053"/>
      <c r="Z192" s="1053"/>
      <c r="AA192" s="167"/>
      <c r="AB192" s="167"/>
      <c r="AC192" s="461"/>
      <c r="AD192" s="296"/>
      <c r="AE192" s="296"/>
      <c r="AF192" s="391"/>
      <c r="AG192" s="392"/>
      <c r="AH192" s="392"/>
      <c r="AI192" s="392"/>
      <c r="AJ192" s="391"/>
      <c r="AK192" s="391"/>
      <c r="AL192" s="385"/>
      <c r="AM192" s="385"/>
      <c r="AN192" s="385"/>
      <c r="AO192" s="385"/>
      <c r="AP192" s="386"/>
      <c r="AQ192" s="386"/>
      <c r="AR192" s="267"/>
      <c r="AS192" s="267"/>
      <c r="AT192" s="267"/>
    </row>
    <row r="193" spans="2:50">
      <c r="B193" s="462">
        <f>+B192+B191</f>
        <v>31.428571428571427</v>
      </c>
      <c r="C193" s="382" t="s">
        <v>80</v>
      </c>
      <c r="D193" s="393"/>
      <c r="E193" s="394"/>
      <c r="F193" s="395"/>
      <c r="G193" s="393"/>
      <c r="H193" s="393"/>
      <c r="I193" s="395"/>
      <c r="J193" s="393"/>
      <c r="K193" s="396"/>
      <c r="L193" s="396"/>
      <c r="M193" s="383"/>
      <c r="N193" s="333"/>
      <c r="O193" s="1053">
        <f>+O192+O191</f>
        <v>31.428571428571427</v>
      </c>
      <c r="P193" s="105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  <c r="AA193" s="167"/>
      <c r="AB193" s="167"/>
      <c r="AC193" s="461"/>
      <c r="AD193" s="296"/>
      <c r="AE193" s="732"/>
      <c r="AF193" s="732"/>
      <c r="AG193" s="296"/>
      <c r="AH193" s="296"/>
      <c r="AI193" s="296"/>
      <c r="AJ193" s="732"/>
      <c r="AK193" s="732"/>
      <c r="AL193" s="387"/>
      <c r="AM193" s="387"/>
      <c r="AN193" s="387"/>
      <c r="AO193" s="387"/>
      <c r="AP193" s="397"/>
      <c r="AQ193" s="267"/>
      <c r="AR193" s="267"/>
      <c r="AS193" s="267"/>
      <c r="AT193" s="267"/>
    </row>
    <row r="194" spans="2:50">
      <c r="B194" s="459"/>
      <c r="C194" s="333"/>
      <c r="D194" s="333"/>
      <c r="E194" s="410"/>
      <c r="F194" s="411"/>
      <c r="G194" s="333"/>
      <c r="H194" s="333"/>
      <c r="I194" s="411"/>
      <c r="J194" s="333"/>
      <c r="K194" s="405"/>
      <c r="L194" s="405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167"/>
      <c r="AB194" s="167"/>
      <c r="AC194" s="461"/>
      <c r="AD194" s="296"/>
      <c r="AE194" s="398"/>
      <c r="AF194" s="398"/>
      <c r="AG194" s="398"/>
      <c r="AH194" s="296"/>
      <c r="AI194" s="296"/>
      <c r="AJ194" s="398"/>
      <c r="AK194" s="398"/>
      <c r="AL194" s="385"/>
      <c r="AM194" s="296"/>
      <c r="AN194" s="296"/>
      <c r="AO194" s="296"/>
      <c r="AP194" s="267"/>
      <c r="AQ194" s="267"/>
      <c r="AR194" s="267"/>
      <c r="AS194" s="267"/>
      <c r="AT194" s="267"/>
    </row>
    <row r="195" spans="2:50">
      <c r="B195" s="459">
        <f>+B193*6</f>
        <v>188.57142857142856</v>
      </c>
      <c r="C195" s="409" t="s">
        <v>81</v>
      </c>
      <c r="D195" s="333"/>
      <c r="E195" s="410"/>
      <c r="F195" s="411"/>
      <c r="G195" s="333"/>
      <c r="H195" s="333"/>
      <c r="I195" s="411"/>
      <c r="J195" s="333"/>
      <c r="K195" s="405"/>
      <c r="L195" s="405"/>
      <c r="M195" s="333"/>
      <c r="N195" s="333"/>
      <c r="O195" s="1053" t="s">
        <v>82</v>
      </c>
      <c r="P195" s="1053"/>
      <c r="Q195" s="1053"/>
      <c r="R195" s="1053"/>
      <c r="S195" s="1053"/>
      <c r="T195" s="1053"/>
      <c r="U195" s="1053"/>
      <c r="V195" s="1053"/>
      <c r="W195" s="1053"/>
      <c r="X195" s="1053"/>
      <c r="Y195" s="1053"/>
      <c r="Z195" s="1053"/>
      <c r="AA195" s="167"/>
      <c r="AB195" s="167"/>
      <c r="AC195" s="461"/>
      <c r="AD195" s="296"/>
      <c r="AE195" s="296"/>
      <c r="AF195" s="296"/>
      <c r="AG195" s="296"/>
      <c r="AH195" s="296"/>
      <c r="AI195" s="385"/>
      <c r="AJ195" s="385"/>
      <c r="AK195" s="387"/>
      <c r="AL195" s="718"/>
      <c r="AM195" s="732"/>
      <c r="AN195" s="718"/>
      <c r="AO195" s="296"/>
      <c r="AP195" s="267"/>
      <c r="AQ195" s="267"/>
      <c r="AR195" s="267"/>
      <c r="AS195" s="267"/>
      <c r="AT195" s="267"/>
    </row>
    <row r="196" spans="2:50">
      <c r="B196" s="466">
        <f>+B191</f>
        <v>28.428571428571427</v>
      </c>
      <c r="C196" s="400" t="s">
        <v>83</v>
      </c>
      <c r="D196" s="401"/>
      <c r="E196" s="402"/>
      <c r="F196" s="403"/>
      <c r="G196" s="401"/>
      <c r="H196" s="401"/>
      <c r="I196" s="403"/>
      <c r="J196" s="401"/>
      <c r="K196" s="404"/>
      <c r="L196" s="405"/>
      <c r="M196" s="333"/>
      <c r="N196" s="333"/>
      <c r="O196" s="1053">
        <f>+O188*1.1</f>
        <v>1023.0000000000001</v>
      </c>
      <c r="P196" s="1053"/>
      <c r="Q196" s="1053" t="s">
        <v>71</v>
      </c>
      <c r="R196" s="1053"/>
      <c r="S196" s="1053"/>
      <c r="T196" s="1053"/>
      <c r="U196" s="1053"/>
      <c r="V196" s="1053"/>
      <c r="W196" s="1053"/>
      <c r="X196" s="1053"/>
      <c r="Y196" s="1053"/>
      <c r="Z196" s="1053"/>
      <c r="AA196" s="167" t="s">
        <v>84</v>
      </c>
      <c r="AB196" s="167"/>
      <c r="AC196" s="461"/>
      <c r="AG196" s="267"/>
      <c r="AH196" s="267"/>
      <c r="AI196" s="386"/>
      <c r="AJ196" s="386"/>
      <c r="AK196" s="386"/>
      <c r="AL196" s="267"/>
      <c r="AM196" s="267"/>
      <c r="AN196" s="267"/>
      <c r="AO196" s="267"/>
    </row>
    <row r="197" spans="2:50">
      <c r="B197" s="462">
        <f>+B196+B195</f>
        <v>216.99999999999997</v>
      </c>
      <c r="C197" s="382" t="s">
        <v>85</v>
      </c>
      <c r="D197" s="393"/>
      <c r="E197" s="394"/>
      <c r="F197" s="395"/>
      <c r="G197" s="393"/>
      <c r="H197" s="393"/>
      <c r="I197" s="395"/>
      <c r="J197" s="393"/>
      <c r="K197" s="406"/>
      <c r="L197" s="405"/>
      <c r="M197" s="333"/>
      <c r="N197" s="333"/>
      <c r="O197" s="1053">
        <f>+O196/30*7</f>
        <v>238.70000000000002</v>
      </c>
      <c r="P197" s="1053"/>
      <c r="Q197" s="1053" t="s">
        <v>74</v>
      </c>
      <c r="R197" s="1053"/>
      <c r="S197" s="1053"/>
      <c r="T197" s="1053"/>
      <c r="U197" s="1053"/>
      <c r="V197" s="1053"/>
      <c r="W197" s="1053"/>
      <c r="X197" s="1053"/>
      <c r="Y197" s="1053"/>
      <c r="Z197" s="1053"/>
      <c r="AA197" s="1064">
        <f>+O197*0.87</f>
        <v>207.66900000000001</v>
      </c>
      <c r="AB197" s="1064"/>
      <c r="AC197" s="461"/>
      <c r="AG197" s="267"/>
      <c r="AH197" s="267"/>
      <c r="AI197" s="386"/>
      <c r="AJ197" s="386"/>
      <c r="AK197" s="407"/>
      <c r="AL197" s="267"/>
      <c r="AM197" s="267"/>
      <c r="AN197" s="267"/>
      <c r="AO197" s="267"/>
    </row>
    <row r="198" spans="2:50">
      <c r="B198" s="459"/>
      <c r="C198" s="409"/>
      <c r="D198" s="333"/>
      <c r="E198" s="410"/>
      <c r="F198" s="411"/>
      <c r="G198" s="333"/>
      <c r="H198" s="333"/>
      <c r="I198" s="411"/>
      <c r="J198" s="333"/>
      <c r="K198" s="405"/>
      <c r="L198" s="405"/>
      <c r="M198" s="333"/>
      <c r="N198" s="333"/>
      <c r="O198" s="1053">
        <f>+O197/7</f>
        <v>34.1</v>
      </c>
      <c r="P198" s="1053"/>
      <c r="Q198" s="1053" t="s">
        <v>75</v>
      </c>
      <c r="R198" s="1053"/>
      <c r="S198" s="1053"/>
      <c r="T198" s="1053"/>
      <c r="U198" s="1053"/>
      <c r="V198" s="1053"/>
      <c r="W198" s="1053"/>
      <c r="X198" s="1053"/>
      <c r="Y198" s="1053"/>
      <c r="Z198" s="1053"/>
      <c r="AA198" s="167"/>
      <c r="AB198" s="167"/>
      <c r="AC198" s="461"/>
      <c r="AG198" s="267"/>
      <c r="AH198" s="267"/>
      <c r="AI198" s="412"/>
      <c r="AJ198" s="413"/>
      <c r="AK198" s="407"/>
      <c r="AL198" s="267"/>
      <c r="AM198" s="267"/>
      <c r="AN198" s="267"/>
      <c r="AO198" s="267"/>
    </row>
    <row r="199" spans="2:50">
      <c r="B199" s="467">
        <f>+B197/7</f>
        <v>30.999999999999996</v>
      </c>
      <c r="C199" s="468" t="s">
        <v>86</v>
      </c>
      <c r="D199" s="333"/>
      <c r="E199" s="410"/>
      <c r="F199" s="411"/>
      <c r="G199" s="333"/>
      <c r="H199" s="333"/>
      <c r="I199" s="411"/>
      <c r="J199" s="333"/>
      <c r="K199" s="405"/>
      <c r="L199" s="405"/>
      <c r="M199" s="333"/>
      <c r="N199" s="333"/>
      <c r="O199" s="1065">
        <f>(O197-18)/7</f>
        <v>31.528571428571432</v>
      </c>
      <c r="P199" s="1065"/>
      <c r="Q199" s="1065" t="s">
        <v>77</v>
      </c>
      <c r="R199" s="1065"/>
      <c r="S199" s="1065"/>
      <c r="T199" s="1065"/>
      <c r="U199" s="1065"/>
      <c r="V199" s="1065"/>
      <c r="W199" s="1065"/>
      <c r="X199" s="1065"/>
      <c r="Y199" s="1065"/>
      <c r="Z199" s="1065"/>
      <c r="AA199" s="167"/>
      <c r="AB199" s="167"/>
      <c r="AC199" s="461"/>
      <c r="AG199" s="267"/>
      <c r="AH199" s="267"/>
      <c r="AI199" s="267"/>
      <c r="AJ199" s="267"/>
      <c r="AK199" s="407"/>
      <c r="AL199" s="267"/>
      <c r="AM199" s="267"/>
      <c r="AN199" s="267"/>
      <c r="AO199" s="267"/>
    </row>
    <row r="200" spans="2:50">
      <c r="B200" s="459"/>
      <c r="C200" s="409"/>
      <c r="D200" s="333"/>
      <c r="E200" s="410"/>
      <c r="F200" s="411"/>
      <c r="G200" s="333"/>
      <c r="H200" s="333"/>
      <c r="I200" s="411"/>
      <c r="J200" s="333"/>
      <c r="K200" s="405"/>
      <c r="L200" s="405"/>
      <c r="M200" s="333"/>
      <c r="N200" s="333"/>
      <c r="O200" s="1053">
        <v>3</v>
      </c>
      <c r="P200" s="1053"/>
      <c r="Q200" s="1053" t="s">
        <v>79</v>
      </c>
      <c r="R200" s="1053"/>
      <c r="S200" s="1053"/>
      <c r="T200" s="1053"/>
      <c r="U200" s="1053"/>
      <c r="V200" s="1053"/>
      <c r="W200" s="1053"/>
      <c r="X200" s="1053"/>
      <c r="Y200" s="1053"/>
      <c r="Z200" s="1053"/>
      <c r="AA200" s="167"/>
      <c r="AB200" s="167"/>
      <c r="AC200" s="461"/>
      <c r="AG200" s="267"/>
      <c r="AH200" s="267"/>
      <c r="AI200" s="267"/>
      <c r="AJ200" s="267"/>
      <c r="AK200" s="267"/>
      <c r="AL200" s="267"/>
      <c r="AM200" s="267"/>
      <c r="AN200" s="267"/>
      <c r="AO200" s="267"/>
    </row>
    <row r="201" spans="2:50" ht="15.75" thickBot="1">
      <c r="B201" s="469"/>
      <c r="C201" s="470"/>
      <c r="D201" s="471"/>
      <c r="E201" s="472"/>
      <c r="F201" s="473"/>
      <c r="G201" s="471"/>
      <c r="H201" s="471"/>
      <c r="I201" s="473"/>
      <c r="J201" s="471"/>
      <c r="K201" s="474"/>
      <c r="L201" s="474"/>
      <c r="M201" s="471"/>
      <c r="N201" s="471"/>
      <c r="O201" s="1081">
        <f>+O200+O199</f>
        <v>34.528571428571432</v>
      </c>
      <c r="P201" s="1081"/>
      <c r="Q201" s="471"/>
      <c r="R201" s="471"/>
      <c r="S201" s="471"/>
      <c r="T201" s="471"/>
      <c r="U201" s="471"/>
      <c r="V201" s="471"/>
      <c r="W201" s="471"/>
      <c r="X201" s="471"/>
      <c r="Y201" s="471"/>
      <c r="Z201" s="471"/>
      <c r="AA201" s="475"/>
      <c r="AB201" s="475"/>
      <c r="AC201" s="476"/>
      <c r="AG201" s="267"/>
      <c r="AH201" s="267"/>
      <c r="AI201" s="267"/>
      <c r="AJ201" s="267"/>
      <c r="AK201" s="267"/>
      <c r="AL201" s="267"/>
      <c r="AM201" s="267"/>
      <c r="AN201" s="267"/>
      <c r="AO201" s="267"/>
    </row>
    <row r="202" spans="2:50" ht="15.75" thickTop="1">
      <c r="B202" s="168"/>
      <c r="AG202" s="267"/>
      <c r="AH202" s="267"/>
      <c r="AI202" s="267"/>
      <c r="AJ202" s="267"/>
      <c r="AK202" s="267"/>
      <c r="AL202" s="267"/>
      <c r="AM202" s="267"/>
      <c r="AN202" s="267"/>
      <c r="AO202" s="267"/>
    </row>
    <row r="203" spans="2:50" ht="3" customHeight="1">
      <c r="Q203" s="308"/>
      <c r="R203" s="309"/>
      <c r="S203" s="310"/>
      <c r="T203" s="311"/>
      <c r="AA203" s="3"/>
      <c r="AB203" s="256"/>
      <c r="AC203" s="256"/>
      <c r="AD203" s="256"/>
      <c r="AE203" s="256"/>
      <c r="AF203" s="256"/>
      <c r="AG203" s="256"/>
      <c r="AH203" s="256"/>
      <c r="AI203" s="256"/>
      <c r="AJ203" s="256"/>
      <c r="AK203" s="256"/>
      <c r="AL203" s="256"/>
      <c r="AM203" s="254"/>
      <c r="AN203" s="254"/>
      <c r="AO203" s="254"/>
      <c r="AP203" s="254"/>
      <c r="AQ203" s="253"/>
      <c r="AS203" s="255"/>
      <c r="AT203" s="255"/>
      <c r="AX203" s="257"/>
    </row>
    <row r="204" spans="2:50" ht="14.1" customHeight="1">
      <c r="B204" s="7" t="s">
        <v>29</v>
      </c>
      <c r="C204" s="997" t="s">
        <v>30</v>
      </c>
      <c r="D204" s="997"/>
      <c r="E204" s="997" t="s">
        <v>31</v>
      </c>
      <c r="F204" s="997"/>
      <c r="G204" s="998" t="s">
        <v>32</v>
      </c>
      <c r="H204" s="999"/>
      <c r="I204" s="1004" t="s">
        <v>33</v>
      </c>
      <c r="J204" s="1005"/>
      <c r="K204" s="1006" t="s">
        <v>34</v>
      </c>
      <c r="L204" s="1006"/>
      <c r="M204" s="6"/>
      <c r="N204" s="1007" t="s">
        <v>35</v>
      </c>
      <c r="O204" s="1007"/>
      <c r="P204" s="6"/>
      <c r="Q204" s="1008" t="s">
        <v>36</v>
      </c>
      <c r="R204" s="1009"/>
      <c r="U204" s="1019" t="s">
        <v>37</v>
      </c>
      <c r="V204" s="1022" t="s">
        <v>38</v>
      </c>
      <c r="W204" s="1025" t="s">
        <v>39</v>
      </c>
      <c r="X204" s="983" t="s">
        <v>40</v>
      </c>
      <c r="AA204" s="3"/>
      <c r="AB204" s="256"/>
      <c r="AC204" s="256"/>
      <c r="AD204" s="256"/>
      <c r="AE204" s="256"/>
      <c r="AF204" s="256"/>
      <c r="AG204" s="256"/>
      <c r="AH204" s="256"/>
      <c r="AI204" s="256"/>
      <c r="AJ204" s="256"/>
      <c r="AK204" s="256"/>
      <c r="AL204" s="256"/>
      <c r="AM204" s="254"/>
      <c r="AN204" s="254"/>
      <c r="AO204" s="254"/>
      <c r="AP204" s="254"/>
      <c r="AQ204" s="253"/>
      <c r="AS204" s="255"/>
      <c r="AT204" s="255"/>
      <c r="AX204" s="257"/>
    </row>
    <row r="205" spans="2:50" ht="14.1" customHeight="1">
      <c r="B205" s="7" t="s">
        <v>41</v>
      </c>
      <c r="C205" s="997"/>
      <c r="D205" s="997"/>
      <c r="E205" s="997"/>
      <c r="F205" s="997"/>
      <c r="G205" s="1000"/>
      <c r="H205" s="1001"/>
      <c r="I205" s="1004"/>
      <c r="J205" s="1005"/>
      <c r="K205" s="1006"/>
      <c r="L205" s="1006"/>
      <c r="M205" s="6"/>
      <c r="N205" s="1007"/>
      <c r="O205" s="1007"/>
      <c r="P205" s="6"/>
      <c r="Q205" s="1010"/>
      <c r="R205" s="1011"/>
      <c r="U205" s="1020"/>
      <c r="V205" s="1023"/>
      <c r="W205" s="1026"/>
      <c r="X205" s="984"/>
      <c r="AA205" s="3"/>
      <c r="AB205" s="256"/>
      <c r="AC205" s="256"/>
      <c r="AD205" s="256"/>
      <c r="AE205" s="256"/>
      <c r="AF205" s="256"/>
      <c r="AG205" s="256"/>
      <c r="AH205" s="256"/>
      <c r="AI205" s="256"/>
      <c r="AJ205" s="256"/>
      <c r="AK205" s="256"/>
      <c r="AL205" s="256"/>
      <c r="AM205" s="254"/>
      <c r="AN205" s="254"/>
      <c r="AO205" s="254"/>
      <c r="AP205" s="254"/>
      <c r="AQ205" s="253"/>
      <c r="AS205" s="255"/>
      <c r="AT205" s="255"/>
      <c r="AX205" s="257"/>
    </row>
    <row r="206" spans="2:50" ht="14.1" customHeight="1">
      <c r="B206" s="7" t="s">
        <v>42</v>
      </c>
      <c r="C206" s="997"/>
      <c r="D206" s="997"/>
      <c r="E206" s="997"/>
      <c r="F206" s="997"/>
      <c r="G206" s="1000"/>
      <c r="H206" s="1001"/>
      <c r="I206" s="1004"/>
      <c r="J206" s="1005"/>
      <c r="K206" s="1006"/>
      <c r="L206" s="1006"/>
      <c r="M206" s="6"/>
      <c r="N206" s="1007"/>
      <c r="O206" s="1007"/>
      <c r="P206" s="6"/>
      <c r="Q206" s="1012"/>
      <c r="R206" s="1013"/>
      <c r="U206" s="1020"/>
      <c r="V206" s="1023"/>
      <c r="W206" s="1026"/>
      <c r="X206" s="984"/>
      <c r="AA206" s="3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254"/>
      <c r="AN206" s="254"/>
      <c r="AO206" s="254"/>
      <c r="AP206" s="254"/>
      <c r="AQ206" s="253"/>
      <c r="AS206" s="255"/>
      <c r="AT206" s="255"/>
      <c r="AV206" s="254"/>
      <c r="AX206" s="257"/>
    </row>
    <row r="207" spans="2:50" ht="26.25">
      <c r="B207" s="325" t="s">
        <v>44</v>
      </c>
      <c r="C207" s="986">
        <f>+E207*7</f>
        <v>198.33333333333331</v>
      </c>
      <c r="D207" s="986"/>
      <c r="E207" s="987">
        <f>+K207/30</f>
        <v>28.333333333333332</v>
      </c>
      <c r="F207" s="987"/>
      <c r="G207" s="1000"/>
      <c r="H207" s="1001"/>
      <c r="I207" s="988">
        <f>+E207/8</f>
        <v>3.5416666666666665</v>
      </c>
      <c r="J207" s="989"/>
      <c r="K207" s="990">
        <v>850</v>
      </c>
      <c r="L207" s="990"/>
      <c r="M207" s="326"/>
      <c r="N207" s="991">
        <f>+I207/6*7</f>
        <v>4.1319444444444446</v>
      </c>
      <c r="O207" s="992"/>
      <c r="P207" s="326"/>
      <c r="Q207" s="993">
        <f>+$I$71-I207</f>
        <v>1.6895833333333337</v>
      </c>
      <c r="R207" s="993"/>
      <c r="U207" s="1020"/>
      <c r="V207" s="1023"/>
      <c r="W207" s="1026"/>
      <c r="X207" s="984"/>
      <c r="AA207" s="3"/>
      <c r="AB207" s="3"/>
      <c r="AC207" s="3"/>
      <c r="AD207" s="3"/>
    </row>
    <row r="208" spans="2:50" ht="24.75">
      <c r="B208" s="332" t="s">
        <v>46</v>
      </c>
      <c r="C208" s="1014">
        <f>+E208*7</f>
        <v>267.75</v>
      </c>
      <c r="D208" s="1014"/>
      <c r="E208" s="1015">
        <f>+K208/30</f>
        <v>38.25</v>
      </c>
      <c r="F208" s="1015"/>
      <c r="G208" s="1002"/>
      <c r="H208" s="1003"/>
      <c r="I208" s="1016">
        <f>+E208/8</f>
        <v>4.78125</v>
      </c>
      <c r="J208" s="1017"/>
      <c r="K208" s="1018">
        <f>+K207*1.35</f>
        <v>1147.5</v>
      </c>
      <c r="L208" s="1018"/>
      <c r="M208" s="326"/>
      <c r="N208" s="991">
        <f>+I208/6*7</f>
        <v>5.578125</v>
      </c>
      <c r="O208" s="992"/>
      <c r="P208" s="326"/>
      <c r="Q208" s="993">
        <f>+$I$71-I208</f>
        <v>0.45000000000000018</v>
      </c>
      <c r="R208" s="993"/>
      <c r="U208" s="1020"/>
      <c r="V208" s="1023"/>
      <c r="W208" s="1026"/>
      <c r="X208" s="984"/>
      <c r="Z208" s="477"/>
      <c r="AA208" s="733"/>
      <c r="AB208" s="733"/>
      <c r="AC208" s="733"/>
      <c r="AD208" s="733"/>
      <c r="AE208" s="296"/>
      <c r="AF208" s="296"/>
      <c r="AG208" s="478"/>
      <c r="AH208" s="296"/>
      <c r="AI208" s="296"/>
      <c r="AJ208" s="296"/>
      <c r="AK208" s="296"/>
      <c r="AL208" s="296"/>
      <c r="AM208" s="296"/>
      <c r="AN208" s="296"/>
      <c r="AO208" s="296"/>
      <c r="AP208" s="296"/>
      <c r="AQ208" s="296"/>
      <c r="AR208" s="296"/>
      <c r="AS208" s="296"/>
      <c r="AT208" s="296"/>
    </row>
    <row r="209" spans="1:46" ht="2.1" customHeight="1">
      <c r="B209" s="334"/>
      <c r="C209" s="258"/>
      <c r="D209" s="258"/>
      <c r="G209" s="335"/>
      <c r="H209" s="335"/>
      <c r="I209" s="336"/>
      <c r="J209" s="336"/>
      <c r="K209" s="337"/>
      <c r="L209" s="337"/>
      <c r="M209" s="6"/>
      <c r="N209" s="338"/>
      <c r="O209" s="338"/>
      <c r="P209" s="6"/>
      <c r="Q209" s="339"/>
      <c r="R209" s="339"/>
      <c r="U209" s="1021"/>
      <c r="V209" s="1024"/>
      <c r="W209" s="1027"/>
      <c r="X209" s="985"/>
      <c r="Z209" s="477"/>
      <c r="AA209" s="733"/>
      <c r="AB209" s="733"/>
      <c r="AC209" s="733"/>
      <c r="AD209" s="733"/>
      <c r="AE209" s="296"/>
      <c r="AF209" s="296"/>
      <c r="AG209" s="478"/>
      <c r="AH209" s="296"/>
      <c r="AI209" s="296"/>
      <c r="AJ209" s="296"/>
      <c r="AK209" s="296"/>
      <c r="AL209" s="296"/>
      <c r="AM209" s="296"/>
      <c r="AN209" s="296"/>
      <c r="AO209" s="296"/>
      <c r="AP209" s="296"/>
      <c r="AQ209" s="296"/>
      <c r="AR209" s="296"/>
      <c r="AS209" s="296"/>
      <c r="AT209" s="296"/>
    </row>
    <row r="210" spans="1:46" ht="16.5">
      <c r="A210" s="1">
        <v>1</v>
      </c>
      <c r="B210" s="340" t="s">
        <v>47</v>
      </c>
      <c r="C210" s="1040">
        <f>6*3+7*33.8</f>
        <v>254.59999999999997</v>
      </c>
      <c r="D210" s="1041"/>
      <c r="E210" s="1030">
        <f t="shared" ref="E210:E217" si="85">+C210/7</f>
        <v>36.371428571428567</v>
      </c>
      <c r="F210" s="1031"/>
      <c r="G210" s="341"/>
      <c r="H210" s="341"/>
      <c r="I210" s="1032">
        <f t="shared" ref="I210:I217" si="86">+E210/8</f>
        <v>4.5464285714285708</v>
      </c>
      <c r="J210" s="1033"/>
      <c r="K210" s="1034">
        <f t="shared" ref="K210:K220" si="87">+E210*30</f>
        <v>1091.1428571428569</v>
      </c>
      <c r="L210" s="1034"/>
      <c r="M210" s="6"/>
      <c r="N210" s="1035">
        <f t="shared" ref="N210:N224" si="88">+I210/6*7</f>
        <v>5.3041666666666654</v>
      </c>
      <c r="O210" s="1035"/>
      <c r="P210" s="6"/>
      <c r="Q210" s="1036">
        <f t="shared" ref="Q210:Q224" si="89">+$I$71-I210</f>
        <v>0.68482142857142936</v>
      </c>
      <c r="R210" s="1037"/>
      <c r="U210" s="342">
        <f t="shared" ref="U210:U216" si="90">+AE171+U171+K171+AO150+AE150+U150+K150</f>
        <v>0</v>
      </c>
      <c r="V210" s="343">
        <v>48</v>
      </c>
      <c r="W210" s="344">
        <f t="shared" ref="W210:W224" si="91">+V210-U210</f>
        <v>48</v>
      </c>
      <c r="X210" s="345" t="e">
        <f t="shared" ref="X210:X216" si="92">+J150+T150+AD150+J171+T171+AD171</f>
        <v>#VALUE!</v>
      </c>
      <c r="Z210" s="477"/>
      <c r="AA210" s="733"/>
      <c r="AB210" s="733"/>
      <c r="AC210" s="733"/>
      <c r="AD210" s="733"/>
      <c r="AE210" s="296"/>
      <c r="AF210" s="296"/>
      <c r="AG210" s="478"/>
      <c r="AH210" s="296"/>
      <c r="AI210" s="296"/>
      <c r="AJ210" s="296"/>
      <c r="AK210" s="296"/>
      <c r="AL210" s="296"/>
      <c r="AM210" s="296"/>
      <c r="AN210" s="296"/>
      <c r="AO210" s="296"/>
      <c r="AP210" s="296"/>
      <c r="AQ210" s="296"/>
      <c r="AR210" s="296"/>
      <c r="AS210" s="296"/>
      <c r="AT210" s="296"/>
    </row>
    <row r="211" spans="1:46" ht="16.5">
      <c r="A211" s="1">
        <v>2</v>
      </c>
      <c r="B211" s="340" t="s">
        <v>48</v>
      </c>
      <c r="C211" s="1040">
        <f>6*3+7*38.5</f>
        <v>287.5</v>
      </c>
      <c r="D211" s="1041"/>
      <c r="E211" s="1030">
        <f t="shared" si="85"/>
        <v>41.071428571428569</v>
      </c>
      <c r="F211" s="1031"/>
      <c r="G211" s="341"/>
      <c r="H211" s="341"/>
      <c r="I211" s="1032">
        <f t="shared" si="86"/>
        <v>5.1339285714285712</v>
      </c>
      <c r="J211" s="1033"/>
      <c r="K211" s="1034">
        <f t="shared" si="87"/>
        <v>1232.1428571428571</v>
      </c>
      <c r="L211" s="1034"/>
      <c r="M211" s="6"/>
      <c r="N211" s="1035">
        <f t="shared" si="88"/>
        <v>5.989583333333333</v>
      </c>
      <c r="O211" s="1035"/>
      <c r="P211" s="6"/>
      <c r="Q211" s="1036">
        <f t="shared" si="89"/>
        <v>9.7321428571429003E-2</v>
      </c>
      <c r="R211" s="1037"/>
      <c r="U211" s="342">
        <f t="shared" si="90"/>
        <v>0</v>
      </c>
      <c r="V211" s="343">
        <v>48</v>
      </c>
      <c r="W211" s="344">
        <f t="shared" si="91"/>
        <v>48</v>
      </c>
      <c r="X211" s="345" t="e">
        <f t="shared" si="92"/>
        <v>#VALUE!</v>
      </c>
      <c r="Z211" s="477"/>
      <c r="AA211" s="733"/>
      <c r="AB211" s="733"/>
      <c r="AC211" s="733"/>
      <c r="AD211" s="733"/>
      <c r="AE211" s="296"/>
      <c r="AF211" s="296"/>
      <c r="AG211" s="478"/>
      <c r="AH211" s="296"/>
      <c r="AI211" s="296"/>
      <c r="AJ211" s="296"/>
      <c r="AK211" s="296"/>
      <c r="AL211" s="296"/>
      <c r="AM211" s="296"/>
      <c r="AN211" s="296"/>
      <c r="AO211" s="296"/>
      <c r="AP211" s="296"/>
      <c r="AQ211" s="296"/>
      <c r="AR211" s="296"/>
      <c r="AS211" s="296"/>
      <c r="AT211" s="296"/>
    </row>
    <row r="212" spans="1:46" ht="16.5">
      <c r="A212" s="1">
        <v>2</v>
      </c>
      <c r="B212" s="340" t="s">
        <v>61</v>
      </c>
      <c r="C212" s="1040">
        <f>6*3+7*38.5</f>
        <v>287.5</v>
      </c>
      <c r="D212" s="1041"/>
      <c r="E212" s="1030">
        <f t="shared" si="85"/>
        <v>41.071428571428569</v>
      </c>
      <c r="F212" s="1031"/>
      <c r="G212" s="341"/>
      <c r="H212" s="341"/>
      <c r="I212" s="1032">
        <f t="shared" si="86"/>
        <v>5.1339285714285712</v>
      </c>
      <c r="J212" s="1033"/>
      <c r="K212" s="1034">
        <f t="shared" si="87"/>
        <v>1232.1428571428571</v>
      </c>
      <c r="L212" s="1034"/>
      <c r="M212" s="6"/>
      <c r="N212" s="1035">
        <f t="shared" si="88"/>
        <v>5.989583333333333</v>
      </c>
      <c r="O212" s="1035"/>
      <c r="P212" s="6"/>
      <c r="Q212" s="1036">
        <f t="shared" si="89"/>
        <v>9.7321428571429003E-2</v>
      </c>
      <c r="R212" s="1037"/>
      <c r="U212" s="342">
        <f t="shared" si="90"/>
        <v>0</v>
      </c>
      <c r="V212" s="343">
        <v>48</v>
      </c>
      <c r="W212" s="344">
        <f t="shared" si="91"/>
        <v>48</v>
      </c>
      <c r="X212" s="345" t="e">
        <f t="shared" si="92"/>
        <v>#VALUE!</v>
      </c>
      <c r="Z212" s="477"/>
      <c r="AA212" s="733"/>
      <c r="AB212" s="733"/>
      <c r="AC212" s="733"/>
      <c r="AD212" s="733"/>
      <c r="AE212" s="296"/>
      <c r="AF212" s="296"/>
      <c r="AG212" s="478"/>
      <c r="AH212" s="296"/>
      <c r="AI212" s="296"/>
      <c r="AJ212" s="296"/>
      <c r="AK212" s="296"/>
      <c r="AL212" s="296"/>
      <c r="AM212" s="296"/>
      <c r="AN212" s="296"/>
      <c r="AO212" s="296"/>
      <c r="AP212" s="296"/>
      <c r="AQ212" s="296"/>
      <c r="AR212" s="296"/>
      <c r="AS212" s="296"/>
      <c r="AT212" s="296"/>
    </row>
    <row r="213" spans="1:46" ht="16.5">
      <c r="A213" s="1">
        <v>4</v>
      </c>
      <c r="B213" s="359" t="s">
        <v>50</v>
      </c>
      <c r="C213" s="1028">
        <f>6*3+7*30.762</f>
        <v>233.334</v>
      </c>
      <c r="D213" s="1029"/>
      <c r="E213" s="1030">
        <f t="shared" si="85"/>
        <v>33.33342857142857</v>
      </c>
      <c r="F213" s="1031"/>
      <c r="G213" s="341"/>
      <c r="H213" s="341"/>
      <c r="I213" s="1032">
        <f t="shared" si="86"/>
        <v>4.1666785714285712</v>
      </c>
      <c r="J213" s="1033"/>
      <c r="K213" s="1034">
        <f t="shared" si="87"/>
        <v>1000.0028571428571</v>
      </c>
      <c r="L213" s="1034"/>
      <c r="M213" s="6"/>
      <c r="N213" s="1035">
        <f t="shared" si="88"/>
        <v>4.8611250000000004</v>
      </c>
      <c r="O213" s="1035"/>
      <c r="P213" s="6"/>
      <c r="Q213" s="1036">
        <f t="shared" si="89"/>
        <v>1.0645714285714289</v>
      </c>
      <c r="R213" s="1037"/>
      <c r="S213" s="1082">
        <f>20*30/180*117</f>
        <v>390</v>
      </c>
      <c r="T213" s="1083"/>
      <c r="U213" s="342">
        <f t="shared" si="90"/>
        <v>0</v>
      </c>
      <c r="V213" s="343">
        <v>48</v>
      </c>
      <c r="W213" s="344">
        <f t="shared" si="91"/>
        <v>48</v>
      </c>
      <c r="X213" s="345">
        <f t="shared" si="92"/>
        <v>0</v>
      </c>
      <c r="Z213" s="1084" t="s">
        <v>99</v>
      </c>
      <c r="AA213" s="1084"/>
      <c r="AB213" s="1084"/>
      <c r="AC213" s="1084"/>
      <c r="AD213" s="477" t="s">
        <v>100</v>
      </c>
      <c r="AE213" s="733"/>
      <c r="AF213" s="296"/>
      <c r="AG213" s="732"/>
      <c r="AH213" s="732"/>
      <c r="AI213" s="296"/>
      <c r="AJ213" s="296"/>
      <c r="AK213" s="718"/>
      <c r="AL213" s="718"/>
      <c r="AM213" s="718"/>
      <c r="AN213" s="718"/>
      <c r="AO213" s="718"/>
      <c r="AP213" s="718"/>
      <c r="AQ213" s="718"/>
      <c r="AR213" s="718"/>
      <c r="AS213" s="296"/>
      <c r="AT213" s="296"/>
    </row>
    <row r="214" spans="1:46" ht="16.5">
      <c r="A214" s="1">
        <v>5</v>
      </c>
      <c r="B214" s="340" t="s">
        <v>52</v>
      </c>
      <c r="C214" s="1028">
        <f>6*3+7*38.5</f>
        <v>287.5</v>
      </c>
      <c r="D214" s="1029"/>
      <c r="E214" s="1030">
        <f t="shared" si="85"/>
        <v>41.071428571428569</v>
      </c>
      <c r="F214" s="1031"/>
      <c r="G214" s="341"/>
      <c r="H214" s="341"/>
      <c r="I214" s="1032">
        <f t="shared" si="86"/>
        <v>5.1339285714285712</v>
      </c>
      <c r="J214" s="1033"/>
      <c r="K214" s="1034">
        <f t="shared" si="87"/>
        <v>1232.1428571428571</v>
      </c>
      <c r="L214" s="1034"/>
      <c r="M214" s="6"/>
      <c r="N214" s="1035">
        <f t="shared" si="88"/>
        <v>5.989583333333333</v>
      </c>
      <c r="O214" s="1035"/>
      <c r="P214" s="6"/>
      <c r="Q214" s="1036">
        <f t="shared" si="89"/>
        <v>9.7321428571429003E-2</v>
      </c>
      <c r="R214" s="1037"/>
      <c r="U214" s="342">
        <f t="shared" si="90"/>
        <v>0</v>
      </c>
      <c r="V214" s="343">
        <v>48</v>
      </c>
      <c r="W214" s="344">
        <f t="shared" si="91"/>
        <v>48</v>
      </c>
      <c r="X214" s="345">
        <f t="shared" si="92"/>
        <v>0</v>
      </c>
      <c r="Z214" s="733"/>
      <c r="AA214" s="733"/>
      <c r="AB214" s="733"/>
      <c r="AC214" s="733"/>
      <c r="AD214" s="733"/>
      <c r="AE214" s="296"/>
      <c r="AF214" s="296"/>
      <c r="AG214" s="479"/>
      <c r="AH214" s="479"/>
      <c r="AI214" s="732"/>
      <c r="AJ214" s="732"/>
      <c r="AK214" s="732"/>
      <c r="AL214" s="732"/>
      <c r="AM214" s="732"/>
      <c r="AN214" s="732"/>
      <c r="AO214" s="732"/>
      <c r="AP214" s="732"/>
      <c r="AQ214" s="732"/>
      <c r="AR214" s="732"/>
      <c r="AS214" s="296"/>
      <c r="AT214" s="296"/>
    </row>
    <row r="215" spans="1:46" ht="16.5">
      <c r="A215" s="1">
        <v>7</v>
      </c>
      <c r="B215" s="365" t="s">
        <v>53</v>
      </c>
      <c r="C215" s="1042">
        <f>6*3+7*(38.5)</f>
        <v>287.5</v>
      </c>
      <c r="D215" s="1043"/>
      <c r="E215" s="1030">
        <f t="shared" si="85"/>
        <v>41.071428571428569</v>
      </c>
      <c r="F215" s="1031"/>
      <c r="G215" s="1046"/>
      <c r="H215" s="1047"/>
      <c r="I215" s="1032">
        <f t="shared" si="86"/>
        <v>5.1339285714285712</v>
      </c>
      <c r="J215" s="1033"/>
      <c r="K215" s="1034">
        <f t="shared" si="87"/>
        <v>1232.1428571428571</v>
      </c>
      <c r="L215" s="1034"/>
      <c r="M215" s="6"/>
      <c r="N215" s="1035">
        <f t="shared" si="88"/>
        <v>5.989583333333333</v>
      </c>
      <c r="O215" s="1035"/>
      <c r="P215" s="6"/>
      <c r="Q215" s="1036">
        <f t="shared" si="89"/>
        <v>9.7321428571429003E-2</v>
      </c>
      <c r="R215" s="1037"/>
      <c r="U215" s="342">
        <f t="shared" si="90"/>
        <v>0</v>
      </c>
      <c r="V215" s="343">
        <v>48</v>
      </c>
      <c r="W215" s="344">
        <f t="shared" si="91"/>
        <v>48</v>
      </c>
      <c r="X215" s="345">
        <f t="shared" si="92"/>
        <v>0</v>
      </c>
      <c r="Z215" s="372"/>
      <c r="AA215" s="372"/>
      <c r="AB215" s="1085" t="s">
        <v>101</v>
      </c>
      <c r="AC215" s="1086"/>
      <c r="AD215" s="1086"/>
      <c r="AE215" s="1086"/>
      <c r="AF215" s="1086"/>
      <c r="AG215" s="1086"/>
      <c r="AH215" s="1086"/>
      <c r="AI215" s="1086"/>
      <c r="AJ215" s="1086"/>
      <c r="AK215" s="1086"/>
      <c r="AL215" s="370"/>
      <c r="AM215" s="732"/>
      <c r="AN215" s="732"/>
      <c r="AO215" s="732"/>
      <c r="AP215" s="732"/>
      <c r="AQ215" s="732"/>
      <c r="AR215" s="732"/>
      <c r="AS215" s="296"/>
      <c r="AT215" s="296"/>
    </row>
    <row r="216" spans="1:46" s="371" customFormat="1" ht="16.5">
      <c r="A216" s="366">
        <v>6</v>
      </c>
      <c r="B216" s="365" t="s">
        <v>102</v>
      </c>
      <c r="C216" s="1042">
        <f>6*3+7*(27)</f>
        <v>207</v>
      </c>
      <c r="D216" s="1043"/>
      <c r="E216" s="1030">
        <f t="shared" si="85"/>
        <v>29.571428571428573</v>
      </c>
      <c r="F216" s="1031"/>
      <c r="G216" s="1087"/>
      <c r="H216" s="1088"/>
      <c r="I216" s="1032">
        <f t="shared" si="86"/>
        <v>3.6964285714285716</v>
      </c>
      <c r="J216" s="1033"/>
      <c r="K216" s="1034">
        <f t="shared" si="87"/>
        <v>887.14285714285722</v>
      </c>
      <c r="L216" s="1034"/>
      <c r="M216" s="6"/>
      <c r="N216" s="1035">
        <f t="shared" si="88"/>
        <v>4.3125</v>
      </c>
      <c r="O216" s="1035"/>
      <c r="P216" s="6"/>
      <c r="Q216" s="1036">
        <f t="shared" si="89"/>
        <v>1.5348214285714286</v>
      </c>
      <c r="R216" s="1037"/>
      <c r="S216" s="1082">
        <f>20*30/180*117</f>
        <v>390</v>
      </c>
      <c r="T216" s="1083"/>
      <c r="U216" s="342">
        <f t="shared" si="90"/>
        <v>0</v>
      </c>
      <c r="V216" s="343">
        <v>48</v>
      </c>
      <c r="W216" s="344">
        <f t="shared" si="91"/>
        <v>48</v>
      </c>
      <c r="X216" s="345">
        <f t="shared" si="92"/>
        <v>0</v>
      </c>
      <c r="Y216" s="367"/>
      <c r="Z216" s="733"/>
      <c r="AA216" s="733"/>
      <c r="AB216" s="733"/>
      <c r="AC216" s="733"/>
      <c r="AD216" s="733"/>
      <c r="AE216" s="296"/>
      <c r="AF216" s="296"/>
      <c r="AG216" s="732"/>
      <c r="AH216" s="732"/>
      <c r="AI216" s="370"/>
      <c r="AJ216" s="370"/>
      <c r="AK216" s="370"/>
      <c r="AL216" s="370"/>
      <c r="AM216" s="732"/>
      <c r="AN216" s="732"/>
      <c r="AO216" s="732"/>
      <c r="AP216" s="732"/>
      <c r="AQ216" s="732"/>
      <c r="AR216" s="732"/>
      <c r="AS216" s="296"/>
      <c r="AT216" s="296"/>
    </row>
    <row r="217" spans="1:46" s="371" customFormat="1" ht="16.5">
      <c r="A217" s="1">
        <v>8</v>
      </c>
      <c r="B217" s="365" t="s">
        <v>87</v>
      </c>
      <c r="C217" s="1042">
        <f>6*3+7*(25.7619)</f>
        <v>198.33330000000001</v>
      </c>
      <c r="D217" s="1043"/>
      <c r="E217" s="1030">
        <f t="shared" si="85"/>
        <v>28.333328571428574</v>
      </c>
      <c r="F217" s="1031"/>
      <c r="G217" s="1044">
        <v>25.761900000000001</v>
      </c>
      <c r="H217" s="1045"/>
      <c r="I217" s="1032">
        <f t="shared" si="86"/>
        <v>3.5416660714285717</v>
      </c>
      <c r="J217" s="1033"/>
      <c r="K217" s="1034">
        <f t="shared" si="87"/>
        <v>849.99985714285719</v>
      </c>
      <c r="L217" s="1034"/>
      <c r="M217" s="6"/>
      <c r="N217" s="1035">
        <f t="shared" si="88"/>
        <v>4.1319437500000005</v>
      </c>
      <c r="O217" s="1035"/>
      <c r="P217" s="6"/>
      <c r="Q217" s="1036">
        <f t="shared" si="89"/>
        <v>1.6895839285714285</v>
      </c>
      <c r="R217" s="1037"/>
      <c r="S217" s="3"/>
      <c r="T217" s="3"/>
      <c r="U217" s="342">
        <f>+AE179+U179+K179+AO158+AE158+U158+K158</f>
        <v>0</v>
      </c>
      <c r="V217" s="343">
        <v>48</v>
      </c>
      <c r="W217" s="344">
        <f t="shared" si="91"/>
        <v>48</v>
      </c>
      <c r="X217" s="345">
        <f>+J158+T158+AD158+J179+T179+AD179</f>
        <v>0</v>
      </c>
      <c r="Y217" s="3"/>
      <c r="Z217" s="733"/>
      <c r="AA217" s="733"/>
      <c r="AB217" s="733"/>
      <c r="AC217" s="733"/>
      <c r="AD217" s="733"/>
      <c r="AE217" s="296"/>
      <c r="AF217" s="296"/>
      <c r="AG217" s="732"/>
      <c r="AH217" s="732"/>
      <c r="AI217" s="370"/>
      <c r="AJ217" s="370"/>
      <c r="AK217" s="370"/>
      <c r="AL217" s="370"/>
      <c r="AM217" s="732"/>
      <c r="AN217" s="732"/>
      <c r="AO217" s="732"/>
      <c r="AP217" s="732"/>
      <c r="AQ217" s="732"/>
      <c r="AR217" s="732"/>
      <c r="AS217" s="296"/>
      <c r="AT217" s="296"/>
    </row>
    <row r="218" spans="1:46" ht="16.5">
      <c r="B218" s="365" t="s">
        <v>54</v>
      </c>
      <c r="C218" s="1042"/>
      <c r="D218" s="1043"/>
      <c r="E218" s="1030"/>
      <c r="F218" s="1031"/>
      <c r="G218" s="1087"/>
      <c r="H218" s="1088"/>
      <c r="I218" s="1032"/>
      <c r="J218" s="1033"/>
      <c r="K218" s="1034">
        <f t="shared" si="87"/>
        <v>0</v>
      </c>
      <c r="L218" s="1034"/>
      <c r="M218" s="6"/>
      <c r="N218" s="1035">
        <f t="shared" si="88"/>
        <v>0</v>
      </c>
      <c r="O218" s="1035"/>
      <c r="P218" s="6"/>
      <c r="Q218" s="1036">
        <f t="shared" si="89"/>
        <v>5.2312500000000002</v>
      </c>
      <c r="R218" s="1037"/>
      <c r="U218" s="342">
        <f>+AE183+U183+K183+AO162+AE162+U162+K162</f>
        <v>0</v>
      </c>
      <c r="V218" s="343">
        <v>48</v>
      </c>
      <c r="W218" s="344">
        <f t="shared" si="91"/>
        <v>48</v>
      </c>
      <c r="X218" s="345" t="e">
        <f>+#REF!+#REF!+#REF!+#REF!+#REF!+#REF!</f>
        <v>#REF!</v>
      </c>
      <c r="Z218" s="372"/>
      <c r="AA218" s="372"/>
      <c r="AB218" s="733"/>
      <c r="AC218" s="733"/>
      <c r="AD218" s="733"/>
      <c r="AE218" s="296"/>
      <c r="AF218" s="296"/>
      <c r="AG218" s="732"/>
      <c r="AH218" s="732"/>
      <c r="AI218" s="732"/>
      <c r="AJ218" s="732"/>
      <c r="AK218" s="732"/>
      <c r="AL218" s="732"/>
      <c r="AM218" s="732"/>
      <c r="AN218" s="732"/>
      <c r="AO218" s="732"/>
      <c r="AP218" s="732"/>
      <c r="AQ218" s="732"/>
      <c r="AR218" s="732"/>
      <c r="AS218" s="296"/>
      <c r="AT218" s="296"/>
    </row>
    <row r="219" spans="1:46" ht="16.5">
      <c r="B219" s="365" t="s">
        <v>54</v>
      </c>
      <c r="C219" s="1028">
        <f>6*3+7*35</f>
        <v>263</v>
      </c>
      <c r="D219" s="1029"/>
      <c r="E219" s="1030">
        <f t="shared" ref="E219:E224" si="93">+C219/7</f>
        <v>37.571428571428569</v>
      </c>
      <c r="F219" s="1031"/>
      <c r="G219" s="341"/>
      <c r="H219" s="341"/>
      <c r="I219" s="1032">
        <f>+E219/8</f>
        <v>4.6964285714285712</v>
      </c>
      <c r="J219" s="1033"/>
      <c r="K219" s="1034">
        <f t="shared" si="87"/>
        <v>1127.1428571428571</v>
      </c>
      <c r="L219" s="1034"/>
      <c r="M219" s="374"/>
      <c r="N219" s="1035">
        <f t="shared" si="88"/>
        <v>5.479166666666667</v>
      </c>
      <c r="O219" s="1035"/>
      <c r="P219" s="6"/>
      <c r="Q219" s="1036">
        <f t="shared" si="89"/>
        <v>0.534821428571429</v>
      </c>
      <c r="R219" s="1037"/>
      <c r="U219" s="342">
        <f>+AE180+U180+K180+AO159+AE159+U159+K159</f>
        <v>0</v>
      </c>
      <c r="V219" s="343">
        <v>48</v>
      </c>
      <c r="W219" s="344">
        <f t="shared" si="91"/>
        <v>48</v>
      </c>
      <c r="X219" s="345">
        <f>+J159+T159+AD159+J180+T180+AD180</f>
        <v>0</v>
      </c>
      <c r="Z219" s="1084">
        <f>+K219/E219</f>
        <v>30</v>
      </c>
      <c r="AA219" s="1084"/>
      <c r="AB219" s="1084"/>
      <c r="AC219" s="1084"/>
      <c r="AD219" s="733"/>
      <c r="AE219" s="296"/>
      <c r="AF219" s="296"/>
      <c r="AG219" s="479"/>
      <c r="AH219" s="479"/>
      <c r="AI219" s="732"/>
      <c r="AJ219" s="732"/>
      <c r="AK219" s="732"/>
      <c r="AL219" s="732"/>
      <c r="AM219" s="732"/>
      <c r="AN219" s="732"/>
      <c r="AO219" s="732"/>
      <c r="AP219" s="732"/>
      <c r="AQ219" s="732"/>
      <c r="AR219" s="732"/>
      <c r="AS219" s="296"/>
      <c r="AT219" s="296"/>
    </row>
    <row r="220" spans="1:46" ht="16.5">
      <c r="A220" s="1">
        <v>3</v>
      </c>
      <c r="B220" s="340" t="s">
        <v>66</v>
      </c>
      <c r="C220" s="1028">
        <f>6*3+7*34.0952</f>
        <v>256.66639999999995</v>
      </c>
      <c r="D220" s="1029"/>
      <c r="E220" s="1030">
        <f t="shared" si="93"/>
        <v>36.666628571428568</v>
      </c>
      <c r="F220" s="1031"/>
      <c r="G220" s="1044">
        <f>(C220-18)/7</f>
        <v>34.095199999999991</v>
      </c>
      <c r="H220" s="1045"/>
      <c r="I220" s="1032">
        <f>+E220/8</f>
        <v>4.583328571428571</v>
      </c>
      <c r="J220" s="1089"/>
      <c r="K220" s="1090">
        <f t="shared" si="87"/>
        <v>1099.9988571428571</v>
      </c>
      <c r="L220" s="1091"/>
      <c r="M220" s="374"/>
      <c r="N220" s="1050">
        <f t="shared" si="88"/>
        <v>5.3472166666666663</v>
      </c>
      <c r="O220" s="1051"/>
      <c r="P220" s="6"/>
      <c r="Q220" s="1036">
        <f t="shared" si="89"/>
        <v>0.6479214285714292</v>
      </c>
      <c r="R220" s="1037"/>
      <c r="U220" s="342">
        <f>+AE181+U181+K181+AO160+AE160+U160+K160</f>
        <v>0</v>
      </c>
      <c r="V220" s="343">
        <v>48</v>
      </c>
      <c r="W220" s="344">
        <f t="shared" si="91"/>
        <v>48</v>
      </c>
      <c r="X220" s="345">
        <f>+J160+T160+AD160+J181+T181+AD181</f>
        <v>0</v>
      </c>
      <c r="Z220" s="481"/>
      <c r="AA220" s="482"/>
      <c r="AB220" s="477"/>
      <c r="AC220" s="733"/>
      <c r="AD220" s="733"/>
      <c r="AE220" s="296"/>
      <c r="AF220" s="296"/>
      <c r="AG220" s="732"/>
      <c r="AH220" s="732"/>
      <c r="AI220" s="370"/>
      <c r="AJ220" s="370"/>
      <c r="AK220" s="370"/>
      <c r="AL220" s="370"/>
      <c r="AM220" s="732"/>
      <c r="AN220" s="732"/>
      <c r="AO220" s="732"/>
      <c r="AP220" s="732"/>
      <c r="AQ220" s="732"/>
      <c r="AR220" s="732"/>
      <c r="AS220" s="296"/>
      <c r="AT220" s="296"/>
    </row>
    <row r="221" spans="1:46" ht="16.5">
      <c r="B221" s="483" t="s">
        <v>55</v>
      </c>
      <c r="C221" s="1104">
        <f>+G221*6</f>
        <v>169.99979999999999</v>
      </c>
      <c r="D221" s="1105"/>
      <c r="E221" s="1106">
        <f t="shared" si="93"/>
        <v>24.285685714285712</v>
      </c>
      <c r="F221" s="1107"/>
      <c r="G221" s="1108">
        <f>28.3333</f>
        <v>28.333300000000001</v>
      </c>
      <c r="H221" s="1109"/>
      <c r="I221" s="1106">
        <f>+G221/8</f>
        <v>3.5416625000000002</v>
      </c>
      <c r="J221" s="1107"/>
      <c r="K221" s="1110">
        <f>+G221*30</f>
        <v>849.99900000000002</v>
      </c>
      <c r="L221" s="1111"/>
      <c r="M221" s="6"/>
      <c r="N221" s="1050">
        <f t="shared" si="88"/>
        <v>4.1319395833333337</v>
      </c>
      <c r="O221" s="1051"/>
      <c r="P221" s="6"/>
      <c r="Q221" s="1048">
        <f t="shared" si="89"/>
        <v>1.6895875</v>
      </c>
      <c r="R221" s="1049"/>
      <c r="U221" s="342">
        <f>+AE183+U183+K183+AO162+AE162+U162+K162</f>
        <v>0</v>
      </c>
      <c r="V221" s="343">
        <v>48</v>
      </c>
      <c r="W221" s="344">
        <f t="shared" si="91"/>
        <v>48</v>
      </c>
      <c r="X221" s="345">
        <f>+J161+T161+AD161+J182+T182+AD182</f>
        <v>0</v>
      </c>
      <c r="Z221" s="481"/>
      <c r="AA221" s="482"/>
      <c r="AB221" s="477"/>
      <c r="AC221" s="733"/>
      <c r="AD221" s="733"/>
      <c r="AE221" s="296"/>
      <c r="AF221" s="296"/>
      <c r="AG221" s="370"/>
      <c r="AH221" s="370"/>
      <c r="AI221" s="732"/>
      <c r="AJ221" s="732"/>
      <c r="AK221" s="732"/>
      <c r="AL221" s="732"/>
      <c r="AM221" s="732"/>
      <c r="AN221" s="732"/>
      <c r="AO221" s="732"/>
      <c r="AP221" s="732"/>
      <c r="AQ221" s="732"/>
      <c r="AR221" s="732"/>
      <c r="AS221" s="296"/>
      <c r="AT221" s="296"/>
    </row>
    <row r="222" spans="1:46" ht="16.5">
      <c r="B222" s="483" t="s">
        <v>103</v>
      </c>
      <c r="C222" s="1104">
        <f>+G222*6</f>
        <v>199.99979999999999</v>
      </c>
      <c r="D222" s="1105"/>
      <c r="E222" s="1106">
        <f t="shared" si="93"/>
        <v>28.571400000000001</v>
      </c>
      <c r="F222" s="1107"/>
      <c r="G222" s="1108">
        <v>33.333300000000001</v>
      </c>
      <c r="H222" s="1109"/>
      <c r="I222" s="1106">
        <f>+G222/8</f>
        <v>4.1666625000000002</v>
      </c>
      <c r="J222" s="1107"/>
      <c r="K222" s="1110">
        <f>+G222*30</f>
        <v>999.99900000000002</v>
      </c>
      <c r="L222" s="1111"/>
      <c r="M222" s="6"/>
      <c r="N222" s="1050">
        <f t="shared" si="88"/>
        <v>4.8611062500000006</v>
      </c>
      <c r="O222" s="1051"/>
      <c r="P222" s="6"/>
      <c r="Q222" s="1048">
        <f t="shared" si="89"/>
        <v>1.0645875</v>
      </c>
      <c r="R222" s="1049"/>
      <c r="U222" s="342">
        <f>+AE184+U184+K184+AO163+AE163+U163+K163</f>
        <v>0</v>
      </c>
      <c r="V222" s="343">
        <v>48</v>
      </c>
      <c r="W222" s="344">
        <f t="shared" si="91"/>
        <v>48</v>
      </c>
      <c r="X222" s="345">
        <f>+J162+T162+AD162+J183+T183+AD183</f>
        <v>0</v>
      </c>
      <c r="Z222" s="372"/>
      <c r="AA222" s="372"/>
      <c r="AB222" s="733"/>
      <c r="AC222" s="733"/>
      <c r="AD222" s="733">
        <v>200</v>
      </c>
      <c r="AE222" s="296"/>
      <c r="AF222" s="1092">
        <f>+AD222/6</f>
        <v>33.333333333333336</v>
      </c>
      <c r="AG222" s="1092"/>
      <c r="AH222" s="1092"/>
      <c r="AI222" s="732"/>
      <c r="AJ222" s="732"/>
      <c r="AK222" s="732"/>
      <c r="AL222" s="732"/>
      <c r="AM222" s="732"/>
      <c r="AN222" s="732"/>
      <c r="AO222" s="732"/>
      <c r="AP222" s="732"/>
      <c r="AQ222" s="732"/>
      <c r="AR222" s="732"/>
      <c r="AS222" s="296"/>
      <c r="AT222" s="296"/>
    </row>
    <row r="223" spans="1:46" ht="16.5">
      <c r="A223" s="366"/>
      <c r="B223" s="483" t="s">
        <v>104</v>
      </c>
      <c r="C223" s="1093">
        <v>100</v>
      </c>
      <c r="D223" s="1094"/>
      <c r="E223" s="1095">
        <f t="shared" si="93"/>
        <v>14.285714285714286</v>
      </c>
      <c r="F223" s="1096"/>
      <c r="G223" s="1097">
        <f>+C223/6</f>
        <v>16.666666666666668</v>
      </c>
      <c r="H223" s="1098"/>
      <c r="I223" s="1099">
        <f>+E223/8/6*7</f>
        <v>2.0833333333333335</v>
      </c>
      <c r="J223" s="1100"/>
      <c r="K223" s="1101">
        <f>+G223*30</f>
        <v>500.00000000000006</v>
      </c>
      <c r="L223" s="1101"/>
      <c r="M223" s="6"/>
      <c r="N223" s="1035">
        <f t="shared" si="88"/>
        <v>2.4305555555555558</v>
      </c>
      <c r="O223" s="1035"/>
      <c r="P223" s="6"/>
      <c r="Q223" s="1102">
        <f t="shared" si="89"/>
        <v>3.1479166666666667</v>
      </c>
      <c r="R223" s="1103"/>
      <c r="U223" s="342">
        <f>+AE183+U183+K183+AO162+AE162+U162+K162</f>
        <v>0</v>
      </c>
      <c r="V223" s="343">
        <v>48</v>
      </c>
      <c r="W223" s="344">
        <f t="shared" si="91"/>
        <v>48</v>
      </c>
      <c r="X223" s="345">
        <f>+J162+T162+AD162+J183+T183+AD183</f>
        <v>0</v>
      </c>
      <c r="Y223" s="367"/>
      <c r="Z223" s="733"/>
      <c r="AA223" s="733"/>
      <c r="AB223" s="733"/>
      <c r="AC223" s="733"/>
      <c r="AG223" s="732"/>
      <c r="AH223" s="732"/>
      <c r="AI223" s="296"/>
      <c r="AJ223" s="296"/>
      <c r="AK223" s="718"/>
      <c r="AL223" s="718"/>
      <c r="AM223" s="718"/>
      <c r="AN223" s="718"/>
      <c r="AO223" s="718"/>
      <c r="AP223" s="718"/>
      <c r="AQ223" s="718"/>
      <c r="AR223" s="718"/>
      <c r="AS223" s="296"/>
      <c r="AT223" s="296"/>
    </row>
    <row r="224" spans="1:46" ht="16.5">
      <c r="B224" s="375" t="s">
        <v>65</v>
      </c>
      <c r="C224" s="1054">
        <f>6*3+7*(G224)</f>
        <v>548.33330000000001</v>
      </c>
      <c r="D224" s="1055"/>
      <c r="E224" s="1056">
        <f t="shared" si="93"/>
        <v>78.333328571428567</v>
      </c>
      <c r="F224" s="1057"/>
      <c r="G224" s="1058">
        <v>75.761899999999997</v>
      </c>
      <c r="H224" s="1059"/>
      <c r="I224" s="1060">
        <f>+E224/8</f>
        <v>9.7916660714285708</v>
      </c>
      <c r="J224" s="1061"/>
      <c r="K224" s="1062">
        <f>+E224*30</f>
        <v>2349.9998571428569</v>
      </c>
      <c r="L224" s="1063"/>
      <c r="M224" s="6"/>
      <c r="N224" s="1035">
        <f t="shared" si="88"/>
        <v>11.423610416666666</v>
      </c>
      <c r="O224" s="1035"/>
      <c r="P224" s="6"/>
      <c r="Q224" s="1048">
        <f t="shared" si="89"/>
        <v>-4.5604160714285706</v>
      </c>
      <c r="R224" s="1049"/>
      <c r="U224" s="342">
        <f>+AE187+U187+K187+AO166+AE166+U166+K166</f>
        <v>0</v>
      </c>
      <c r="V224" s="343">
        <v>48</v>
      </c>
      <c r="W224" s="344">
        <f t="shared" si="91"/>
        <v>48</v>
      </c>
      <c r="X224" s="345">
        <f>+J166+T166+AD166+J187+T187+AD187</f>
        <v>0</v>
      </c>
      <c r="Z224" s="372"/>
      <c r="AA224" s="372"/>
      <c r="AB224" s="733"/>
      <c r="AC224" s="733"/>
      <c r="AD224" s="733"/>
      <c r="AE224" s="296"/>
      <c r="AF224" s="296"/>
      <c r="AG224" s="732"/>
      <c r="AH224" s="732"/>
      <c r="AI224" s="732"/>
      <c r="AJ224" s="732"/>
      <c r="AK224" s="732"/>
      <c r="AL224" s="732"/>
      <c r="AM224" s="732"/>
      <c r="AN224" s="732"/>
      <c r="AO224" s="732"/>
      <c r="AP224" s="732"/>
      <c r="AQ224" s="296"/>
      <c r="AR224" s="296"/>
      <c r="AS224" s="296"/>
      <c r="AT224" s="296"/>
    </row>
    <row r="225" spans="3:37">
      <c r="AE225" s="376"/>
      <c r="AF225" s="376"/>
      <c r="AJ225" s="376"/>
      <c r="AK225" s="376"/>
    </row>
    <row r="226" spans="3:37" ht="15.75" thickBot="1">
      <c r="AE226" s="376"/>
      <c r="AF226" s="376"/>
      <c r="AJ226" s="376"/>
      <c r="AK226" s="376"/>
    </row>
    <row r="227" spans="3:37">
      <c r="C227" s="484"/>
      <c r="D227" s="485"/>
      <c r="E227" s="486"/>
      <c r="F227" s="487"/>
      <c r="G227" s="485"/>
      <c r="H227" s="485"/>
      <c r="I227" s="487"/>
      <c r="J227" s="485"/>
      <c r="K227" s="488"/>
      <c r="L227" s="488"/>
      <c r="M227" s="485"/>
      <c r="N227" s="485"/>
      <c r="O227" s="485"/>
      <c r="P227" s="485"/>
      <c r="Q227" s="485"/>
      <c r="R227" s="485"/>
      <c r="S227" s="485"/>
      <c r="T227" s="485"/>
      <c r="U227" s="485"/>
      <c r="V227" s="485"/>
      <c r="W227" s="485"/>
      <c r="X227" s="485"/>
      <c r="Y227" s="485"/>
      <c r="Z227" s="485"/>
      <c r="AA227" s="489"/>
      <c r="AB227" s="489"/>
      <c r="AC227" s="489"/>
      <c r="AD227" s="489"/>
      <c r="AE227" s="490"/>
      <c r="AF227" s="490"/>
      <c r="AG227" s="491"/>
      <c r="AJ227" s="376"/>
      <c r="AK227" s="376"/>
    </row>
    <row r="228" spans="3:37" ht="18">
      <c r="C228" s="492"/>
      <c r="D228" s="333"/>
      <c r="E228" s="493" t="s">
        <v>105</v>
      </c>
      <c r="F228" s="411"/>
      <c r="G228" s="333"/>
      <c r="H228" s="333"/>
      <c r="I228" s="411"/>
      <c r="J228" s="333"/>
      <c r="K228" s="405"/>
      <c r="L228" s="405"/>
      <c r="M228" s="333"/>
      <c r="N228" s="333"/>
      <c r="O228" s="333"/>
      <c r="P228" s="333"/>
      <c r="Q228" s="333"/>
      <c r="R228" s="333"/>
      <c r="S228" s="333"/>
      <c r="T228" s="333"/>
      <c r="U228" s="333"/>
      <c r="V228" s="333"/>
      <c r="W228" s="333"/>
      <c r="X228" s="333"/>
      <c r="Y228" s="333"/>
      <c r="Z228" s="333"/>
      <c r="AA228" s="167"/>
      <c r="AB228" s="167"/>
      <c r="AC228" s="167"/>
      <c r="AD228" s="167"/>
      <c r="AE228" s="376"/>
      <c r="AF228" s="376"/>
      <c r="AG228" s="494"/>
      <c r="AJ228" s="376"/>
      <c r="AK228" s="376"/>
    </row>
    <row r="229" spans="3:37">
      <c r="C229" s="492"/>
      <c r="D229" s="333"/>
      <c r="E229" s="410"/>
      <c r="F229" s="411"/>
      <c r="G229" s="333"/>
      <c r="H229" s="333"/>
      <c r="I229" s="411"/>
      <c r="J229" s="333"/>
      <c r="K229" s="405"/>
      <c r="L229" s="405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1112" t="s">
        <v>106</v>
      </c>
      <c r="AB229" s="1113"/>
      <c r="AC229" s="1114"/>
      <c r="AD229" s="1115" t="s">
        <v>107</v>
      </c>
      <c r="AE229" s="1116"/>
      <c r="AF229" s="1117"/>
      <c r="AG229" s="494"/>
      <c r="AH229" s="167"/>
      <c r="AI229" s="167"/>
      <c r="AJ229" s="376"/>
      <c r="AK229" s="376"/>
    </row>
    <row r="230" spans="3:37" ht="16.5" thickBot="1">
      <c r="C230" s="492"/>
      <c r="D230" s="1118" t="s">
        <v>108</v>
      </c>
      <c r="E230" s="1118"/>
      <c r="F230" s="1118"/>
      <c r="G230" s="1118"/>
      <c r="H230" s="1118"/>
      <c r="I230" s="1119" t="s">
        <v>109</v>
      </c>
      <c r="J230" s="1119"/>
      <c r="K230" s="1119"/>
      <c r="L230" s="1120" t="s">
        <v>110</v>
      </c>
      <c r="M230" s="1120"/>
      <c r="N230" s="1120"/>
      <c r="O230" s="1120" t="s">
        <v>111</v>
      </c>
      <c r="P230" s="1120"/>
      <c r="Q230" s="1120"/>
      <c r="R230" s="1121" t="s">
        <v>112</v>
      </c>
      <c r="S230" s="1121"/>
      <c r="T230" s="1121"/>
      <c r="U230" s="1120" t="s">
        <v>113</v>
      </c>
      <c r="V230" s="1120"/>
      <c r="W230" s="1122"/>
      <c r="X230" s="1123" t="s">
        <v>114</v>
      </c>
      <c r="Y230" s="1124"/>
      <c r="Z230" s="1125"/>
      <c r="AA230" s="1126" t="s">
        <v>115</v>
      </c>
      <c r="AB230" s="1126"/>
      <c r="AC230" s="1127"/>
      <c r="AD230" s="1128" t="s">
        <v>116</v>
      </c>
      <c r="AE230" s="1129"/>
      <c r="AF230" s="1130"/>
      <c r="AG230" s="494"/>
      <c r="AH230" s="167"/>
      <c r="AI230" s="167"/>
      <c r="AJ230" s="376"/>
      <c r="AK230" s="376"/>
    </row>
    <row r="231" spans="3:37" ht="19.5" thickTop="1">
      <c r="C231" s="495">
        <v>1</v>
      </c>
      <c r="D231" s="1131" t="s">
        <v>50</v>
      </c>
      <c r="E231" s="1131"/>
      <c r="F231" s="1131"/>
      <c r="G231" s="1131"/>
      <c r="H231" s="1131"/>
      <c r="I231" s="1132">
        <v>30.762</v>
      </c>
      <c r="J231" s="1132"/>
      <c r="K231" s="1132"/>
      <c r="L231" s="1133">
        <v>1</v>
      </c>
      <c r="M231" s="1133"/>
      <c r="N231" s="1133"/>
      <c r="O231" s="1133">
        <v>2</v>
      </c>
      <c r="P231" s="1133"/>
      <c r="Q231" s="1133"/>
      <c r="R231" s="1134">
        <f t="shared" ref="R231:R238" si="94">+I231+L231+O231</f>
        <v>33.762</v>
      </c>
      <c r="S231" s="1134"/>
      <c r="T231" s="1134"/>
      <c r="U231" s="1135">
        <f t="shared" ref="U231:U238" si="95">+I231*7+(L231+O231)*6</f>
        <v>233.334</v>
      </c>
      <c r="V231" s="1135"/>
      <c r="W231" s="1136"/>
      <c r="X231" s="1137">
        <f t="shared" ref="X231:X238" si="96">+U231/7*30</f>
        <v>1000.0028571428571</v>
      </c>
      <c r="Y231" s="1138"/>
      <c r="Z231" s="1139"/>
      <c r="AA231" s="1140">
        <v>31</v>
      </c>
      <c r="AB231" s="1141"/>
      <c r="AC231" s="1141"/>
      <c r="AD231" s="1142">
        <f>+AA231-I231</f>
        <v>0.23799999999999955</v>
      </c>
      <c r="AE231" s="1142"/>
      <c r="AF231" s="1142"/>
      <c r="AG231" s="494"/>
      <c r="AH231" s="167"/>
      <c r="AI231" s="1143">
        <f>+AD231+I231</f>
        <v>31</v>
      </c>
      <c r="AJ231" s="1143"/>
      <c r="AK231" s="1143"/>
    </row>
    <row r="232" spans="3:37" ht="18.75">
      <c r="C232" s="495">
        <v>2</v>
      </c>
      <c r="D232" s="1144" t="s">
        <v>117</v>
      </c>
      <c r="E232" s="1144"/>
      <c r="F232" s="1144"/>
      <c r="G232" s="1144"/>
      <c r="H232" s="1144"/>
      <c r="I232" s="1145">
        <v>25.762</v>
      </c>
      <c r="J232" s="1145"/>
      <c r="K232" s="1145"/>
      <c r="L232" s="1146">
        <v>1</v>
      </c>
      <c r="M232" s="1146"/>
      <c r="N232" s="1146"/>
      <c r="O232" s="1146">
        <v>2</v>
      </c>
      <c r="P232" s="1146"/>
      <c r="Q232" s="1146"/>
      <c r="R232" s="1147">
        <f t="shared" si="94"/>
        <v>28.762</v>
      </c>
      <c r="S232" s="1147"/>
      <c r="T232" s="1147"/>
      <c r="U232" s="1148">
        <f t="shared" si="95"/>
        <v>198.334</v>
      </c>
      <c r="V232" s="1148"/>
      <c r="W232" s="1149"/>
      <c r="X232" s="1150">
        <f t="shared" si="96"/>
        <v>850.00285714285724</v>
      </c>
      <c r="Y232" s="1151"/>
      <c r="Z232" s="1152"/>
      <c r="AA232" s="1153">
        <v>31</v>
      </c>
      <c r="AB232" s="1154"/>
      <c r="AC232" s="1154"/>
      <c r="AD232" s="1143">
        <f>+AA232-I232</f>
        <v>5.2379999999999995</v>
      </c>
      <c r="AE232" s="1143"/>
      <c r="AF232" s="1143"/>
      <c r="AG232" s="494"/>
      <c r="AH232" s="167"/>
      <c r="AI232" s="1142">
        <f>+AD232+I232</f>
        <v>31</v>
      </c>
      <c r="AJ232" s="1142"/>
      <c r="AK232" s="1142"/>
    </row>
    <row r="233" spans="3:37" ht="18.75">
      <c r="C233" s="495">
        <v>3</v>
      </c>
      <c r="D233" s="1144" t="s">
        <v>118</v>
      </c>
      <c r="E233" s="1144"/>
      <c r="F233" s="1144"/>
      <c r="G233" s="1144"/>
      <c r="H233" s="1144"/>
      <c r="I233" s="1145">
        <v>38.5</v>
      </c>
      <c r="J233" s="1145"/>
      <c r="K233" s="1145"/>
      <c r="L233" s="1146">
        <v>1</v>
      </c>
      <c r="M233" s="1146"/>
      <c r="N233" s="1146"/>
      <c r="O233" s="1146">
        <v>2</v>
      </c>
      <c r="P233" s="1146"/>
      <c r="Q233" s="1146"/>
      <c r="R233" s="1147">
        <f t="shared" si="94"/>
        <v>41.5</v>
      </c>
      <c r="S233" s="1147"/>
      <c r="T233" s="1147"/>
      <c r="U233" s="1148">
        <f t="shared" si="95"/>
        <v>287.5</v>
      </c>
      <c r="V233" s="1148"/>
      <c r="W233" s="1149"/>
      <c r="X233" s="1150">
        <f t="shared" si="96"/>
        <v>1232.1428571428571</v>
      </c>
      <c r="Y233" s="1151"/>
      <c r="Z233" s="1152"/>
      <c r="AA233" s="1153">
        <v>31</v>
      </c>
      <c r="AB233" s="1154"/>
      <c r="AC233" s="1154"/>
      <c r="AD233" s="1143">
        <v>0</v>
      </c>
      <c r="AE233" s="1143"/>
      <c r="AF233" s="1143"/>
      <c r="AG233" s="494"/>
      <c r="AH233" s="167"/>
      <c r="AI233" s="167"/>
      <c r="AJ233" s="376"/>
      <c r="AK233" s="376"/>
    </row>
    <row r="234" spans="3:37" ht="18.75">
      <c r="C234" s="495">
        <v>4</v>
      </c>
      <c r="D234" s="1144" t="s">
        <v>119</v>
      </c>
      <c r="E234" s="1144"/>
      <c r="F234" s="1144"/>
      <c r="G234" s="1144"/>
      <c r="H234" s="1144"/>
      <c r="I234" s="1145">
        <v>38.5</v>
      </c>
      <c r="J234" s="1145"/>
      <c r="K234" s="1145"/>
      <c r="L234" s="1146">
        <v>1</v>
      </c>
      <c r="M234" s="1146"/>
      <c r="N234" s="1146"/>
      <c r="O234" s="1146">
        <v>2</v>
      </c>
      <c r="P234" s="1146"/>
      <c r="Q234" s="1146"/>
      <c r="R234" s="1147">
        <f t="shared" si="94"/>
        <v>41.5</v>
      </c>
      <c r="S234" s="1147"/>
      <c r="T234" s="1147"/>
      <c r="U234" s="1148">
        <f t="shared" si="95"/>
        <v>287.5</v>
      </c>
      <c r="V234" s="1148"/>
      <c r="W234" s="1149"/>
      <c r="X234" s="1150">
        <f t="shared" si="96"/>
        <v>1232.1428571428571</v>
      </c>
      <c r="Y234" s="1151"/>
      <c r="Z234" s="1152"/>
      <c r="AA234" s="1153">
        <v>31</v>
      </c>
      <c r="AB234" s="1154"/>
      <c r="AC234" s="1154"/>
      <c r="AD234" s="1143">
        <v>0</v>
      </c>
      <c r="AE234" s="1143"/>
      <c r="AF234" s="1143"/>
      <c r="AG234" s="494"/>
      <c r="AH234" s="167"/>
      <c r="AI234" s="167"/>
      <c r="AJ234" s="376"/>
      <c r="AK234" s="376"/>
    </row>
    <row r="235" spans="3:37" ht="18.75">
      <c r="C235" s="495">
        <v>5</v>
      </c>
      <c r="D235" s="1144" t="s">
        <v>120</v>
      </c>
      <c r="E235" s="1144"/>
      <c r="F235" s="1144"/>
      <c r="G235" s="1144"/>
      <c r="H235" s="1144"/>
      <c r="I235" s="1145">
        <v>38.5</v>
      </c>
      <c r="J235" s="1145"/>
      <c r="K235" s="1145"/>
      <c r="L235" s="1146">
        <v>1</v>
      </c>
      <c r="M235" s="1146"/>
      <c r="N235" s="1146"/>
      <c r="O235" s="1146">
        <v>2</v>
      </c>
      <c r="P235" s="1146"/>
      <c r="Q235" s="1146"/>
      <c r="R235" s="1147">
        <f t="shared" si="94"/>
        <v>41.5</v>
      </c>
      <c r="S235" s="1147"/>
      <c r="T235" s="1147"/>
      <c r="U235" s="1148">
        <f t="shared" si="95"/>
        <v>287.5</v>
      </c>
      <c r="V235" s="1148"/>
      <c r="W235" s="1149"/>
      <c r="X235" s="1150">
        <f t="shared" si="96"/>
        <v>1232.1428571428571</v>
      </c>
      <c r="Y235" s="1151"/>
      <c r="Z235" s="1152"/>
      <c r="AA235" s="1153">
        <v>31</v>
      </c>
      <c r="AB235" s="1154"/>
      <c r="AC235" s="1154"/>
      <c r="AD235" s="1143">
        <v>0</v>
      </c>
      <c r="AE235" s="1143"/>
      <c r="AF235" s="1143"/>
      <c r="AG235" s="494"/>
      <c r="AH235" s="167"/>
      <c r="AI235" s="167"/>
      <c r="AJ235" s="376"/>
      <c r="AK235" s="376"/>
    </row>
    <row r="236" spans="3:37" ht="18.75">
      <c r="C236" s="495">
        <v>6</v>
      </c>
      <c r="D236" s="1144" t="s">
        <v>121</v>
      </c>
      <c r="E236" s="1144"/>
      <c r="F236" s="1144"/>
      <c r="G236" s="1144"/>
      <c r="H236" s="1144"/>
      <c r="I236" s="1145">
        <v>33.799999999999997</v>
      </c>
      <c r="J236" s="1145"/>
      <c r="K236" s="1145"/>
      <c r="L236" s="1146">
        <v>1</v>
      </c>
      <c r="M236" s="1146"/>
      <c r="N236" s="1146"/>
      <c r="O236" s="1146">
        <v>2</v>
      </c>
      <c r="P236" s="1146"/>
      <c r="Q236" s="1146"/>
      <c r="R236" s="1147">
        <f t="shared" si="94"/>
        <v>36.799999999999997</v>
      </c>
      <c r="S236" s="1147"/>
      <c r="T236" s="1147"/>
      <c r="U236" s="1148">
        <f t="shared" si="95"/>
        <v>254.59999999999997</v>
      </c>
      <c r="V236" s="1148"/>
      <c r="W236" s="1149"/>
      <c r="X236" s="1150">
        <f t="shared" si="96"/>
        <v>1091.1428571428569</v>
      </c>
      <c r="Y236" s="1151"/>
      <c r="Z236" s="1152"/>
      <c r="AA236" s="1153">
        <v>31</v>
      </c>
      <c r="AB236" s="1154"/>
      <c r="AC236" s="1154"/>
      <c r="AD236" s="1143">
        <v>0</v>
      </c>
      <c r="AE236" s="1143"/>
      <c r="AF236" s="1143"/>
      <c r="AG236" s="494"/>
      <c r="AH236" s="167"/>
      <c r="AI236" s="167"/>
      <c r="AJ236" s="376"/>
      <c r="AK236" s="376"/>
    </row>
    <row r="237" spans="3:37" ht="18.75">
      <c r="C237" s="495">
        <v>7</v>
      </c>
      <c r="D237" s="1144" t="s">
        <v>122</v>
      </c>
      <c r="E237" s="1144"/>
      <c r="F237" s="1144"/>
      <c r="G237" s="1144"/>
      <c r="H237" s="1144"/>
      <c r="I237" s="1145">
        <v>38.5</v>
      </c>
      <c r="J237" s="1145"/>
      <c r="K237" s="1145"/>
      <c r="L237" s="1146">
        <v>1</v>
      </c>
      <c r="M237" s="1146"/>
      <c r="N237" s="1146"/>
      <c r="O237" s="1146">
        <v>2</v>
      </c>
      <c r="P237" s="1146"/>
      <c r="Q237" s="1146"/>
      <c r="R237" s="1147">
        <f t="shared" si="94"/>
        <v>41.5</v>
      </c>
      <c r="S237" s="1147"/>
      <c r="T237" s="1147"/>
      <c r="U237" s="1148">
        <f t="shared" si="95"/>
        <v>287.5</v>
      </c>
      <c r="V237" s="1148"/>
      <c r="W237" s="1149"/>
      <c r="X237" s="1150">
        <f t="shared" si="96"/>
        <v>1232.1428571428571</v>
      </c>
      <c r="Y237" s="1151"/>
      <c r="Z237" s="1152"/>
      <c r="AA237" s="1153">
        <v>31</v>
      </c>
      <c r="AB237" s="1154"/>
      <c r="AC237" s="1154"/>
      <c r="AD237" s="1143">
        <v>0</v>
      </c>
      <c r="AE237" s="1143"/>
      <c r="AF237" s="1143"/>
      <c r="AG237" s="494"/>
      <c r="AH237" s="167"/>
      <c r="AI237" s="167"/>
      <c r="AJ237" s="376"/>
      <c r="AK237" s="376"/>
    </row>
    <row r="238" spans="3:37" ht="18.75">
      <c r="C238" s="495">
        <v>8</v>
      </c>
      <c r="D238" s="1144" t="s">
        <v>66</v>
      </c>
      <c r="E238" s="1144"/>
      <c r="F238" s="1144"/>
      <c r="G238" s="1144"/>
      <c r="H238" s="1144"/>
      <c r="I238" s="1145">
        <v>34.095199999999998</v>
      </c>
      <c r="J238" s="1145"/>
      <c r="K238" s="1145"/>
      <c r="L238" s="1146">
        <v>1</v>
      </c>
      <c r="M238" s="1146"/>
      <c r="N238" s="1146"/>
      <c r="O238" s="1146">
        <v>2</v>
      </c>
      <c r="P238" s="1146"/>
      <c r="Q238" s="1146"/>
      <c r="R238" s="1147">
        <f t="shared" si="94"/>
        <v>37.095199999999998</v>
      </c>
      <c r="S238" s="1147"/>
      <c r="T238" s="1147"/>
      <c r="U238" s="1148">
        <f t="shared" si="95"/>
        <v>256.66639999999995</v>
      </c>
      <c r="V238" s="1148"/>
      <c r="W238" s="1149"/>
      <c r="X238" s="1150">
        <f t="shared" si="96"/>
        <v>1099.9988571428571</v>
      </c>
      <c r="Y238" s="1151"/>
      <c r="Z238" s="1152"/>
      <c r="AA238" s="1153">
        <v>31</v>
      </c>
      <c r="AB238" s="1154"/>
      <c r="AC238" s="1154"/>
      <c r="AD238" s="1143">
        <v>0</v>
      </c>
      <c r="AE238" s="1143"/>
      <c r="AF238" s="1143"/>
      <c r="AG238" s="494"/>
      <c r="AH238" s="167"/>
      <c r="AI238" s="167"/>
      <c r="AJ238" s="376"/>
      <c r="AK238" s="376"/>
    </row>
    <row r="239" spans="3:37" ht="17.25">
      <c r="C239" s="495">
        <v>9</v>
      </c>
      <c r="D239" s="1144"/>
      <c r="E239" s="1144"/>
      <c r="F239" s="1144"/>
      <c r="G239" s="1144"/>
      <c r="H239" s="1144"/>
      <c r="I239" s="1165"/>
      <c r="J239" s="1165"/>
      <c r="K239" s="1165"/>
      <c r="L239" s="1146"/>
      <c r="M239" s="1146"/>
      <c r="N239" s="1146"/>
      <c r="O239" s="1146"/>
      <c r="P239" s="1146"/>
      <c r="Q239" s="1146"/>
      <c r="R239" s="1160"/>
      <c r="S239" s="1160"/>
      <c r="T239" s="1160"/>
      <c r="U239" s="1148"/>
      <c r="V239" s="1148"/>
      <c r="W239" s="1149"/>
      <c r="X239" s="1150"/>
      <c r="Y239" s="1151"/>
      <c r="Z239" s="1152"/>
      <c r="AA239" s="1153"/>
      <c r="AB239" s="1154"/>
      <c r="AC239" s="1154"/>
      <c r="AD239" s="1143"/>
      <c r="AE239" s="1143"/>
      <c r="AF239" s="1143"/>
      <c r="AG239" s="494"/>
      <c r="AH239" s="167"/>
      <c r="AI239" s="167"/>
      <c r="AJ239" s="376"/>
      <c r="AK239" s="376"/>
    </row>
    <row r="240" spans="3:37" ht="17.25">
      <c r="C240" s="492"/>
      <c r="D240" s="409"/>
      <c r="E240" s="410"/>
      <c r="F240" s="411"/>
      <c r="G240" s="333"/>
      <c r="H240" s="333"/>
      <c r="I240" s="411"/>
      <c r="J240" s="333"/>
      <c r="K240" s="405"/>
      <c r="L240" s="405"/>
      <c r="M240" s="333"/>
      <c r="N240" s="333"/>
      <c r="O240" s="333"/>
      <c r="P240" s="333"/>
      <c r="Q240" s="333"/>
      <c r="R240" s="333"/>
      <c r="S240" s="1160" t="s">
        <v>23</v>
      </c>
      <c r="T240" s="1160"/>
      <c r="U240" s="1160"/>
      <c r="V240" s="333"/>
      <c r="W240" s="333"/>
      <c r="X240" s="1161">
        <f>SUM(X231:Z239)</f>
        <v>8969.718857142856</v>
      </c>
      <c r="Y240" s="1162"/>
      <c r="Z240" s="1163"/>
      <c r="AA240" s="496"/>
      <c r="AB240" s="496"/>
      <c r="AC240" s="496"/>
      <c r="AD240" s="1164">
        <f>SUM(AD231:AF239)</f>
        <v>5.4759999999999991</v>
      </c>
      <c r="AE240" s="1164"/>
      <c r="AF240" s="1164"/>
      <c r="AG240" s="494"/>
      <c r="AH240" s="167"/>
      <c r="AI240" s="167"/>
      <c r="AJ240" s="376"/>
      <c r="AK240" s="376"/>
    </row>
    <row r="241" spans="2:46" ht="15.75" thickBot="1">
      <c r="C241" s="492"/>
      <c r="D241" s="1155">
        <v>28.333300000000001</v>
      </c>
      <c r="E241" s="1155"/>
      <c r="F241" s="1155"/>
      <c r="G241" s="497" t="s">
        <v>123</v>
      </c>
      <c r="H241" s="333"/>
      <c r="I241" s="411"/>
      <c r="J241" s="333"/>
      <c r="K241" s="405"/>
      <c r="L241" s="405"/>
      <c r="M241" s="333"/>
      <c r="N241" s="333"/>
      <c r="O241" s="333"/>
      <c r="P241" s="333"/>
      <c r="Q241" s="333"/>
      <c r="R241" s="333"/>
      <c r="S241" s="333"/>
      <c r="T241" s="333"/>
      <c r="U241" s="333"/>
      <c r="V241" s="333"/>
      <c r="W241" s="333"/>
      <c r="X241" s="333"/>
      <c r="Y241" s="333"/>
      <c r="Z241" s="333"/>
      <c r="AA241" s="167"/>
      <c r="AB241" s="167"/>
      <c r="AC241" s="167"/>
      <c r="AD241" s="167"/>
      <c r="AE241" s="376"/>
      <c r="AF241" s="376"/>
      <c r="AG241" s="494"/>
      <c r="AH241" s="167"/>
      <c r="AI241" s="167"/>
      <c r="AJ241" s="376"/>
      <c r="AK241" s="376"/>
    </row>
    <row r="242" spans="2:46" ht="15.75" thickBot="1">
      <c r="C242" s="492"/>
      <c r="D242" s="1155">
        <v>31</v>
      </c>
      <c r="E242" s="1155"/>
      <c r="F242" s="1155"/>
      <c r="G242" s="497" t="s">
        <v>124</v>
      </c>
      <c r="H242" s="333"/>
      <c r="I242" s="411"/>
      <c r="J242" s="333"/>
      <c r="K242" s="405"/>
      <c r="L242" s="405"/>
      <c r="M242" s="1155">
        <f>+D242-D241</f>
        <v>2.6666999999999987</v>
      </c>
      <c r="N242" s="1155"/>
      <c r="O242" s="1155"/>
      <c r="P242" s="498" t="s">
        <v>125</v>
      </c>
      <c r="Q242" s="333"/>
      <c r="R242" s="333"/>
      <c r="S242" s="333"/>
      <c r="T242" s="499"/>
      <c r="U242" s="333"/>
      <c r="V242" s="333"/>
      <c r="W242" s="499" t="s">
        <v>126</v>
      </c>
      <c r="X242" s="333"/>
      <c r="Y242" s="333"/>
      <c r="Z242" s="333"/>
      <c r="AA242" s="167"/>
      <c r="AB242" s="167"/>
      <c r="AC242" s="167"/>
      <c r="AD242" s="1156">
        <f>+AD240</f>
        <v>5.4759999999999991</v>
      </c>
      <c r="AE242" s="1157"/>
      <c r="AF242" s="1158"/>
      <c r="AG242" s="494"/>
      <c r="AH242" s="167"/>
      <c r="AI242" s="167"/>
      <c r="AJ242" s="376"/>
      <c r="AK242" s="376"/>
    </row>
    <row r="243" spans="2:46" ht="15.75" thickBot="1">
      <c r="C243" s="500"/>
      <c r="D243" s="501"/>
      <c r="E243" s="502"/>
      <c r="F243" s="503"/>
      <c r="G243" s="501"/>
      <c r="H243" s="501"/>
      <c r="I243" s="503"/>
      <c r="J243" s="501"/>
      <c r="K243" s="504"/>
      <c r="L243" s="504"/>
      <c r="M243" s="501"/>
      <c r="N243" s="501"/>
      <c r="O243" s="501"/>
      <c r="P243" s="501"/>
      <c r="Q243" s="501"/>
      <c r="R243" s="501"/>
      <c r="S243" s="501"/>
      <c r="T243" s="501"/>
      <c r="U243" s="501"/>
      <c r="V243" s="501"/>
      <c r="W243" s="501"/>
      <c r="X243" s="501"/>
      <c r="Y243" s="501"/>
      <c r="Z243" s="501"/>
      <c r="AA243" s="505"/>
      <c r="AB243" s="505"/>
      <c r="AC243" s="505"/>
      <c r="AD243" s="506"/>
      <c r="AE243" s="506"/>
      <c r="AF243" s="506"/>
      <c r="AG243" s="507"/>
      <c r="AH243" s="167"/>
      <c r="AI243" s="167"/>
      <c r="AJ243" s="376"/>
      <c r="AK243" s="376"/>
    </row>
    <row r="244" spans="2:46">
      <c r="AG244" s="267"/>
      <c r="AH244" s="267"/>
      <c r="AI244" s="267"/>
      <c r="AJ244" s="267"/>
      <c r="AK244" s="267"/>
      <c r="AL244" s="267"/>
      <c r="AM244" s="267"/>
      <c r="AN244" s="267"/>
      <c r="AO244" s="267"/>
    </row>
    <row r="245" spans="2:46" ht="15.75" thickBot="1">
      <c r="AG245" s="267"/>
      <c r="AH245" s="267"/>
      <c r="AI245" s="267"/>
      <c r="AJ245" s="267"/>
      <c r="AK245" s="267"/>
      <c r="AL245" s="267"/>
      <c r="AM245" s="267"/>
      <c r="AN245" s="267"/>
      <c r="AO245" s="267"/>
    </row>
    <row r="246" spans="2:46" ht="16.5" thickBot="1">
      <c r="B246" s="508">
        <v>850</v>
      </c>
      <c r="C246" s="509" t="s">
        <v>67</v>
      </c>
      <c r="D246" s="510"/>
      <c r="E246" s="511" t="s">
        <v>49</v>
      </c>
      <c r="F246" s="512"/>
      <c r="G246" s="510"/>
      <c r="H246" s="510"/>
      <c r="I246" s="512"/>
      <c r="J246" s="510"/>
      <c r="K246" s="512"/>
      <c r="L246" s="512"/>
      <c r="M246" s="510"/>
      <c r="N246" s="510"/>
      <c r="O246" s="510"/>
      <c r="P246" s="510"/>
      <c r="Q246" s="510"/>
      <c r="R246" s="510"/>
      <c r="S246" s="510"/>
      <c r="T246" s="510"/>
      <c r="U246" s="510"/>
      <c r="V246" s="510"/>
      <c r="W246" s="510"/>
      <c r="X246" s="510"/>
      <c r="Y246" s="510"/>
      <c r="Z246" s="510"/>
      <c r="AA246" s="513"/>
      <c r="AB246" s="513"/>
      <c r="AC246" s="514"/>
      <c r="AD246" s="296"/>
      <c r="AE246" s="296"/>
      <c r="AF246" s="296"/>
      <c r="AG246" s="296"/>
      <c r="AH246" s="296"/>
      <c r="AI246" s="296"/>
      <c r="AJ246" s="296"/>
      <c r="AK246" s="296"/>
      <c r="AL246" s="296"/>
      <c r="AM246" s="296"/>
      <c r="AN246" s="296"/>
      <c r="AO246" s="296"/>
      <c r="AP246" s="267"/>
      <c r="AQ246" s="267"/>
      <c r="AR246" s="267"/>
      <c r="AS246" s="267"/>
      <c r="AT246" s="267"/>
    </row>
    <row r="247" spans="2:46" ht="15.75">
      <c r="B247" s="515">
        <f>+B246/30*7</f>
        <v>198.33333333333331</v>
      </c>
      <c r="C247" s="516" t="s">
        <v>68</v>
      </c>
      <c r="D247" s="517"/>
      <c r="E247" s="518"/>
      <c r="F247" s="519"/>
      <c r="G247" s="518"/>
      <c r="H247" s="518"/>
      <c r="I247" s="519"/>
      <c r="J247" s="518"/>
      <c r="K247" s="519"/>
      <c r="L247" s="519"/>
      <c r="M247" s="518"/>
      <c r="N247" s="518"/>
      <c r="O247" s="1159" t="s">
        <v>127</v>
      </c>
      <c r="P247" s="1159"/>
      <c r="Q247" s="1159"/>
      <c r="R247" s="1159"/>
      <c r="S247" s="1159"/>
      <c r="T247" s="1159"/>
      <c r="U247" s="1159"/>
      <c r="V247" s="1159"/>
      <c r="W247" s="1159"/>
      <c r="X247" s="1159"/>
      <c r="Y247" s="1159"/>
      <c r="Z247" s="1159"/>
      <c r="AA247" s="520"/>
      <c r="AB247" s="520"/>
      <c r="AC247" s="521"/>
      <c r="AD247" s="296"/>
      <c r="AE247" s="732"/>
      <c r="AF247" s="732"/>
      <c r="AG247" s="296"/>
      <c r="AH247" s="296"/>
      <c r="AI247" s="296"/>
      <c r="AJ247" s="732"/>
      <c r="AK247" s="732"/>
      <c r="AL247" s="296"/>
      <c r="AM247" s="296"/>
      <c r="AN247" s="296"/>
      <c r="AO247" s="296"/>
      <c r="AP247" s="267"/>
      <c r="AQ247" s="267"/>
      <c r="AR247" s="267"/>
      <c r="AS247" s="267"/>
      <c r="AT247" s="267"/>
    </row>
    <row r="248" spans="2:46">
      <c r="B248" s="515">
        <f>+B247-18</f>
        <v>180.33333333333331</v>
      </c>
      <c r="C248" s="516" t="s">
        <v>70</v>
      </c>
      <c r="D248" s="518"/>
      <c r="E248" s="518"/>
      <c r="F248" s="519"/>
      <c r="G248" s="518"/>
      <c r="H248" s="518"/>
      <c r="I248" s="519"/>
      <c r="J248" s="518"/>
      <c r="K248" s="519"/>
      <c r="L248" s="519"/>
      <c r="M248" s="518"/>
      <c r="N248" s="518"/>
      <c r="O248" s="1159">
        <f>+B246</f>
        <v>850</v>
      </c>
      <c r="P248" s="1159"/>
      <c r="Q248" s="1159" t="s">
        <v>71</v>
      </c>
      <c r="R248" s="1159"/>
      <c r="S248" s="1159"/>
      <c r="T248" s="1159"/>
      <c r="U248" s="1159"/>
      <c r="V248" s="1159"/>
      <c r="W248" s="1159"/>
      <c r="X248" s="1159"/>
      <c r="Y248" s="1159"/>
      <c r="Z248" s="1159"/>
      <c r="AA248" s="520" t="s">
        <v>72</v>
      </c>
      <c r="AB248" s="520"/>
      <c r="AC248" s="521"/>
      <c r="AD248" s="296"/>
      <c r="AE248" s="732"/>
      <c r="AF248" s="732"/>
      <c r="AG248" s="296"/>
      <c r="AH248" s="296"/>
      <c r="AI248" s="296"/>
      <c r="AJ248" s="732"/>
      <c r="AK248" s="732"/>
      <c r="AL248" s="296"/>
      <c r="AM248" s="296"/>
      <c r="AN248" s="296"/>
      <c r="AO248" s="296"/>
      <c r="AP248" s="267"/>
      <c r="AQ248" s="267"/>
      <c r="AR248" s="267"/>
      <c r="AS248" s="267"/>
      <c r="AT248" s="267"/>
    </row>
    <row r="249" spans="2:46">
      <c r="B249" s="522">
        <f>+B248/7</f>
        <v>25.761904761904759</v>
      </c>
      <c r="C249" s="523" t="s">
        <v>73</v>
      </c>
      <c r="D249" s="524"/>
      <c r="E249" s="518"/>
      <c r="F249" s="519"/>
      <c r="G249" s="518"/>
      <c r="H249" s="518"/>
      <c r="I249" s="519"/>
      <c r="J249" s="518"/>
      <c r="K249" s="519"/>
      <c r="L249" s="519"/>
      <c r="M249" s="518"/>
      <c r="N249" s="518"/>
      <c r="O249" s="1159">
        <f>+O248/30*7</f>
        <v>198.33333333333331</v>
      </c>
      <c r="P249" s="1159"/>
      <c r="Q249" s="1159" t="s">
        <v>74</v>
      </c>
      <c r="R249" s="1159"/>
      <c r="S249" s="1159"/>
      <c r="T249" s="1159"/>
      <c r="U249" s="1159"/>
      <c r="V249" s="1159"/>
      <c r="W249" s="1159"/>
      <c r="X249" s="1159"/>
      <c r="Y249" s="1159"/>
      <c r="Z249" s="1159"/>
      <c r="AA249" s="1166">
        <f>+O249*0.87</f>
        <v>172.54999999999998</v>
      </c>
      <c r="AB249" s="1166"/>
      <c r="AC249" s="521"/>
      <c r="AD249" s="296"/>
      <c r="AE249" s="384"/>
      <c r="AF249" s="384"/>
      <c r="AG249" s="296"/>
      <c r="AH249" s="296"/>
      <c r="AI249" s="296"/>
      <c r="AJ249" s="384"/>
      <c r="AK249" s="384"/>
      <c r="AL249" s="385"/>
      <c r="AM249" s="385"/>
      <c r="AN249" s="385"/>
      <c r="AO249" s="385"/>
      <c r="AP249" s="386"/>
      <c r="AQ249" s="386"/>
      <c r="AR249" s="267"/>
      <c r="AS249" s="267"/>
      <c r="AT249" s="267"/>
    </row>
    <row r="250" spans="2:46">
      <c r="B250" s="525"/>
      <c r="C250" s="518"/>
      <c r="D250" s="518"/>
      <c r="E250" s="518"/>
      <c r="F250" s="519"/>
      <c r="G250" s="518"/>
      <c r="H250" s="518"/>
      <c r="I250" s="519"/>
      <c r="J250" s="518"/>
      <c r="K250" s="519"/>
      <c r="L250" s="519"/>
      <c r="M250" s="518"/>
      <c r="N250" s="518"/>
      <c r="O250" s="1159">
        <f>+O249/7</f>
        <v>28.333333333333332</v>
      </c>
      <c r="P250" s="1159"/>
      <c r="Q250" s="1159" t="s">
        <v>75</v>
      </c>
      <c r="R250" s="1159"/>
      <c r="S250" s="1159"/>
      <c r="T250" s="1159"/>
      <c r="U250" s="1159"/>
      <c r="V250" s="1159"/>
      <c r="W250" s="1159"/>
      <c r="X250" s="1159"/>
      <c r="Y250" s="1159"/>
      <c r="Z250" s="1159"/>
      <c r="AA250" s="520"/>
      <c r="AB250" s="520"/>
      <c r="AC250" s="521"/>
      <c r="AD250" s="296"/>
      <c r="AE250" s="732"/>
      <c r="AF250" s="732"/>
      <c r="AG250" s="296"/>
      <c r="AH250" s="296"/>
      <c r="AI250" s="296"/>
      <c r="AJ250" s="732"/>
      <c r="AK250" s="732"/>
      <c r="AL250" s="387"/>
      <c r="AM250" s="387"/>
      <c r="AN250" s="385"/>
      <c r="AO250" s="385"/>
      <c r="AP250" s="386"/>
      <c r="AQ250" s="386"/>
      <c r="AR250" s="267"/>
      <c r="AS250" s="267"/>
      <c r="AT250" s="267"/>
    </row>
    <row r="251" spans="2:46" ht="15.75">
      <c r="B251" s="526">
        <f>+B249</f>
        <v>25.761904761904759</v>
      </c>
      <c r="C251" s="527" t="s">
        <v>128</v>
      </c>
      <c r="D251" s="528"/>
      <c r="E251" s="528"/>
      <c r="F251" s="528"/>
      <c r="G251" s="518"/>
      <c r="H251" s="518"/>
      <c r="I251" s="519"/>
      <c r="J251" s="518"/>
      <c r="K251" s="519"/>
      <c r="L251" s="519"/>
      <c r="M251" s="518"/>
      <c r="N251" s="518"/>
      <c r="O251" s="1159">
        <f>(O249-18)/7</f>
        <v>25.761904761904759</v>
      </c>
      <c r="P251" s="1159"/>
      <c r="Q251" s="1159" t="s">
        <v>77</v>
      </c>
      <c r="R251" s="1159"/>
      <c r="S251" s="1159"/>
      <c r="T251" s="1159"/>
      <c r="U251" s="1159"/>
      <c r="V251" s="1159"/>
      <c r="W251" s="1159"/>
      <c r="X251" s="1159"/>
      <c r="Y251" s="1159"/>
      <c r="Z251" s="1159"/>
      <c r="AA251" s="520"/>
      <c r="AB251" s="520"/>
      <c r="AC251" s="521"/>
      <c r="AD251" s="296"/>
      <c r="AE251" s="391"/>
      <c r="AF251" s="391"/>
      <c r="AG251" s="392"/>
      <c r="AH251" s="392"/>
      <c r="AI251" s="392"/>
      <c r="AJ251" s="391"/>
      <c r="AK251" s="391"/>
      <c r="AL251" s="385"/>
      <c r="AM251" s="385"/>
      <c r="AN251" s="385"/>
      <c r="AO251" s="385"/>
      <c r="AP251" s="386"/>
      <c r="AQ251" s="386"/>
      <c r="AR251" s="267"/>
      <c r="AS251" s="267"/>
      <c r="AT251" s="267"/>
    </row>
    <row r="252" spans="2:46">
      <c r="B252" s="515">
        <v>3</v>
      </c>
      <c r="C252" s="516" t="s">
        <v>78</v>
      </c>
      <c r="D252" s="518"/>
      <c r="E252" s="518"/>
      <c r="F252" s="519"/>
      <c r="G252" s="518"/>
      <c r="H252" s="518"/>
      <c r="I252" s="519"/>
      <c r="J252" s="518"/>
      <c r="K252" s="519"/>
      <c r="L252" s="519"/>
      <c r="M252" s="518"/>
      <c r="N252" s="518"/>
      <c r="O252" s="1159">
        <v>3</v>
      </c>
      <c r="P252" s="1159"/>
      <c r="Q252" s="1159" t="s">
        <v>79</v>
      </c>
      <c r="R252" s="1159"/>
      <c r="S252" s="1159"/>
      <c r="T252" s="1159"/>
      <c r="U252" s="1159"/>
      <c r="V252" s="1159"/>
      <c r="W252" s="1159"/>
      <c r="X252" s="1159"/>
      <c r="Y252" s="1159"/>
      <c r="Z252" s="1159"/>
      <c r="AA252" s="520"/>
      <c r="AB252" s="520"/>
      <c r="AC252" s="521"/>
      <c r="AD252" s="296"/>
      <c r="AE252" s="296"/>
      <c r="AF252" s="996">
        <v>993814365</v>
      </c>
      <c r="AG252" s="996"/>
      <c r="AH252" s="996"/>
      <c r="AI252" s="996"/>
      <c r="AJ252" s="996"/>
      <c r="AK252" s="296"/>
      <c r="AL252" s="385"/>
      <c r="AM252" s="385"/>
      <c r="AN252" s="385"/>
      <c r="AO252" s="385"/>
      <c r="AP252" s="386"/>
      <c r="AQ252" s="386"/>
      <c r="AR252" s="267"/>
      <c r="AS252" s="267"/>
      <c r="AT252" s="267"/>
    </row>
    <row r="253" spans="2:46">
      <c r="B253" s="522">
        <f>+B252+B251</f>
        <v>28.761904761904759</v>
      </c>
      <c r="C253" s="523" t="s">
        <v>80</v>
      </c>
      <c r="D253" s="529"/>
      <c r="E253" s="529"/>
      <c r="F253" s="530"/>
      <c r="G253" s="529"/>
      <c r="H253" s="529"/>
      <c r="I253" s="530"/>
      <c r="J253" s="529"/>
      <c r="K253" s="530"/>
      <c r="L253" s="530"/>
      <c r="M253" s="524"/>
      <c r="N253" s="518"/>
      <c r="O253" s="1159">
        <f>+O252+O251</f>
        <v>28.761904761904759</v>
      </c>
      <c r="P253" s="1159"/>
      <c r="Q253" s="518"/>
      <c r="R253" s="518"/>
      <c r="S253" s="518"/>
      <c r="T253" s="518"/>
      <c r="U253" s="518"/>
      <c r="V253" s="518"/>
      <c r="W253" s="518"/>
      <c r="X253" s="518"/>
      <c r="Y253" s="518"/>
      <c r="Z253" s="518"/>
      <c r="AA253" s="520"/>
      <c r="AB253" s="520"/>
      <c r="AC253" s="521"/>
      <c r="AD253" s="296"/>
      <c r="AE253" s="732"/>
      <c r="AF253" s="732"/>
      <c r="AG253" s="296"/>
      <c r="AH253" s="296"/>
      <c r="AI253" s="296"/>
      <c r="AJ253" s="732"/>
      <c r="AK253" s="732"/>
      <c r="AL253" s="387"/>
      <c r="AM253" s="387"/>
      <c r="AN253" s="387"/>
      <c r="AO253" s="387"/>
      <c r="AP253" s="397"/>
      <c r="AQ253" s="267"/>
      <c r="AR253" s="267"/>
      <c r="AS253" s="267"/>
      <c r="AT253" s="267"/>
    </row>
    <row r="254" spans="2:46">
      <c r="B254" s="515"/>
      <c r="C254" s="518"/>
      <c r="D254" s="518"/>
      <c r="E254" s="518"/>
      <c r="F254" s="519"/>
      <c r="G254" s="518"/>
      <c r="H254" s="518"/>
      <c r="I254" s="519"/>
      <c r="J254" s="518"/>
      <c r="K254" s="519"/>
      <c r="L254" s="519"/>
      <c r="M254" s="518"/>
      <c r="N254" s="518"/>
      <c r="O254" s="518"/>
      <c r="P254" s="518"/>
      <c r="Q254" s="518"/>
      <c r="R254" s="518"/>
      <c r="S254" s="518"/>
      <c r="T254" s="518"/>
      <c r="U254" s="518"/>
      <c r="V254" s="518"/>
      <c r="W254" s="518"/>
      <c r="X254" s="518"/>
      <c r="Y254" s="518"/>
      <c r="Z254" s="518"/>
      <c r="AA254" s="520"/>
      <c r="AB254" s="520"/>
      <c r="AC254" s="521"/>
      <c r="AD254" s="296"/>
      <c r="AE254" s="398"/>
      <c r="AF254" s="398"/>
      <c r="AG254" s="398"/>
      <c r="AH254" s="296"/>
      <c r="AI254" s="296"/>
      <c r="AJ254" s="398"/>
      <c r="AK254" s="398"/>
      <c r="AL254" s="385"/>
      <c r="AM254" s="296"/>
      <c r="AN254" s="296"/>
      <c r="AO254" s="296"/>
      <c r="AP254" s="267"/>
      <c r="AQ254" s="267"/>
      <c r="AR254" s="267"/>
      <c r="AS254" s="267"/>
      <c r="AT254" s="267"/>
    </row>
    <row r="255" spans="2:46">
      <c r="B255" s="515">
        <f>+B253*6</f>
        <v>172.57142857142856</v>
      </c>
      <c r="C255" s="516" t="s">
        <v>81</v>
      </c>
      <c r="D255" s="518"/>
      <c r="E255" s="518"/>
      <c r="F255" s="519"/>
      <c r="G255" s="518"/>
      <c r="H255" s="518"/>
      <c r="I255" s="519"/>
      <c r="J255" s="518"/>
      <c r="K255" s="519"/>
      <c r="L255" s="519"/>
      <c r="M255" s="518"/>
      <c r="N255" s="518"/>
      <c r="O255" s="1159" t="s">
        <v>129</v>
      </c>
      <c r="P255" s="1159"/>
      <c r="Q255" s="1159"/>
      <c r="R255" s="1159"/>
      <c r="S255" s="1159"/>
      <c r="T255" s="1159"/>
      <c r="U255" s="1159"/>
      <c r="V255" s="1159"/>
      <c r="W255" s="1159"/>
      <c r="X255" s="1159"/>
      <c r="Y255" s="1159"/>
      <c r="Z255" s="1159"/>
      <c r="AA255" s="520"/>
      <c r="AB255" s="520"/>
      <c r="AC255" s="521"/>
      <c r="AD255" s="296"/>
      <c r="AE255" s="296"/>
      <c r="AF255" s="296"/>
      <c r="AG255" s="296"/>
      <c r="AH255" s="296"/>
      <c r="AI255" s="385"/>
      <c r="AJ255" s="385"/>
      <c r="AK255" s="387"/>
      <c r="AL255" s="718"/>
      <c r="AM255" s="732"/>
      <c r="AN255" s="718"/>
      <c r="AO255" s="296"/>
      <c r="AP255" s="267"/>
      <c r="AQ255" s="267"/>
      <c r="AR255" s="267"/>
      <c r="AS255" s="267"/>
      <c r="AT255" s="267"/>
    </row>
    <row r="256" spans="2:46">
      <c r="B256" s="531">
        <f>+B251</f>
        <v>25.761904761904759</v>
      </c>
      <c r="C256" s="532" t="s">
        <v>83</v>
      </c>
      <c r="D256" s="533"/>
      <c r="E256" s="533"/>
      <c r="F256" s="534"/>
      <c r="G256" s="533"/>
      <c r="H256" s="533"/>
      <c r="I256" s="534"/>
      <c r="J256" s="533"/>
      <c r="K256" s="534"/>
      <c r="L256" s="519"/>
      <c r="M256" s="518"/>
      <c r="N256" s="518"/>
      <c r="O256" s="1159">
        <f>+O248*1.1</f>
        <v>935.00000000000011</v>
      </c>
      <c r="P256" s="1159"/>
      <c r="Q256" s="1159" t="s">
        <v>71</v>
      </c>
      <c r="R256" s="1159"/>
      <c r="S256" s="1159"/>
      <c r="T256" s="1159"/>
      <c r="U256" s="1159"/>
      <c r="V256" s="1159"/>
      <c r="W256" s="1159"/>
      <c r="X256" s="1159"/>
      <c r="Y256" s="1159"/>
      <c r="Z256" s="1159"/>
      <c r="AA256" s="520" t="s">
        <v>84</v>
      </c>
      <c r="AB256" s="520"/>
      <c r="AC256" s="521"/>
      <c r="AG256" s="267"/>
      <c r="AH256" s="267"/>
      <c r="AI256" s="386"/>
      <c r="AJ256" s="386"/>
      <c r="AK256" s="386"/>
      <c r="AL256" s="267"/>
      <c r="AM256" s="267"/>
      <c r="AN256" s="267"/>
      <c r="AO256" s="267"/>
    </row>
    <row r="257" spans="2:41">
      <c r="B257" s="522">
        <f>+B256+B255</f>
        <v>198.33333333333331</v>
      </c>
      <c r="C257" s="523" t="s">
        <v>85</v>
      </c>
      <c r="D257" s="529"/>
      <c r="E257" s="529"/>
      <c r="F257" s="530"/>
      <c r="G257" s="529"/>
      <c r="H257" s="529"/>
      <c r="I257" s="530"/>
      <c r="J257" s="529"/>
      <c r="K257" s="535"/>
      <c r="L257" s="519"/>
      <c r="M257" s="518"/>
      <c r="N257" s="518"/>
      <c r="O257" s="1159">
        <f>+O256/30*7</f>
        <v>218.16666666666669</v>
      </c>
      <c r="P257" s="1159"/>
      <c r="Q257" s="1159" t="s">
        <v>74</v>
      </c>
      <c r="R257" s="1159"/>
      <c r="S257" s="1159"/>
      <c r="T257" s="1159"/>
      <c r="U257" s="1159"/>
      <c r="V257" s="1159"/>
      <c r="W257" s="1159"/>
      <c r="X257" s="1159"/>
      <c r="Y257" s="1159"/>
      <c r="Z257" s="1159"/>
      <c r="AA257" s="1166">
        <f>+O257*0.87</f>
        <v>189.80500000000001</v>
      </c>
      <c r="AB257" s="1166"/>
      <c r="AC257" s="521"/>
      <c r="AG257" s="267"/>
      <c r="AH257" s="267"/>
      <c r="AI257" s="386"/>
      <c r="AJ257" s="386"/>
      <c r="AK257" s="407"/>
      <c r="AL257" s="267"/>
      <c r="AM257" s="267"/>
      <c r="AN257" s="267"/>
      <c r="AO257" s="267"/>
    </row>
    <row r="258" spans="2:41">
      <c r="B258" s="515"/>
      <c r="C258" s="516"/>
      <c r="D258" s="518"/>
      <c r="E258" s="518"/>
      <c r="F258" s="519"/>
      <c r="G258" s="518"/>
      <c r="H258" s="518"/>
      <c r="I258" s="519"/>
      <c r="J258" s="518"/>
      <c r="K258" s="519"/>
      <c r="L258" s="519"/>
      <c r="M258" s="518"/>
      <c r="N258" s="518"/>
      <c r="O258" s="1159">
        <f>+O257/7</f>
        <v>31.166666666666668</v>
      </c>
      <c r="P258" s="1159"/>
      <c r="Q258" s="1159" t="s">
        <v>75</v>
      </c>
      <c r="R258" s="1159"/>
      <c r="S258" s="1159"/>
      <c r="T258" s="1159"/>
      <c r="U258" s="1159"/>
      <c r="V258" s="1159"/>
      <c r="W258" s="1159"/>
      <c r="X258" s="1159"/>
      <c r="Y258" s="1159"/>
      <c r="Z258" s="1159"/>
      <c r="AA258" s="520"/>
      <c r="AB258" s="520"/>
      <c r="AC258" s="521"/>
      <c r="AG258" s="267"/>
      <c r="AH258" s="267"/>
      <c r="AI258" s="412"/>
      <c r="AJ258" s="413"/>
      <c r="AK258" s="407"/>
      <c r="AL258" s="267"/>
      <c r="AM258" s="267"/>
      <c r="AN258" s="267"/>
      <c r="AO258" s="267"/>
    </row>
    <row r="259" spans="2:41">
      <c r="B259" s="536">
        <f>+B257/7</f>
        <v>28.333333333333332</v>
      </c>
      <c r="C259" s="537" t="s">
        <v>86</v>
      </c>
      <c r="D259" s="518"/>
      <c r="E259" s="518"/>
      <c r="F259" s="519"/>
      <c r="G259" s="518"/>
      <c r="H259" s="518"/>
      <c r="I259" s="519"/>
      <c r="J259" s="518"/>
      <c r="K259" s="519"/>
      <c r="L259" s="519"/>
      <c r="M259" s="518"/>
      <c r="N259" s="518"/>
      <c r="O259" s="1159">
        <f>(O257-18)/7</f>
        <v>28.595238095238098</v>
      </c>
      <c r="P259" s="1159"/>
      <c r="Q259" s="1159" t="s">
        <v>77</v>
      </c>
      <c r="R259" s="1159"/>
      <c r="S259" s="1159"/>
      <c r="T259" s="1159"/>
      <c r="U259" s="1159"/>
      <c r="V259" s="1159"/>
      <c r="W259" s="1159"/>
      <c r="X259" s="1159"/>
      <c r="Y259" s="1159"/>
      <c r="Z259" s="1159"/>
      <c r="AA259" s="520"/>
      <c r="AB259" s="520"/>
      <c r="AC259" s="521"/>
      <c r="AG259" s="267"/>
      <c r="AH259" s="267"/>
      <c r="AI259" s="267"/>
      <c r="AJ259" s="267"/>
      <c r="AK259" s="407"/>
      <c r="AL259" s="267"/>
      <c r="AM259" s="267"/>
      <c r="AN259" s="267"/>
      <c r="AO259" s="267"/>
    </row>
    <row r="260" spans="2:41">
      <c r="B260" s="515"/>
      <c r="C260" s="516"/>
      <c r="D260" s="518"/>
      <c r="E260" s="518"/>
      <c r="F260" s="519"/>
      <c r="G260" s="518"/>
      <c r="H260" s="518"/>
      <c r="I260" s="519"/>
      <c r="J260" s="518"/>
      <c r="K260" s="519"/>
      <c r="L260" s="519"/>
      <c r="M260" s="518"/>
      <c r="N260" s="518"/>
      <c r="O260" s="1159">
        <v>3</v>
      </c>
      <c r="P260" s="1159"/>
      <c r="Q260" s="1159" t="s">
        <v>79</v>
      </c>
      <c r="R260" s="1159"/>
      <c r="S260" s="1159"/>
      <c r="T260" s="1159"/>
      <c r="U260" s="1159"/>
      <c r="V260" s="1159"/>
      <c r="W260" s="1159"/>
      <c r="X260" s="1159"/>
      <c r="Y260" s="1159"/>
      <c r="Z260" s="1159"/>
      <c r="AA260" s="520"/>
      <c r="AB260" s="520"/>
      <c r="AC260" s="521"/>
      <c r="AG260" s="267"/>
      <c r="AH260" s="267"/>
      <c r="AI260" s="267"/>
      <c r="AJ260" s="267"/>
      <c r="AK260" s="267"/>
      <c r="AL260" s="267"/>
      <c r="AM260" s="267"/>
      <c r="AN260" s="267"/>
      <c r="AO260" s="267"/>
    </row>
    <row r="261" spans="2:41" ht="15.75" thickBot="1">
      <c r="B261" s="538"/>
      <c r="C261" s="539"/>
      <c r="D261" s="540"/>
      <c r="E261" s="540"/>
      <c r="F261" s="541"/>
      <c r="G261" s="540"/>
      <c r="H261" s="540"/>
      <c r="I261" s="541"/>
      <c r="J261" s="540"/>
      <c r="K261" s="541"/>
      <c r="L261" s="541"/>
      <c r="M261" s="540"/>
      <c r="N261" s="540"/>
      <c r="O261" s="1167">
        <f>+O260+O259</f>
        <v>31.595238095238098</v>
      </c>
      <c r="P261" s="1167"/>
      <c r="Q261" s="540"/>
      <c r="R261" s="540"/>
      <c r="S261" s="540"/>
      <c r="T261" s="540"/>
      <c r="U261" s="540"/>
      <c r="V261" s="540"/>
      <c r="W261" s="540"/>
      <c r="X261" s="540"/>
      <c r="Y261" s="540"/>
      <c r="Z261" s="540"/>
      <c r="AA261" s="542"/>
      <c r="AB261" s="542"/>
      <c r="AC261" s="543"/>
      <c r="AG261" s="267"/>
      <c r="AH261" s="267"/>
      <c r="AI261" s="267"/>
      <c r="AJ261" s="267"/>
      <c r="AK261" s="267"/>
      <c r="AL261" s="267"/>
      <c r="AM261" s="267"/>
      <c r="AN261" s="267"/>
      <c r="AO261" s="267"/>
    </row>
    <row r="262" spans="2:41">
      <c r="B262" s="168"/>
      <c r="AG262" s="267"/>
      <c r="AH262" s="267"/>
      <c r="AI262" s="267"/>
      <c r="AJ262" s="267"/>
      <c r="AK262" s="267"/>
      <c r="AL262" s="267"/>
      <c r="AM262" s="267"/>
      <c r="AN262" s="267"/>
      <c r="AO262" s="267"/>
    </row>
    <row r="263" spans="2:41" ht="15.75" thickBot="1">
      <c r="AE263" s="376"/>
      <c r="AF263" s="376"/>
      <c r="AJ263" s="376"/>
      <c r="AK263" s="376"/>
    </row>
    <row r="264" spans="2:41">
      <c r="C264" s="484"/>
      <c r="D264" s="485"/>
      <c r="E264" s="486"/>
      <c r="F264" s="487"/>
      <c r="G264" s="485"/>
      <c r="H264" s="485"/>
      <c r="I264" s="487"/>
      <c r="J264" s="485"/>
      <c r="K264" s="488"/>
      <c r="L264" s="488"/>
      <c r="M264" s="485"/>
      <c r="N264" s="485"/>
      <c r="O264" s="485"/>
      <c r="P264" s="485"/>
      <c r="Q264" s="485"/>
      <c r="R264" s="485"/>
      <c r="S264" s="485"/>
      <c r="T264" s="485"/>
      <c r="U264" s="485"/>
      <c r="V264" s="485"/>
      <c r="W264" s="485"/>
      <c r="X264" s="485"/>
      <c r="Y264" s="485"/>
      <c r="Z264" s="485"/>
      <c r="AA264" s="489"/>
      <c r="AB264" s="489"/>
      <c r="AC264" s="489"/>
      <c r="AD264" s="489"/>
      <c r="AE264" s="490"/>
      <c r="AF264" s="490"/>
      <c r="AG264" s="491"/>
      <c r="AJ264" s="376"/>
      <c r="AK264" s="376"/>
    </row>
    <row r="265" spans="2:41" ht="18">
      <c r="C265" s="492"/>
      <c r="D265" s="333"/>
      <c r="E265" s="493" t="s">
        <v>130</v>
      </c>
      <c r="F265" s="411"/>
      <c r="G265" s="333"/>
      <c r="H265" s="333"/>
      <c r="I265" s="411"/>
      <c r="J265" s="333"/>
      <c r="K265" s="405"/>
      <c r="L265" s="405"/>
      <c r="M265" s="333"/>
      <c r="N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  <c r="Z265" s="333"/>
      <c r="AA265" s="167"/>
      <c r="AB265" s="167"/>
      <c r="AC265" s="167"/>
      <c r="AD265" s="167"/>
      <c r="AE265" s="376"/>
      <c r="AF265" s="376"/>
      <c r="AG265" s="494"/>
      <c r="AJ265" s="376"/>
      <c r="AK265" s="376"/>
    </row>
    <row r="266" spans="2:41">
      <c r="C266" s="492"/>
      <c r="D266" s="333"/>
      <c r="E266" s="410"/>
      <c r="F266" s="411"/>
      <c r="G266" s="333"/>
      <c r="H266" s="333"/>
      <c r="I266" s="411"/>
      <c r="J266" s="333"/>
      <c r="K266" s="405"/>
      <c r="L266" s="405"/>
      <c r="M266" s="333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  <c r="AA266" s="1168" t="s">
        <v>106</v>
      </c>
      <c r="AB266" s="1169"/>
      <c r="AC266" s="1170"/>
      <c r="AD266" s="1115" t="s">
        <v>131</v>
      </c>
      <c r="AE266" s="1116"/>
      <c r="AF266" s="1117"/>
      <c r="AG266" s="494"/>
      <c r="AH266" s="167"/>
      <c r="AI266" s="167"/>
      <c r="AJ266" s="376"/>
      <c r="AK266" s="376"/>
    </row>
    <row r="267" spans="2:41" ht="16.5" thickBot="1">
      <c r="C267" s="492"/>
      <c r="D267" s="1118" t="s">
        <v>108</v>
      </c>
      <c r="E267" s="1118"/>
      <c r="F267" s="1118"/>
      <c r="G267" s="1118"/>
      <c r="H267" s="1118"/>
      <c r="I267" s="1119" t="s">
        <v>109</v>
      </c>
      <c r="J267" s="1119"/>
      <c r="K267" s="1119"/>
      <c r="L267" s="1120" t="s">
        <v>110</v>
      </c>
      <c r="M267" s="1120"/>
      <c r="N267" s="1120"/>
      <c r="O267" s="1120" t="s">
        <v>111</v>
      </c>
      <c r="P267" s="1120"/>
      <c r="Q267" s="1120"/>
      <c r="R267" s="1171" t="s">
        <v>132</v>
      </c>
      <c r="S267" s="1171"/>
      <c r="T267" s="1171"/>
      <c r="U267" s="1120" t="s">
        <v>113</v>
      </c>
      <c r="V267" s="1120"/>
      <c r="W267" s="1122"/>
      <c r="X267" s="1123" t="s">
        <v>114</v>
      </c>
      <c r="Y267" s="1124"/>
      <c r="Z267" s="1125"/>
      <c r="AA267" s="1172" t="s">
        <v>133</v>
      </c>
      <c r="AB267" s="1172"/>
      <c r="AC267" s="1173"/>
      <c r="AD267" s="1128" t="s">
        <v>133</v>
      </c>
      <c r="AE267" s="1129"/>
      <c r="AF267" s="1130"/>
      <c r="AG267" s="494"/>
      <c r="AH267" s="167"/>
      <c r="AI267" s="167"/>
      <c r="AJ267" s="376"/>
      <c r="AK267" s="376"/>
    </row>
    <row r="268" spans="2:41" ht="19.5" thickTop="1">
      <c r="C268" s="495">
        <v>1</v>
      </c>
      <c r="D268" s="1131" t="s">
        <v>119</v>
      </c>
      <c r="E268" s="1131"/>
      <c r="F268" s="1131"/>
      <c r="G268" s="1131"/>
      <c r="H268" s="1131"/>
      <c r="I268" s="1174">
        <v>38.5</v>
      </c>
      <c r="J268" s="1174"/>
      <c r="K268" s="1174"/>
      <c r="L268" s="1133">
        <v>1</v>
      </c>
      <c r="M268" s="1133"/>
      <c r="N268" s="1133"/>
      <c r="O268" s="1133">
        <v>2</v>
      </c>
      <c r="P268" s="1133"/>
      <c r="Q268" s="1133"/>
      <c r="R268" s="1175">
        <f t="shared" ref="R268:R274" si="97">+I268+L268+O268</f>
        <v>41.5</v>
      </c>
      <c r="S268" s="1175"/>
      <c r="T268" s="1175"/>
      <c r="U268" s="1135">
        <f t="shared" ref="U268:U274" si="98">+I268*7+(L268+O268)*6</f>
        <v>287.5</v>
      </c>
      <c r="V268" s="1135"/>
      <c r="W268" s="1136"/>
      <c r="X268" s="1137">
        <f t="shared" ref="X268:X274" si="99">+U268/7*30</f>
        <v>1232.1428571428571</v>
      </c>
      <c r="Y268" s="1138"/>
      <c r="Z268" s="1139"/>
      <c r="AA268" s="1176">
        <v>37.571399999999997</v>
      </c>
      <c r="AB268" s="1177"/>
      <c r="AC268" s="1177"/>
      <c r="AD268" s="1178">
        <f t="shared" ref="AD268:AD274" si="100">+AA268*30</f>
        <v>1127.1419999999998</v>
      </c>
      <c r="AE268" s="1178"/>
      <c r="AF268" s="1178"/>
      <c r="AG268" s="494"/>
      <c r="AH268" s="167" t="s">
        <v>134</v>
      </c>
      <c r="AI268" s="1149" t="s">
        <v>135</v>
      </c>
      <c r="AJ268" s="1179"/>
      <c r="AK268" s="1179"/>
      <c r="AL268" s="1179"/>
      <c r="AM268" s="1180"/>
    </row>
    <row r="269" spans="2:41" ht="17.25">
      <c r="C269" s="495">
        <v>2</v>
      </c>
      <c r="D269" s="1144" t="s">
        <v>120</v>
      </c>
      <c r="E269" s="1144"/>
      <c r="F269" s="1144"/>
      <c r="G269" s="1144"/>
      <c r="H269" s="1144"/>
      <c r="I269" s="1165">
        <v>38.5</v>
      </c>
      <c r="J269" s="1165"/>
      <c r="K269" s="1165"/>
      <c r="L269" s="1146">
        <v>1</v>
      </c>
      <c r="M269" s="1146"/>
      <c r="N269" s="1146"/>
      <c r="O269" s="1146">
        <v>2</v>
      </c>
      <c r="P269" s="1146"/>
      <c r="Q269" s="1146"/>
      <c r="R269" s="1160">
        <f t="shared" si="97"/>
        <v>41.5</v>
      </c>
      <c r="S269" s="1160"/>
      <c r="T269" s="1160"/>
      <c r="U269" s="1148">
        <f t="shared" si="98"/>
        <v>287.5</v>
      </c>
      <c r="V269" s="1148"/>
      <c r="W269" s="1149"/>
      <c r="X269" s="1150">
        <f t="shared" si="99"/>
        <v>1232.1428571428571</v>
      </c>
      <c r="Y269" s="1151"/>
      <c r="Z269" s="1152"/>
      <c r="AA269" s="1181">
        <v>35.571399999999997</v>
      </c>
      <c r="AB269" s="1182"/>
      <c r="AC269" s="1182"/>
      <c r="AD269" s="1183">
        <f t="shared" si="100"/>
        <v>1067.1419999999998</v>
      </c>
      <c r="AE269" s="1183"/>
      <c r="AF269" s="1183"/>
      <c r="AG269" s="494"/>
      <c r="AH269" s="167"/>
      <c r="AI269" s="167"/>
      <c r="AJ269" s="376"/>
      <c r="AK269" s="376"/>
    </row>
    <row r="270" spans="2:41" ht="17.25">
      <c r="C270" s="495">
        <v>3</v>
      </c>
      <c r="D270" s="1144" t="s">
        <v>118</v>
      </c>
      <c r="E270" s="1144"/>
      <c r="F270" s="1144"/>
      <c r="G270" s="1144"/>
      <c r="H270" s="1144"/>
      <c r="I270" s="1165">
        <v>38.5</v>
      </c>
      <c r="J270" s="1165"/>
      <c r="K270" s="1165"/>
      <c r="L270" s="1146">
        <v>1</v>
      </c>
      <c r="M270" s="1146"/>
      <c r="N270" s="1146"/>
      <c r="O270" s="1146">
        <v>2</v>
      </c>
      <c r="P270" s="1146"/>
      <c r="Q270" s="1146"/>
      <c r="R270" s="1160">
        <f t="shared" si="97"/>
        <v>41.5</v>
      </c>
      <c r="S270" s="1160"/>
      <c r="T270" s="1160"/>
      <c r="U270" s="1148">
        <f t="shared" si="98"/>
        <v>287.5</v>
      </c>
      <c r="V270" s="1148"/>
      <c r="W270" s="1149"/>
      <c r="X270" s="1150">
        <f t="shared" si="99"/>
        <v>1232.1428571428571</v>
      </c>
      <c r="Y270" s="1151"/>
      <c r="Z270" s="1152"/>
      <c r="AA270" s="1181">
        <v>32.571399999999997</v>
      </c>
      <c r="AB270" s="1182"/>
      <c r="AC270" s="1182"/>
      <c r="AD270" s="1183">
        <f t="shared" si="100"/>
        <v>977.14199999999994</v>
      </c>
      <c r="AE270" s="1183"/>
      <c r="AF270" s="1183"/>
      <c r="AG270" s="494"/>
      <c r="AH270" s="167"/>
      <c r="AI270" s="167"/>
      <c r="AJ270" s="376"/>
      <c r="AK270" s="376"/>
    </row>
    <row r="271" spans="2:41" ht="17.25">
      <c r="C271" s="495">
        <v>4</v>
      </c>
      <c r="D271" s="1144" t="s">
        <v>136</v>
      </c>
      <c r="E271" s="1144"/>
      <c r="F271" s="1144"/>
      <c r="G271" s="1144"/>
      <c r="H271" s="1144"/>
      <c r="I271" s="1165">
        <v>35</v>
      </c>
      <c r="J271" s="1165"/>
      <c r="K271" s="1165"/>
      <c r="L271" s="1146">
        <v>1</v>
      </c>
      <c r="M271" s="1146"/>
      <c r="N271" s="1146"/>
      <c r="O271" s="1146">
        <v>2</v>
      </c>
      <c r="P271" s="1146"/>
      <c r="Q271" s="1146"/>
      <c r="R271" s="1160">
        <f t="shared" si="97"/>
        <v>38</v>
      </c>
      <c r="S271" s="1160"/>
      <c r="T271" s="1160"/>
      <c r="U271" s="1148">
        <f t="shared" si="98"/>
        <v>263</v>
      </c>
      <c r="V271" s="1148"/>
      <c r="W271" s="1149"/>
      <c r="X271" s="1150">
        <f t="shared" si="99"/>
        <v>1127.1428571428571</v>
      </c>
      <c r="Y271" s="1151"/>
      <c r="Z271" s="1152"/>
      <c r="AA271" s="1181">
        <v>35.321399999999997</v>
      </c>
      <c r="AB271" s="1182"/>
      <c r="AC271" s="1182"/>
      <c r="AD271" s="1183">
        <f t="shared" si="100"/>
        <v>1059.6419999999998</v>
      </c>
      <c r="AE271" s="1183"/>
      <c r="AF271" s="1183"/>
      <c r="AG271" s="494"/>
      <c r="AH271" s="167"/>
      <c r="AI271" s="167"/>
      <c r="AJ271" s="376"/>
      <c r="AK271" s="376"/>
    </row>
    <row r="272" spans="2:41" ht="17.25">
      <c r="C272" s="495">
        <v>5</v>
      </c>
      <c r="D272" s="1144" t="s">
        <v>137</v>
      </c>
      <c r="E272" s="1144"/>
      <c r="F272" s="1144"/>
      <c r="G272" s="1144"/>
      <c r="H272" s="1144"/>
      <c r="I272" s="1165">
        <v>33.799999999999997</v>
      </c>
      <c r="J272" s="1165"/>
      <c r="K272" s="1165"/>
      <c r="L272" s="1146">
        <v>1</v>
      </c>
      <c r="M272" s="1146"/>
      <c r="N272" s="1146"/>
      <c r="O272" s="1146">
        <v>2</v>
      </c>
      <c r="P272" s="1146"/>
      <c r="Q272" s="1146"/>
      <c r="R272" s="1160">
        <f t="shared" si="97"/>
        <v>36.799999999999997</v>
      </c>
      <c r="S272" s="1160"/>
      <c r="T272" s="1160"/>
      <c r="U272" s="1148">
        <f t="shared" si="98"/>
        <v>254.59999999999997</v>
      </c>
      <c r="V272" s="1148"/>
      <c r="W272" s="1149"/>
      <c r="X272" s="1150">
        <f t="shared" si="99"/>
        <v>1091.1428571428569</v>
      </c>
      <c r="Y272" s="1151"/>
      <c r="Z272" s="1152"/>
      <c r="AA272" s="1181">
        <v>31.571400000000001</v>
      </c>
      <c r="AB272" s="1182"/>
      <c r="AC272" s="1182"/>
      <c r="AD272" s="1183">
        <f t="shared" si="100"/>
        <v>947.14200000000005</v>
      </c>
      <c r="AE272" s="1183"/>
      <c r="AF272" s="1183"/>
      <c r="AG272" s="494"/>
      <c r="AH272" s="167"/>
      <c r="AI272" s="167"/>
      <c r="AJ272" s="376"/>
      <c r="AK272" s="376"/>
    </row>
    <row r="273" spans="3:41" ht="17.25">
      <c r="C273" s="495">
        <v>6</v>
      </c>
      <c r="D273" s="1144" t="s">
        <v>138</v>
      </c>
      <c r="E273" s="1144"/>
      <c r="F273" s="1144"/>
      <c r="G273" s="1144"/>
      <c r="H273" s="1144"/>
      <c r="I273" s="1165">
        <v>33.799999999999997</v>
      </c>
      <c r="J273" s="1165"/>
      <c r="K273" s="1165"/>
      <c r="L273" s="1146">
        <v>1</v>
      </c>
      <c r="M273" s="1146"/>
      <c r="N273" s="1146"/>
      <c r="O273" s="1146">
        <v>2</v>
      </c>
      <c r="P273" s="1146"/>
      <c r="Q273" s="1146"/>
      <c r="R273" s="1160">
        <f t="shared" si="97"/>
        <v>36.799999999999997</v>
      </c>
      <c r="S273" s="1160"/>
      <c r="T273" s="1160"/>
      <c r="U273" s="1148">
        <f t="shared" si="98"/>
        <v>254.59999999999997</v>
      </c>
      <c r="V273" s="1148"/>
      <c r="W273" s="1149"/>
      <c r="X273" s="1150">
        <f t="shared" si="99"/>
        <v>1091.1428571428569</v>
      </c>
      <c r="Y273" s="1151"/>
      <c r="Z273" s="1152"/>
      <c r="AA273" s="1181">
        <v>33.333300000000001</v>
      </c>
      <c r="AB273" s="1182"/>
      <c r="AC273" s="1182"/>
      <c r="AD273" s="1183">
        <f t="shared" si="100"/>
        <v>999.99900000000002</v>
      </c>
      <c r="AE273" s="1183"/>
      <c r="AF273" s="1183"/>
      <c r="AG273" s="494"/>
      <c r="AH273" s="167"/>
      <c r="AI273" s="167"/>
      <c r="AJ273" s="376"/>
      <c r="AK273" s="376"/>
    </row>
    <row r="274" spans="3:41" ht="17.25">
      <c r="C274" s="495">
        <v>7</v>
      </c>
      <c r="D274" s="1144" t="s">
        <v>139</v>
      </c>
      <c r="E274" s="1144"/>
      <c r="F274" s="1144"/>
      <c r="G274" s="1144"/>
      <c r="H274" s="1144"/>
      <c r="I274" s="1165">
        <v>26</v>
      </c>
      <c r="J274" s="1165"/>
      <c r="K274" s="1165"/>
      <c r="L274" s="1146">
        <v>1</v>
      </c>
      <c r="M274" s="1146"/>
      <c r="N274" s="1146"/>
      <c r="O274" s="1146">
        <v>2</v>
      </c>
      <c r="P274" s="1146"/>
      <c r="Q274" s="1146"/>
      <c r="R274" s="1160">
        <f t="shared" si="97"/>
        <v>29</v>
      </c>
      <c r="S274" s="1160"/>
      <c r="T274" s="1160"/>
      <c r="U274" s="1148">
        <f t="shared" si="98"/>
        <v>200</v>
      </c>
      <c r="V274" s="1148"/>
      <c r="W274" s="1149"/>
      <c r="X274" s="1150">
        <f t="shared" si="99"/>
        <v>857.14285714285722</v>
      </c>
      <c r="Y274" s="1151"/>
      <c r="Z274" s="1152"/>
      <c r="AA274" s="1181">
        <v>25</v>
      </c>
      <c r="AB274" s="1182"/>
      <c r="AC274" s="1182"/>
      <c r="AD274" s="1183">
        <f t="shared" si="100"/>
        <v>750</v>
      </c>
      <c r="AE274" s="1183"/>
      <c r="AF274" s="1183"/>
      <c r="AG274" s="494"/>
      <c r="AH274" s="167"/>
      <c r="AI274" s="167"/>
      <c r="AJ274" s="376"/>
      <c r="AK274" s="376"/>
    </row>
    <row r="275" spans="3:41" ht="17.25">
      <c r="C275" s="492"/>
      <c r="D275" s="409"/>
      <c r="E275" s="410"/>
      <c r="F275" s="411"/>
      <c r="G275" s="333"/>
      <c r="H275" s="333"/>
      <c r="I275" s="411"/>
      <c r="J275" s="333"/>
      <c r="K275" s="405"/>
      <c r="L275" s="405"/>
      <c r="M275" s="333"/>
      <c r="N275" s="333"/>
      <c r="O275" s="333"/>
      <c r="P275" s="333"/>
      <c r="Q275" s="333"/>
      <c r="R275" s="333"/>
      <c r="S275" s="1160" t="s">
        <v>23</v>
      </c>
      <c r="T275" s="1160"/>
      <c r="U275" s="1160"/>
      <c r="V275" s="333"/>
      <c r="W275" s="333"/>
      <c r="X275" s="1161">
        <f>SUM(X268:Z274)</f>
        <v>7862.9999999999991</v>
      </c>
      <c r="Y275" s="1162"/>
      <c r="Z275" s="1163"/>
      <c r="AA275" s="496"/>
      <c r="AB275" s="496"/>
      <c r="AC275" s="496"/>
      <c r="AD275" s="1184">
        <f>SUM(AD268:AF274)</f>
        <v>6928.2089999999989</v>
      </c>
      <c r="AE275" s="1184"/>
      <c r="AF275" s="1184"/>
      <c r="AG275" s="494"/>
      <c r="AH275" s="167"/>
      <c r="AI275" s="167"/>
      <c r="AJ275" s="376"/>
      <c r="AK275" s="376"/>
    </row>
    <row r="276" spans="3:41" ht="15.75" thickBot="1">
      <c r="C276" s="492"/>
      <c r="D276" s="333"/>
      <c r="E276" s="410"/>
      <c r="F276" s="411"/>
      <c r="G276" s="333"/>
      <c r="H276" s="333"/>
      <c r="I276" s="411"/>
      <c r="J276" s="333"/>
      <c r="K276" s="405"/>
      <c r="L276" s="405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  <c r="AA276" s="167"/>
      <c r="AB276" s="167"/>
      <c r="AC276" s="167"/>
      <c r="AD276" s="167"/>
      <c r="AE276" s="376"/>
      <c r="AF276" s="376"/>
      <c r="AG276" s="494"/>
      <c r="AH276" s="167"/>
      <c r="AI276" s="167"/>
      <c r="AJ276" s="376"/>
      <c r="AK276" s="376"/>
    </row>
    <row r="277" spans="3:41" ht="15.75" thickBot="1">
      <c r="C277" s="492"/>
      <c r="D277" s="333"/>
      <c r="E277" s="410"/>
      <c r="F277" s="411"/>
      <c r="G277" s="333"/>
      <c r="H277" s="333"/>
      <c r="I277" s="411"/>
      <c r="J277" s="333"/>
      <c r="K277" s="405"/>
      <c r="L277" s="1185" t="s">
        <v>140</v>
      </c>
      <c r="M277" s="1185"/>
      <c r="N277" s="1185"/>
      <c r="O277" s="333"/>
      <c r="P277" s="333"/>
      <c r="Q277" s="333"/>
      <c r="R277" s="333"/>
      <c r="S277" s="333"/>
      <c r="T277" s="499" t="s">
        <v>141</v>
      </c>
      <c r="U277" s="333"/>
      <c r="V277" s="333"/>
      <c r="W277" s="333"/>
      <c r="X277" s="333"/>
      <c r="Y277" s="333"/>
      <c r="Z277" s="333"/>
      <c r="AA277" s="167"/>
      <c r="AB277" s="167"/>
      <c r="AC277" s="167"/>
      <c r="AD277" s="1156">
        <f>+X275-AD275+0.01</f>
        <v>934.80100000000016</v>
      </c>
      <c r="AE277" s="1157"/>
      <c r="AF277" s="1158"/>
      <c r="AG277" s="494"/>
      <c r="AH277" s="167"/>
      <c r="AI277" s="167"/>
      <c r="AJ277" s="376"/>
      <c r="AK277" s="376"/>
    </row>
    <row r="278" spans="3:41" ht="15.75" thickBot="1">
      <c r="C278" s="500"/>
      <c r="D278" s="501"/>
      <c r="E278" s="502"/>
      <c r="F278" s="503"/>
      <c r="G278" s="501"/>
      <c r="H278" s="501"/>
      <c r="I278" s="503"/>
      <c r="J278" s="501"/>
      <c r="K278" s="504"/>
      <c r="L278" s="504"/>
      <c r="M278" s="501"/>
      <c r="N278" s="501"/>
      <c r="O278" s="501"/>
      <c r="P278" s="501"/>
      <c r="Q278" s="501"/>
      <c r="R278" s="501"/>
      <c r="S278" s="501"/>
      <c r="T278" s="501"/>
      <c r="U278" s="501"/>
      <c r="V278" s="501"/>
      <c r="W278" s="501"/>
      <c r="X278" s="501"/>
      <c r="Y278" s="501"/>
      <c r="Z278" s="501"/>
      <c r="AA278" s="505"/>
      <c r="AB278" s="505"/>
      <c r="AC278" s="505"/>
      <c r="AD278" s="506"/>
      <c r="AE278" s="506"/>
      <c r="AF278" s="506"/>
      <c r="AG278" s="507"/>
      <c r="AH278" s="167"/>
      <c r="AI278" s="167"/>
      <c r="AJ278" s="376"/>
      <c r="AK278" s="376"/>
    </row>
    <row r="279" spans="3:41">
      <c r="AG279" s="267"/>
      <c r="AH279" s="267"/>
      <c r="AI279" s="267"/>
      <c r="AJ279" s="267"/>
      <c r="AK279" s="267"/>
      <c r="AL279" s="267"/>
      <c r="AM279" s="267"/>
      <c r="AN279" s="267"/>
      <c r="AO279" s="267"/>
    </row>
    <row r="280" spans="3:41">
      <c r="AG280" s="267"/>
      <c r="AH280" s="267"/>
      <c r="AI280" s="267"/>
      <c r="AJ280" s="267"/>
      <c r="AK280" s="267"/>
      <c r="AL280" s="267"/>
      <c r="AM280" s="267"/>
      <c r="AN280" s="267"/>
      <c r="AO280" s="267"/>
    </row>
    <row r="281" spans="3:41">
      <c r="AG281" s="267"/>
      <c r="AH281" s="267"/>
      <c r="AI281" s="267"/>
      <c r="AJ281" s="267"/>
      <c r="AK281" s="267"/>
      <c r="AL281" s="267"/>
      <c r="AM281" s="267"/>
      <c r="AN281" s="267"/>
      <c r="AO281" s="267"/>
    </row>
  </sheetData>
  <mergeCells count="852">
    <mergeCell ref="AA274:AC274"/>
    <mergeCell ref="AD274:AF274"/>
    <mergeCell ref="S275:U275"/>
    <mergeCell ref="X275:Z275"/>
    <mergeCell ref="AD275:AF275"/>
    <mergeCell ref="L277:N277"/>
    <mergeCell ref="AD277:AF277"/>
    <mergeCell ref="X273:Z273"/>
    <mergeCell ref="AA273:AC273"/>
    <mergeCell ref="AD273:AF273"/>
    <mergeCell ref="D274:H274"/>
    <mergeCell ref="I274:K274"/>
    <mergeCell ref="L274:N274"/>
    <mergeCell ref="O274:Q274"/>
    <mergeCell ref="R274:T274"/>
    <mergeCell ref="U274:W274"/>
    <mergeCell ref="X274:Z274"/>
    <mergeCell ref="D273:H273"/>
    <mergeCell ref="I273:K273"/>
    <mergeCell ref="L273:N273"/>
    <mergeCell ref="O273:Q273"/>
    <mergeCell ref="R273:T273"/>
    <mergeCell ref="U273:W273"/>
    <mergeCell ref="D272:H272"/>
    <mergeCell ref="I272:K272"/>
    <mergeCell ref="L272:N272"/>
    <mergeCell ref="O272:Q272"/>
    <mergeCell ref="R272:T272"/>
    <mergeCell ref="U272:W272"/>
    <mergeCell ref="X272:Z272"/>
    <mergeCell ref="AA272:AC272"/>
    <mergeCell ref="AD272:AF272"/>
    <mergeCell ref="D271:H271"/>
    <mergeCell ref="I271:K271"/>
    <mergeCell ref="L271:N271"/>
    <mergeCell ref="O271:Q271"/>
    <mergeCell ref="R271:T271"/>
    <mergeCell ref="U271:W271"/>
    <mergeCell ref="X271:Z271"/>
    <mergeCell ref="AA271:AC271"/>
    <mergeCell ref="AD271:AF271"/>
    <mergeCell ref="D270:H270"/>
    <mergeCell ref="I270:K270"/>
    <mergeCell ref="L270:N270"/>
    <mergeCell ref="O270:Q270"/>
    <mergeCell ref="R270:T270"/>
    <mergeCell ref="U270:W270"/>
    <mergeCell ref="X270:Z270"/>
    <mergeCell ref="AA270:AC270"/>
    <mergeCell ref="AD270:AF270"/>
    <mergeCell ref="AI268:AM268"/>
    <mergeCell ref="D269:H269"/>
    <mergeCell ref="I269:K269"/>
    <mergeCell ref="L269:N269"/>
    <mergeCell ref="O269:Q269"/>
    <mergeCell ref="R269:T269"/>
    <mergeCell ref="U269:W269"/>
    <mergeCell ref="X269:Z269"/>
    <mergeCell ref="AA269:AC269"/>
    <mergeCell ref="AD269:AF269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O260:P260"/>
    <mergeCell ref="Q260:Z260"/>
    <mergeCell ref="O261:P261"/>
    <mergeCell ref="AA266:AC266"/>
    <mergeCell ref="AD266:AF266"/>
    <mergeCell ref="D267:H267"/>
    <mergeCell ref="I267:K267"/>
    <mergeCell ref="L267:N267"/>
    <mergeCell ref="O267:Q267"/>
    <mergeCell ref="R267:T267"/>
    <mergeCell ref="U267:W267"/>
    <mergeCell ref="X267:Z267"/>
    <mergeCell ref="AA267:AC267"/>
    <mergeCell ref="AD267:AF267"/>
    <mergeCell ref="O257:P257"/>
    <mergeCell ref="Q257:Z257"/>
    <mergeCell ref="AA257:AB257"/>
    <mergeCell ref="O258:P258"/>
    <mergeCell ref="Q258:Z258"/>
    <mergeCell ref="O259:P259"/>
    <mergeCell ref="Q259:Z259"/>
    <mergeCell ref="O252:P252"/>
    <mergeCell ref="Q252:Z252"/>
    <mergeCell ref="AF252:AJ252"/>
    <mergeCell ref="O253:P253"/>
    <mergeCell ref="O255:Z255"/>
    <mergeCell ref="O256:P256"/>
    <mergeCell ref="Q256:Z256"/>
    <mergeCell ref="O249:P249"/>
    <mergeCell ref="Q249:Z249"/>
    <mergeCell ref="AA249:AB249"/>
    <mergeCell ref="O250:P250"/>
    <mergeCell ref="Q250:Z250"/>
    <mergeCell ref="O251:P251"/>
    <mergeCell ref="Q251:Z251"/>
    <mergeCell ref="D241:F241"/>
    <mergeCell ref="D242:F242"/>
    <mergeCell ref="M242:O242"/>
    <mergeCell ref="AD242:AF242"/>
    <mergeCell ref="O247:Z247"/>
    <mergeCell ref="O248:P248"/>
    <mergeCell ref="Q248:Z248"/>
    <mergeCell ref="X239:Z239"/>
    <mergeCell ref="AA239:AC239"/>
    <mergeCell ref="AD239:AF239"/>
    <mergeCell ref="S240:U240"/>
    <mergeCell ref="X240:Z240"/>
    <mergeCell ref="AD240:AF240"/>
    <mergeCell ref="D239:H239"/>
    <mergeCell ref="I239:K239"/>
    <mergeCell ref="L239:N239"/>
    <mergeCell ref="O239:Q239"/>
    <mergeCell ref="R239:T239"/>
    <mergeCell ref="U239:W239"/>
    <mergeCell ref="D238:H238"/>
    <mergeCell ref="I238:K238"/>
    <mergeCell ref="L238:N238"/>
    <mergeCell ref="O238:Q238"/>
    <mergeCell ref="R238:T238"/>
    <mergeCell ref="U238:W238"/>
    <mergeCell ref="X238:Z238"/>
    <mergeCell ref="AA238:AC238"/>
    <mergeCell ref="AD238:AF238"/>
    <mergeCell ref="D237:H237"/>
    <mergeCell ref="I237:K237"/>
    <mergeCell ref="L237:N237"/>
    <mergeCell ref="O237:Q237"/>
    <mergeCell ref="R237:T237"/>
    <mergeCell ref="U237:W237"/>
    <mergeCell ref="X237:Z237"/>
    <mergeCell ref="AA237:AC237"/>
    <mergeCell ref="AD237:AF237"/>
    <mergeCell ref="X235:Z235"/>
    <mergeCell ref="AA235:AC235"/>
    <mergeCell ref="AD235:AF235"/>
    <mergeCell ref="D236:H236"/>
    <mergeCell ref="I236:K236"/>
    <mergeCell ref="L236:N236"/>
    <mergeCell ref="O236:Q236"/>
    <mergeCell ref="R236:T236"/>
    <mergeCell ref="U236:W236"/>
    <mergeCell ref="X236:Z236"/>
    <mergeCell ref="D235:H235"/>
    <mergeCell ref="I235:K235"/>
    <mergeCell ref="L235:N235"/>
    <mergeCell ref="O235:Q235"/>
    <mergeCell ref="R235:T235"/>
    <mergeCell ref="U235:W235"/>
    <mergeCell ref="AA236:AC236"/>
    <mergeCell ref="AD236:AF236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AD234:AF234"/>
    <mergeCell ref="D233:H233"/>
    <mergeCell ref="I233:K233"/>
    <mergeCell ref="L233:N233"/>
    <mergeCell ref="O233:Q233"/>
    <mergeCell ref="R233:T233"/>
    <mergeCell ref="U233:W233"/>
    <mergeCell ref="X233:Z233"/>
    <mergeCell ref="AA233:AC233"/>
    <mergeCell ref="AD233:AF233"/>
    <mergeCell ref="AI231:AK231"/>
    <mergeCell ref="D232:H232"/>
    <mergeCell ref="I232:K232"/>
    <mergeCell ref="L232:N232"/>
    <mergeCell ref="O232:Q232"/>
    <mergeCell ref="R232:T232"/>
    <mergeCell ref="U232:W232"/>
    <mergeCell ref="X232:Z232"/>
    <mergeCell ref="AA232:AC232"/>
    <mergeCell ref="AD232:AF232"/>
    <mergeCell ref="AI232:AK232"/>
    <mergeCell ref="D231:H231"/>
    <mergeCell ref="I231:K231"/>
    <mergeCell ref="L231:N231"/>
    <mergeCell ref="O231:Q231"/>
    <mergeCell ref="R231:T231"/>
    <mergeCell ref="U231:W231"/>
    <mergeCell ref="X231:Z231"/>
    <mergeCell ref="AA231:AC231"/>
    <mergeCell ref="AD231:AF231"/>
    <mergeCell ref="Q224:R224"/>
    <mergeCell ref="AA229:AC229"/>
    <mergeCell ref="AD229:AF229"/>
    <mergeCell ref="D230:H230"/>
    <mergeCell ref="I230:K230"/>
    <mergeCell ref="L230:N230"/>
    <mergeCell ref="O230:Q230"/>
    <mergeCell ref="R230:T230"/>
    <mergeCell ref="U230:W230"/>
    <mergeCell ref="X230:Z230"/>
    <mergeCell ref="C224:D224"/>
    <mergeCell ref="E224:F224"/>
    <mergeCell ref="G224:H224"/>
    <mergeCell ref="I224:J224"/>
    <mergeCell ref="K224:L224"/>
    <mergeCell ref="N224:O224"/>
    <mergeCell ref="AA230:AC230"/>
    <mergeCell ref="AD230:AF230"/>
    <mergeCell ref="AF222:AH222"/>
    <mergeCell ref="C223:D223"/>
    <mergeCell ref="E223:F223"/>
    <mergeCell ref="G223:H223"/>
    <mergeCell ref="I223:J223"/>
    <mergeCell ref="K223:L223"/>
    <mergeCell ref="N223:O223"/>
    <mergeCell ref="Q223:R223"/>
    <mergeCell ref="Q221:R221"/>
    <mergeCell ref="C222:D222"/>
    <mergeCell ref="E222:F222"/>
    <mergeCell ref="G222:H222"/>
    <mergeCell ref="I222:J222"/>
    <mergeCell ref="K222:L222"/>
    <mergeCell ref="N222:O222"/>
    <mergeCell ref="Q222:R222"/>
    <mergeCell ref="C221:D221"/>
    <mergeCell ref="E221:F221"/>
    <mergeCell ref="G221:H221"/>
    <mergeCell ref="I221:J221"/>
    <mergeCell ref="K221:L221"/>
    <mergeCell ref="N221:O221"/>
    <mergeCell ref="Z219:AC219"/>
    <mergeCell ref="C220:D220"/>
    <mergeCell ref="E220:F220"/>
    <mergeCell ref="G220:H220"/>
    <mergeCell ref="I220:J220"/>
    <mergeCell ref="K220:L220"/>
    <mergeCell ref="N220:O220"/>
    <mergeCell ref="Q220:R220"/>
    <mergeCell ref="C219:D219"/>
    <mergeCell ref="E219:F219"/>
    <mergeCell ref="I219:J219"/>
    <mergeCell ref="K219:L219"/>
    <mergeCell ref="N219:O219"/>
    <mergeCell ref="Q219:R219"/>
    <mergeCell ref="Q217:R217"/>
    <mergeCell ref="C218:D218"/>
    <mergeCell ref="E218:F218"/>
    <mergeCell ref="G218:H218"/>
    <mergeCell ref="I218:J218"/>
    <mergeCell ref="K218:L218"/>
    <mergeCell ref="N218:O218"/>
    <mergeCell ref="Q218:R218"/>
    <mergeCell ref="C217:D217"/>
    <mergeCell ref="E217:F217"/>
    <mergeCell ref="G217:H217"/>
    <mergeCell ref="I217:J217"/>
    <mergeCell ref="K217:L217"/>
    <mergeCell ref="N217:O217"/>
    <mergeCell ref="Q215:R215"/>
    <mergeCell ref="AB215:AK215"/>
    <mergeCell ref="C216:D216"/>
    <mergeCell ref="E216:F216"/>
    <mergeCell ref="G216:H216"/>
    <mergeCell ref="I216:J216"/>
    <mergeCell ref="K216:L216"/>
    <mergeCell ref="N216:O216"/>
    <mergeCell ref="Q216:R216"/>
    <mergeCell ref="S216:T216"/>
    <mergeCell ref="C215:D215"/>
    <mergeCell ref="E215:F215"/>
    <mergeCell ref="G215:H215"/>
    <mergeCell ref="I215:J215"/>
    <mergeCell ref="K215:L215"/>
    <mergeCell ref="N215:O215"/>
    <mergeCell ref="S213:T213"/>
    <mergeCell ref="Z213:AC213"/>
    <mergeCell ref="C214:D214"/>
    <mergeCell ref="E214:F214"/>
    <mergeCell ref="I214:J214"/>
    <mergeCell ref="K214:L214"/>
    <mergeCell ref="N214:O214"/>
    <mergeCell ref="Q214:R214"/>
    <mergeCell ref="C213:D213"/>
    <mergeCell ref="E213:F213"/>
    <mergeCell ref="I213:J213"/>
    <mergeCell ref="K213:L213"/>
    <mergeCell ref="N213:O213"/>
    <mergeCell ref="Q213:R213"/>
    <mergeCell ref="C212:D212"/>
    <mergeCell ref="E212:F212"/>
    <mergeCell ref="I212:J212"/>
    <mergeCell ref="K212:L212"/>
    <mergeCell ref="N212:O212"/>
    <mergeCell ref="Q212:R212"/>
    <mergeCell ref="C211:D211"/>
    <mergeCell ref="E211:F211"/>
    <mergeCell ref="I211:J211"/>
    <mergeCell ref="K211:L211"/>
    <mergeCell ref="N211:O211"/>
    <mergeCell ref="Q211:R211"/>
    <mergeCell ref="C210:D210"/>
    <mergeCell ref="E210:F210"/>
    <mergeCell ref="I210:J210"/>
    <mergeCell ref="K210:L210"/>
    <mergeCell ref="N210:O210"/>
    <mergeCell ref="Q210:R210"/>
    <mergeCell ref="Q207:R207"/>
    <mergeCell ref="C208:D208"/>
    <mergeCell ref="E208:F208"/>
    <mergeCell ref="I208:J208"/>
    <mergeCell ref="K208:L208"/>
    <mergeCell ref="N208:O208"/>
    <mergeCell ref="Q208:R208"/>
    <mergeCell ref="O201:P201"/>
    <mergeCell ref="C204:D206"/>
    <mergeCell ref="E204:F206"/>
    <mergeCell ref="G204:H208"/>
    <mergeCell ref="I204:J206"/>
    <mergeCell ref="K204:L206"/>
    <mergeCell ref="N204:O206"/>
    <mergeCell ref="AA197:AB197"/>
    <mergeCell ref="O198:P198"/>
    <mergeCell ref="Q198:Z198"/>
    <mergeCell ref="O199:P199"/>
    <mergeCell ref="Q199:Z199"/>
    <mergeCell ref="O200:P200"/>
    <mergeCell ref="Q200:Z200"/>
    <mergeCell ref="Q204:R206"/>
    <mergeCell ref="U204:U209"/>
    <mergeCell ref="V204:V209"/>
    <mergeCell ref="W204:W209"/>
    <mergeCell ref="X204:X209"/>
    <mergeCell ref="C207:D207"/>
    <mergeCell ref="E207:F207"/>
    <mergeCell ref="I207:J207"/>
    <mergeCell ref="K207:L207"/>
    <mergeCell ref="N207:O207"/>
    <mergeCell ref="O193:P193"/>
    <mergeCell ref="O195:Z195"/>
    <mergeCell ref="O196:P196"/>
    <mergeCell ref="Q196:Z196"/>
    <mergeCell ref="O197:P197"/>
    <mergeCell ref="Q197:Z197"/>
    <mergeCell ref="AA189:AB189"/>
    <mergeCell ref="O190:P190"/>
    <mergeCell ref="Q190:Z190"/>
    <mergeCell ref="O191:P191"/>
    <mergeCell ref="Q191:Z191"/>
    <mergeCell ref="O192:P192"/>
    <mergeCell ref="Q192:Z192"/>
    <mergeCell ref="O182:P182"/>
    <mergeCell ref="O187:Z187"/>
    <mergeCell ref="O188:P188"/>
    <mergeCell ref="Q188:Z188"/>
    <mergeCell ref="O189:P189"/>
    <mergeCell ref="Q189:Z189"/>
    <mergeCell ref="O179:P179"/>
    <mergeCell ref="Q179:Z179"/>
    <mergeCell ref="O180:P180"/>
    <mergeCell ref="Q180:Z180"/>
    <mergeCell ref="O181:P181"/>
    <mergeCell ref="Q181:Z181"/>
    <mergeCell ref="O176:Z176"/>
    <mergeCell ref="O177:P177"/>
    <mergeCell ref="Q177:Z177"/>
    <mergeCell ref="O178:P178"/>
    <mergeCell ref="Q178:Z178"/>
    <mergeCell ref="AA178:AB178"/>
    <mergeCell ref="O173:P173"/>
    <mergeCell ref="Q173:Z173"/>
    <mergeCell ref="AG173:AH173"/>
    <mergeCell ref="AJ173:AK173"/>
    <mergeCell ref="O174:P174"/>
    <mergeCell ref="AK174:AL174"/>
    <mergeCell ref="O171:P171"/>
    <mergeCell ref="Q171:Z171"/>
    <mergeCell ref="AG171:AH171"/>
    <mergeCell ref="AJ171:AK171"/>
    <mergeCell ref="O172:P172"/>
    <mergeCell ref="Q172:Z172"/>
    <mergeCell ref="AG172:AH172"/>
    <mergeCell ref="AJ172:AK172"/>
    <mergeCell ref="AG169:AH169"/>
    <mergeCell ref="AJ169:AK169"/>
    <mergeCell ref="O170:P170"/>
    <mergeCell ref="Q170:Z170"/>
    <mergeCell ref="AA170:AB170"/>
    <mergeCell ref="AG170:AH170"/>
    <mergeCell ref="AJ170:AK170"/>
    <mergeCell ref="O161:P161"/>
    <mergeCell ref="Q161:Z161"/>
    <mergeCell ref="O162:P162"/>
    <mergeCell ref="H166:N166"/>
    <mergeCell ref="O168:Z168"/>
    <mergeCell ref="O169:P169"/>
    <mergeCell ref="Q169:Z169"/>
    <mergeCell ref="O158:P158"/>
    <mergeCell ref="Q158:Z158"/>
    <mergeCell ref="AA158:AB158"/>
    <mergeCell ref="O159:P159"/>
    <mergeCell ref="Q159:Z159"/>
    <mergeCell ref="O160:P160"/>
    <mergeCell ref="Q160:Z160"/>
    <mergeCell ref="O153:P153"/>
    <mergeCell ref="Q153:Z153"/>
    <mergeCell ref="AF153:AJ153"/>
    <mergeCell ref="O154:P154"/>
    <mergeCell ref="O156:Z156"/>
    <mergeCell ref="O157:P157"/>
    <mergeCell ref="Q157:Z157"/>
    <mergeCell ref="O150:P150"/>
    <mergeCell ref="Q150:Z150"/>
    <mergeCell ref="AA150:AB150"/>
    <mergeCell ref="O151:P151"/>
    <mergeCell ref="Q151:Z151"/>
    <mergeCell ref="O152:P152"/>
    <mergeCell ref="Q152:Z152"/>
    <mergeCell ref="O143:P143"/>
    <mergeCell ref="Q143:Z143"/>
    <mergeCell ref="O144:P144"/>
    <mergeCell ref="H146:N146"/>
    <mergeCell ref="O148:Z148"/>
    <mergeCell ref="O149:P149"/>
    <mergeCell ref="Q149:Z149"/>
    <mergeCell ref="O140:P140"/>
    <mergeCell ref="Q140:Z140"/>
    <mergeCell ref="AA140:AB140"/>
    <mergeCell ref="O141:P141"/>
    <mergeCell ref="Q141:Z141"/>
    <mergeCell ref="O142:P142"/>
    <mergeCell ref="Q142:Z142"/>
    <mergeCell ref="O135:P135"/>
    <mergeCell ref="Q135:Z135"/>
    <mergeCell ref="O136:P136"/>
    <mergeCell ref="O138:Z138"/>
    <mergeCell ref="O139:P139"/>
    <mergeCell ref="Q139:Z139"/>
    <mergeCell ref="O132:P132"/>
    <mergeCell ref="Q132:Z132"/>
    <mergeCell ref="AA132:AB132"/>
    <mergeCell ref="O133:P133"/>
    <mergeCell ref="Q133:Z133"/>
    <mergeCell ref="O134:P134"/>
    <mergeCell ref="Q134:Z134"/>
    <mergeCell ref="O124:P124"/>
    <mergeCell ref="Q124:Z124"/>
    <mergeCell ref="O125:P125"/>
    <mergeCell ref="H128:N128"/>
    <mergeCell ref="O130:Z130"/>
    <mergeCell ref="O131:P131"/>
    <mergeCell ref="Q131:Z131"/>
    <mergeCell ref="O121:P121"/>
    <mergeCell ref="Q121:Z121"/>
    <mergeCell ref="AA121:AB121"/>
    <mergeCell ref="O122:P122"/>
    <mergeCell ref="Q122:Z122"/>
    <mergeCell ref="O123:P123"/>
    <mergeCell ref="Q123:Z123"/>
    <mergeCell ref="O117:P117"/>
    <mergeCell ref="AE117:AG117"/>
    <mergeCell ref="AI117:AK117"/>
    <mergeCell ref="O119:Z119"/>
    <mergeCell ref="O120:P120"/>
    <mergeCell ref="Q120:Z120"/>
    <mergeCell ref="O115:P115"/>
    <mergeCell ref="Q115:Z115"/>
    <mergeCell ref="AE115:AG115"/>
    <mergeCell ref="AI115:AK115"/>
    <mergeCell ref="O116:P116"/>
    <mergeCell ref="Q116:Z116"/>
    <mergeCell ref="AE116:AG116"/>
    <mergeCell ref="AI116:AK116"/>
    <mergeCell ref="O114:P114"/>
    <mergeCell ref="Q114:Z114"/>
    <mergeCell ref="AE114:AG114"/>
    <mergeCell ref="AI114:AK114"/>
    <mergeCell ref="AL114:AN114"/>
    <mergeCell ref="AO114:AQ114"/>
    <mergeCell ref="AI112:AK112"/>
    <mergeCell ref="AL112:AN112"/>
    <mergeCell ref="AO112:AQ112"/>
    <mergeCell ref="O113:P113"/>
    <mergeCell ref="Q113:Z113"/>
    <mergeCell ref="AA113:AB113"/>
    <mergeCell ref="AE113:AG113"/>
    <mergeCell ref="AI113:AK113"/>
    <mergeCell ref="AL113:AN113"/>
    <mergeCell ref="AO113:AQ113"/>
    <mergeCell ref="O107:P107"/>
    <mergeCell ref="H109:N109"/>
    <mergeCell ref="O111:Z111"/>
    <mergeCell ref="O112:P112"/>
    <mergeCell ref="Q112:Z112"/>
    <mergeCell ref="AE112:AG112"/>
    <mergeCell ref="AA103:AB103"/>
    <mergeCell ref="O104:P104"/>
    <mergeCell ref="Q104:Z104"/>
    <mergeCell ref="O105:P105"/>
    <mergeCell ref="Q105:Z105"/>
    <mergeCell ref="O106:P106"/>
    <mergeCell ref="Q106:Z106"/>
    <mergeCell ref="O99:P99"/>
    <mergeCell ref="O101:Z101"/>
    <mergeCell ref="O102:P102"/>
    <mergeCell ref="Q102:Z102"/>
    <mergeCell ref="O103:P103"/>
    <mergeCell ref="Q103:Z103"/>
    <mergeCell ref="AA95:AB95"/>
    <mergeCell ref="O96:P96"/>
    <mergeCell ref="Q96:Z96"/>
    <mergeCell ref="O97:P97"/>
    <mergeCell ref="Q97:Z97"/>
    <mergeCell ref="O98:P98"/>
    <mergeCell ref="Q98:Z98"/>
    <mergeCell ref="H91:N91"/>
    <mergeCell ref="O93:Z93"/>
    <mergeCell ref="O94:P94"/>
    <mergeCell ref="Q94:Z94"/>
    <mergeCell ref="O95:P95"/>
    <mergeCell ref="Q95:Z95"/>
    <mergeCell ref="Q88:R88"/>
    <mergeCell ref="C89:D89"/>
    <mergeCell ref="E89:F89"/>
    <mergeCell ref="G89:H89"/>
    <mergeCell ref="I89:J89"/>
    <mergeCell ref="K89:L89"/>
    <mergeCell ref="N89:O89"/>
    <mergeCell ref="Q89:R89"/>
    <mergeCell ref="C88:D88"/>
    <mergeCell ref="E88:F88"/>
    <mergeCell ref="G88:H88"/>
    <mergeCell ref="I88:J88"/>
    <mergeCell ref="K88:L88"/>
    <mergeCell ref="N88:O88"/>
    <mergeCell ref="Q85:R85"/>
    <mergeCell ref="C86:D86"/>
    <mergeCell ref="E86:F86"/>
    <mergeCell ref="G86:H86"/>
    <mergeCell ref="I86:J86"/>
    <mergeCell ref="K86:L86"/>
    <mergeCell ref="N86:O86"/>
    <mergeCell ref="Q86:R86"/>
    <mergeCell ref="C85:D85"/>
    <mergeCell ref="E85:F85"/>
    <mergeCell ref="G85:H85"/>
    <mergeCell ref="I85:J85"/>
    <mergeCell ref="K85:L85"/>
    <mergeCell ref="N85:O85"/>
    <mergeCell ref="C84:D84"/>
    <mergeCell ref="E84:F84"/>
    <mergeCell ref="I84:J84"/>
    <mergeCell ref="K84:L84"/>
    <mergeCell ref="N84:O84"/>
    <mergeCell ref="Q84:R84"/>
    <mergeCell ref="Q82:R82"/>
    <mergeCell ref="C83:D83"/>
    <mergeCell ref="E83:F83"/>
    <mergeCell ref="G83:H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Q80:R80"/>
    <mergeCell ref="Y80:Z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G80:H80"/>
    <mergeCell ref="I80:J80"/>
    <mergeCell ref="K80:L80"/>
    <mergeCell ref="N80:O80"/>
    <mergeCell ref="Q78:R78"/>
    <mergeCell ref="Y78:Z78"/>
    <mergeCell ref="C79:D79"/>
    <mergeCell ref="E79:F79"/>
    <mergeCell ref="G79:H79"/>
    <mergeCell ref="I79:J79"/>
    <mergeCell ref="K79:L79"/>
    <mergeCell ref="N79:O79"/>
    <mergeCell ref="Q79:R79"/>
    <mergeCell ref="Y79:Z79"/>
    <mergeCell ref="C78:D78"/>
    <mergeCell ref="E78:F78"/>
    <mergeCell ref="G78:H78"/>
    <mergeCell ref="I78:J78"/>
    <mergeCell ref="K78:L78"/>
    <mergeCell ref="N78:O78"/>
    <mergeCell ref="Q76:R76"/>
    <mergeCell ref="C77:D77"/>
    <mergeCell ref="E77:F77"/>
    <mergeCell ref="G77:H77"/>
    <mergeCell ref="I77:J77"/>
    <mergeCell ref="K77:L77"/>
    <mergeCell ref="N77:O77"/>
    <mergeCell ref="Q77:R77"/>
    <mergeCell ref="C76:D76"/>
    <mergeCell ref="E76:F76"/>
    <mergeCell ref="G76:H76"/>
    <mergeCell ref="I76:J76"/>
    <mergeCell ref="K76:L76"/>
    <mergeCell ref="N76:O76"/>
    <mergeCell ref="V67:V72"/>
    <mergeCell ref="W67:W72"/>
    <mergeCell ref="C75:D75"/>
    <mergeCell ref="E75:F75"/>
    <mergeCell ref="I75:J75"/>
    <mergeCell ref="K75:L75"/>
    <mergeCell ref="N75:O75"/>
    <mergeCell ref="Q75:R75"/>
    <mergeCell ref="Y73:Z73"/>
    <mergeCell ref="C74:D74"/>
    <mergeCell ref="E74:F74"/>
    <mergeCell ref="I74:J74"/>
    <mergeCell ref="K74:L74"/>
    <mergeCell ref="N74:O74"/>
    <mergeCell ref="Q74:R74"/>
    <mergeCell ref="Y74:Z74"/>
    <mergeCell ref="C73:D73"/>
    <mergeCell ref="E73:F73"/>
    <mergeCell ref="I73:J73"/>
    <mergeCell ref="K73:L73"/>
    <mergeCell ref="N73:O73"/>
    <mergeCell ref="Q73:R73"/>
    <mergeCell ref="X67:X72"/>
    <mergeCell ref="C70:D70"/>
    <mergeCell ref="E70:F70"/>
    <mergeCell ref="I70:J70"/>
    <mergeCell ref="K70:L70"/>
    <mergeCell ref="N70:O70"/>
    <mergeCell ref="Q70:R70"/>
    <mergeCell ref="AR62:AS62"/>
    <mergeCell ref="AW62:AX62"/>
    <mergeCell ref="AK63:AL63"/>
    <mergeCell ref="C67:D69"/>
    <mergeCell ref="E67:F69"/>
    <mergeCell ref="G67:H71"/>
    <mergeCell ref="I67:J69"/>
    <mergeCell ref="K67:L69"/>
    <mergeCell ref="N67:O69"/>
    <mergeCell ref="Q67:R69"/>
    <mergeCell ref="C71:D71"/>
    <mergeCell ref="E71:F71"/>
    <mergeCell ref="I71:J71"/>
    <mergeCell ref="K71:L71"/>
    <mergeCell ref="N71:O71"/>
    <mergeCell ref="Q71:R71"/>
    <mergeCell ref="U67:U72"/>
    <mergeCell ref="AG56:AN57"/>
    <mergeCell ref="AO56:AO57"/>
    <mergeCell ref="AP58:AQ58"/>
    <mergeCell ref="AR58:AS58"/>
    <mergeCell ref="C60:J61"/>
    <mergeCell ref="K60:L61"/>
    <mergeCell ref="M60:T61"/>
    <mergeCell ref="U60:V61"/>
    <mergeCell ref="W60:AD61"/>
    <mergeCell ref="AE60:AF61"/>
    <mergeCell ref="C56:J57"/>
    <mergeCell ref="K56:L57"/>
    <mergeCell ref="M56:T57"/>
    <mergeCell ref="U56:V57"/>
    <mergeCell ref="W56:AD57"/>
    <mergeCell ref="AE56:AF57"/>
    <mergeCell ref="AR48:AS48"/>
    <mergeCell ref="AW49:AX50"/>
    <mergeCell ref="AP53:AQ53"/>
    <mergeCell ref="AR53:AS53"/>
    <mergeCell ref="AP54:AQ54"/>
    <mergeCell ref="AR54:AS54"/>
    <mergeCell ref="AR45:AS45"/>
    <mergeCell ref="AW45:AX45"/>
    <mergeCell ref="AR46:AS46"/>
    <mergeCell ref="AW46:AX46"/>
    <mergeCell ref="AR47:AS47"/>
    <mergeCell ref="AW47:AX47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3:AS33"/>
    <mergeCell ref="AW33:AX33"/>
    <mergeCell ref="AR34:AS34"/>
    <mergeCell ref="AW34:AX34"/>
    <mergeCell ref="AR35:AS35"/>
    <mergeCell ref="AW35:AX35"/>
    <mergeCell ref="AZ27:BC27"/>
    <mergeCell ref="AZ28:BB29"/>
    <mergeCell ref="AP27:AP32"/>
    <mergeCell ref="AQ27:AQ32"/>
    <mergeCell ref="AR27:AS32"/>
    <mergeCell ref="Z29:Z32"/>
    <mergeCell ref="AA29:AB32"/>
    <mergeCell ref="AC29:AC32"/>
    <mergeCell ref="AD29:AD32"/>
    <mergeCell ref="AE29:AE32"/>
    <mergeCell ref="AF29:AF32"/>
    <mergeCell ref="AL27:AL32"/>
    <mergeCell ref="K29:K32"/>
    <mergeCell ref="L29:L32"/>
    <mergeCell ref="M29:N32"/>
    <mergeCell ref="O29:O32"/>
    <mergeCell ref="P29:P32"/>
    <mergeCell ref="Q29:R32"/>
    <mergeCell ref="AT27:AT32"/>
    <mergeCell ref="AW27:AX32"/>
    <mergeCell ref="S29:S32"/>
    <mergeCell ref="T29:T32"/>
    <mergeCell ref="U29:U32"/>
    <mergeCell ref="V29:V32"/>
    <mergeCell ref="W29:X32"/>
    <mergeCell ref="Y29:Y32"/>
    <mergeCell ref="AP25:AQ25"/>
    <mergeCell ref="AR25:AS25"/>
    <mergeCell ref="BE26:BE27"/>
    <mergeCell ref="BF26:BF27"/>
    <mergeCell ref="B27:B32"/>
    <mergeCell ref="C27:J28"/>
    <mergeCell ref="K27:L28"/>
    <mergeCell ref="M27:T28"/>
    <mergeCell ref="U27:V28"/>
    <mergeCell ref="W27:AD28"/>
    <mergeCell ref="C29:D32"/>
    <mergeCell ref="E29:E32"/>
    <mergeCell ref="F29:F32"/>
    <mergeCell ref="G29:H32"/>
    <mergeCell ref="I29:I32"/>
    <mergeCell ref="J29:J32"/>
    <mergeCell ref="AM27:AM32"/>
    <mergeCell ref="AN27:AN32"/>
    <mergeCell ref="AO27:AO32"/>
    <mergeCell ref="AE27:AF28"/>
    <mergeCell ref="AH27:AH32"/>
    <mergeCell ref="AI27:AI32"/>
    <mergeCell ref="AJ27:AJ32"/>
    <mergeCell ref="AK27:AK32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</mergeCells>
  <conditionalFormatting sqref="AP203:AP206 AH62 AP62 AH33:AH50 AP33:AP50">
    <cfRule type="cellIs" dxfId="176" priority="24" stopIfTrue="1" operator="lessThanOrEqual">
      <formula>0</formula>
    </cfRule>
  </conditionalFormatting>
  <conditionalFormatting sqref="L291:L292 K262:L262 K291:K294 L294 K162:L163 K279:L282 K183:L183 K202:L244 L86:L145 K84:K145 K83:L83 K77:K82">
    <cfRule type="cellIs" dxfId="175" priority="23" stopIfTrue="1" operator="greaterThanOrEqual">
      <formula>$K$74</formula>
    </cfRule>
  </conditionalFormatting>
  <conditionalFormatting sqref="AR50:AT50 AR48:AT48 AP58:AT59 AR62:AS62 AS38 AS40 AR33:AS33 AT5 AR34:AR44 AP11:AT27 AR45:AS47">
    <cfRule type="cellIs" dxfId="174" priority="22" stopIfTrue="1" operator="lessThan">
      <formula>0</formula>
    </cfRule>
  </conditionalFormatting>
  <conditionalFormatting sqref="P203:P205 AJ58:AJ59 F62 Z62 F58:F60 P62:P68 P58:P60 Z58:Z60 F11:F26 AJ11:AJ27 P11:P27 Z11:Z27 Z33:Z50 P33:P55 F33:F50">
    <cfRule type="cellIs" dxfId="173" priority="21" stopIfTrue="1" operator="lessThanOrEqual">
      <formula>0</formula>
    </cfRule>
  </conditionalFormatting>
  <conditionalFormatting sqref="S203:S205 AM58:AM59 AC62 I62 AC58:AC60 S62:S68 S58:S60 I58:I60 AM11:AM27 I11:I26 S11:S27 AC11:AC27 AC33:AC50 S33:S55 I33:I50">
    <cfRule type="cellIs" dxfId="172" priority="20" stopIfTrue="1" operator="lessThanOrEqual">
      <formula>0</formula>
    </cfRule>
  </conditionalFormatting>
  <conditionalFormatting sqref="U203:V205 K58:L60 AO58:AO59 AE58:AE59 K62:L62 AE62:AF62 U62:V68 AE60:AF60 U58:V60 K48:L50 AE48:AF50 U48:V56 AF45:AF46 L45:L46 V45:V46 U43:V43 AE43:AF43 L39:L42 AF39:AF42 U33:V33 K26:L27 AE26:AF27 K33:L33 U26:V27 AE33:AF33 L23:L24 V23:V24 U34:U42 AE34:AE42 K16:L19 L20 V16:V20 K12:K15 K11:L11 U11:V11 V38:V42 K20:K25 U12:U25 AE11:AE25 AO11:AO27 U44:U47 AE44:AE47 K34:K47">
    <cfRule type="cellIs" dxfId="171" priority="19" stopIfTrue="1" operator="lessThanOrEqual">
      <formula>0</formula>
    </cfRule>
  </conditionalFormatting>
  <conditionalFormatting sqref="W213:X222 Z203:AA205 W224:X224 Z63:AA63 AA68:AB70 AA73:AB74 Z51:AA55 W75:X76 W78:X89">
    <cfRule type="cellIs" dxfId="170" priority="18" stopIfTrue="1" operator="lessThan">
      <formula>0</formula>
    </cfRule>
  </conditionalFormatting>
  <conditionalFormatting sqref="X203:X205 U224 U213:U222 X63:X68 X51 X53:X55 U75:U76 U78:U89">
    <cfRule type="cellIs" dxfId="169" priority="17" stopIfTrue="1" operator="greaterThan">
      <formula>48</formula>
    </cfRule>
  </conditionalFormatting>
  <conditionalFormatting sqref="C279:C283 C291:D294 C162:D162 D279:D290 C90:D145 C244:D244 C225:D225">
    <cfRule type="cellIs" dxfId="168" priority="16" stopIfTrue="1" operator="lessThan">
      <formula>$C$73</formula>
    </cfRule>
  </conditionalFormatting>
  <conditionalFormatting sqref="AI62:AO62 AI33:AO50">
    <cfRule type="cellIs" dxfId="167" priority="14" stopIfTrue="1" operator="equal">
      <formula>0</formula>
    </cfRule>
    <cfRule type="cellIs" dxfId="166" priority="15" stopIfTrue="1" operator="lessThan">
      <formula>0</formula>
    </cfRule>
  </conditionalFormatting>
  <conditionalFormatting sqref="AT62 AT33:AT47">
    <cfRule type="cellIs" dxfId="165" priority="12" stopIfTrue="1" operator="greaterThan">
      <formula>0</formula>
    </cfRule>
    <cfRule type="cellIs" dxfId="164" priority="13" stopIfTrue="1" operator="lessThan">
      <formula>1</formula>
    </cfRule>
  </conditionalFormatting>
  <conditionalFormatting sqref="K210:L220 K223:L223 K73:L88">
    <cfRule type="cellIs" dxfId="163" priority="11" stopIfTrue="1" operator="greaterThanOrEqual">
      <formula>$K$71</formula>
    </cfRule>
  </conditionalFormatting>
  <conditionalFormatting sqref="AF58:AF59 L12:L25 AF11:AF25 V12:V25 AF33:AF47 V33:V47 L33:L47">
    <cfRule type="cellIs" dxfId="162" priority="9" stopIfTrue="1" operator="equal">
      <formula>0</formula>
    </cfRule>
    <cfRule type="cellIs" dxfId="161" priority="10" stopIfTrue="1" operator="lessThan">
      <formula>0</formula>
    </cfRule>
  </conditionalFormatting>
  <conditionalFormatting sqref="AP53:AT53">
    <cfRule type="cellIs" dxfId="160" priority="8" stopIfTrue="1" operator="lessThan">
      <formula>0</formula>
    </cfRule>
  </conditionalFormatting>
  <conditionalFormatting sqref="AJ53">
    <cfRule type="cellIs" dxfId="159" priority="7" stopIfTrue="1" operator="lessThanOrEqual">
      <formula>0</formula>
    </cfRule>
  </conditionalFormatting>
  <conditionalFormatting sqref="AM53">
    <cfRule type="cellIs" dxfId="158" priority="6" stopIfTrue="1" operator="lessThanOrEqual">
      <formula>0</formula>
    </cfRule>
  </conditionalFormatting>
  <conditionalFormatting sqref="AO53">
    <cfRule type="cellIs" dxfId="157" priority="5" stopIfTrue="1" operator="lessThanOrEqual">
      <formula>0</formula>
    </cfRule>
  </conditionalFormatting>
  <conditionalFormatting sqref="AP54:AT54">
    <cfRule type="cellIs" dxfId="156" priority="4" stopIfTrue="1" operator="lessThan">
      <formula>0</formula>
    </cfRule>
  </conditionalFormatting>
  <conditionalFormatting sqref="AJ54">
    <cfRule type="cellIs" dxfId="155" priority="3" stopIfTrue="1" operator="lessThanOrEqual">
      <formula>0</formula>
    </cfRule>
  </conditionalFormatting>
  <conditionalFormatting sqref="AM54">
    <cfRule type="cellIs" dxfId="154" priority="2" stopIfTrue="1" operator="lessThanOrEqual">
      <formula>0</formula>
    </cfRule>
  </conditionalFormatting>
  <conditionalFormatting sqref="AO54">
    <cfRule type="cellIs" dxfId="153" priority="1" stopIfTrue="1" operator="lessThanOrEqual">
      <formula>0</formula>
    </cfRule>
  </conditionalFormatting>
  <hyperlinks>
    <hyperlink ref="AB215" r:id="rId1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F14:BA15 AT24 AK36 AF18 AF16 AJ16:BA16 AF17 AJ17:BA17 AJ18:BA18" formula="1"/>
  </ignoredErrors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H281"/>
  <sheetViews>
    <sheetView zoomScale="90" zoomScaleNormal="90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C5" sqref="C5:J6"/>
    </sheetView>
  </sheetViews>
  <sheetFormatPr baseColWidth="10" defaultRowHeight="15"/>
  <cols>
    <col min="1" max="1" width="2.28515625" style="1" customWidth="1"/>
    <col min="2" max="2" width="13.7109375" style="7" customWidth="1"/>
    <col min="3" max="4" width="4.28515625" style="3" customWidth="1"/>
    <col min="5" max="5" width="4.28515625" style="4" customWidth="1"/>
    <col min="6" max="6" width="4.28515625" style="5" customWidth="1"/>
    <col min="7" max="8" width="4.28515625" style="3" customWidth="1"/>
    <col min="9" max="9" width="4.28515625" style="5" customWidth="1"/>
    <col min="10" max="10" width="4.28515625" style="3" customWidth="1"/>
    <col min="11" max="12" width="4.28515625" style="6" customWidth="1"/>
    <col min="13" max="26" width="4.28515625" style="3" customWidth="1"/>
    <col min="27" max="39" width="4.28515625" style="7" customWidth="1"/>
    <col min="40" max="40" width="4.7109375" style="7" customWidth="1"/>
    <col min="41" max="41" width="4.28515625" style="7" customWidth="1"/>
    <col min="42" max="42" width="4.7109375" style="7" customWidth="1"/>
    <col min="43" max="43" width="0.5703125" style="7" customWidth="1"/>
    <col min="44" max="45" width="4.140625" style="7" customWidth="1"/>
    <col min="46" max="46" width="7.7109375" style="7" customWidth="1"/>
    <col min="47" max="47" width="0.85546875" style="7" customWidth="1"/>
    <col min="48" max="54" width="2.7109375" style="7" customWidth="1"/>
    <col min="55" max="55" width="0.85546875" style="7" customWidth="1"/>
    <col min="56" max="56" width="8.42578125" style="7" bestFit="1" customWidth="1"/>
    <col min="57" max="57" width="10.28515625" style="7" customWidth="1"/>
    <col min="58" max="59" width="11.42578125" style="7"/>
    <col min="60" max="62" width="12.7109375" style="7" customWidth="1"/>
    <col min="63" max="16384" width="11.42578125" style="7"/>
  </cols>
  <sheetData>
    <row r="1" spans="1:60" ht="6.95" customHeight="1">
      <c r="B1" s="2">
        <f>+W27</f>
        <v>43887</v>
      </c>
      <c r="C1" s="3" t="s">
        <v>0</v>
      </c>
      <c r="AN1" s="8"/>
      <c r="AO1" s="8"/>
      <c r="AR1" s="734">
        <f>+AR48+AT48</f>
        <v>181</v>
      </c>
      <c r="AS1" s="735"/>
      <c r="AT1" s="735"/>
      <c r="AU1" s="736"/>
    </row>
    <row r="2" spans="1:60" ht="6.95" customHeight="1">
      <c r="AJ2" s="8"/>
      <c r="AK2" s="8"/>
      <c r="AL2" s="8"/>
      <c r="AM2" s="8"/>
      <c r="AN2" s="8"/>
      <c r="AO2" s="8"/>
      <c r="AR2" s="737"/>
      <c r="AS2" s="738"/>
      <c r="AT2" s="738"/>
      <c r="AU2" s="739"/>
    </row>
    <row r="3" spans="1:60" s="10" customFormat="1" ht="20.100000000000001" customHeight="1">
      <c r="A3" s="1"/>
      <c r="B3" s="740">
        <f>+B1+1</f>
        <v>43888</v>
      </c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740"/>
      <c r="AB3" s="740"/>
      <c r="AC3" s="740"/>
      <c r="AD3" s="740"/>
      <c r="AE3" s="740"/>
      <c r="AF3" s="740"/>
      <c r="AG3" s="740"/>
      <c r="AH3" s="740"/>
      <c r="AI3" s="740"/>
      <c r="AJ3" s="740"/>
      <c r="AK3" s="740"/>
      <c r="AL3" s="740"/>
      <c r="AM3" s="740"/>
      <c r="AN3" s="740"/>
      <c r="AO3" s="740"/>
      <c r="AP3" s="9"/>
      <c r="AT3" s="11"/>
    </row>
    <row r="4" spans="1:60" ht="3" customHeight="1" thickBot="1">
      <c r="B4" s="12"/>
      <c r="C4" s="3">
        <v>0</v>
      </c>
    </row>
    <row r="5" spans="1:60" ht="9.9499999999999993" customHeight="1">
      <c r="B5" s="741" t="s">
        <v>1</v>
      </c>
      <c r="C5" s="744">
        <v>43881</v>
      </c>
      <c r="D5" s="744"/>
      <c r="E5" s="744"/>
      <c r="F5" s="744"/>
      <c r="G5" s="744"/>
      <c r="H5" s="744"/>
      <c r="I5" s="744"/>
      <c r="J5" s="744"/>
      <c r="K5" s="746"/>
      <c r="L5" s="747"/>
      <c r="M5" s="744">
        <f>1+C5</f>
        <v>43882</v>
      </c>
      <c r="N5" s="744"/>
      <c r="O5" s="744"/>
      <c r="P5" s="744"/>
      <c r="Q5" s="744"/>
      <c r="R5" s="744"/>
      <c r="S5" s="744"/>
      <c r="T5" s="744"/>
      <c r="U5" s="746"/>
      <c r="V5" s="747"/>
      <c r="W5" s="750">
        <f>1+M5</f>
        <v>43883</v>
      </c>
      <c r="X5" s="750"/>
      <c r="Y5" s="750"/>
      <c r="Z5" s="750"/>
      <c r="AA5" s="750"/>
      <c r="AB5" s="750"/>
      <c r="AC5" s="750"/>
      <c r="AD5" s="750"/>
      <c r="AE5" s="752"/>
      <c r="AF5" s="753"/>
      <c r="AG5" s="756">
        <f>1+W5</f>
        <v>43884</v>
      </c>
      <c r="AH5" s="757"/>
      <c r="AI5" s="757"/>
      <c r="AJ5" s="757"/>
      <c r="AK5" s="757"/>
      <c r="AL5" s="757"/>
      <c r="AM5" s="757"/>
      <c r="AN5" s="757"/>
      <c r="AO5" s="791" t="s">
        <v>2</v>
      </c>
      <c r="AP5" s="793" t="s">
        <v>3</v>
      </c>
      <c r="AQ5" s="794"/>
      <c r="AR5" s="794"/>
      <c r="AS5" s="795"/>
      <c r="AT5" s="802" t="s">
        <v>4</v>
      </c>
      <c r="AV5" s="779" t="s">
        <v>5</v>
      </c>
      <c r="AW5" s="779"/>
      <c r="AX5" s="779"/>
      <c r="AY5" s="779"/>
      <c r="AZ5" s="779"/>
      <c r="BA5" s="779"/>
      <c r="BB5" s="779"/>
      <c r="BC5" s="13"/>
      <c r="BD5" s="804" t="s">
        <v>6</v>
      </c>
      <c r="BE5" s="805" t="s">
        <v>7</v>
      </c>
      <c r="BF5" s="776" t="s">
        <v>8</v>
      </c>
    </row>
    <row r="6" spans="1:60" ht="9.9499999999999993" customHeight="1">
      <c r="B6" s="742"/>
      <c r="C6" s="745"/>
      <c r="D6" s="745"/>
      <c r="E6" s="745"/>
      <c r="F6" s="745"/>
      <c r="G6" s="745"/>
      <c r="H6" s="745"/>
      <c r="I6" s="745"/>
      <c r="J6" s="745"/>
      <c r="K6" s="748"/>
      <c r="L6" s="749"/>
      <c r="M6" s="745"/>
      <c r="N6" s="745"/>
      <c r="O6" s="745"/>
      <c r="P6" s="745"/>
      <c r="Q6" s="745"/>
      <c r="R6" s="745"/>
      <c r="S6" s="745"/>
      <c r="T6" s="745"/>
      <c r="U6" s="748"/>
      <c r="V6" s="749"/>
      <c r="W6" s="751"/>
      <c r="X6" s="751"/>
      <c r="Y6" s="751"/>
      <c r="Z6" s="751"/>
      <c r="AA6" s="751"/>
      <c r="AB6" s="751"/>
      <c r="AC6" s="751"/>
      <c r="AD6" s="751"/>
      <c r="AE6" s="754"/>
      <c r="AF6" s="755"/>
      <c r="AG6" s="758"/>
      <c r="AH6" s="759"/>
      <c r="AI6" s="759"/>
      <c r="AJ6" s="759"/>
      <c r="AK6" s="759"/>
      <c r="AL6" s="759"/>
      <c r="AM6" s="759"/>
      <c r="AN6" s="759"/>
      <c r="AO6" s="792"/>
      <c r="AP6" s="796"/>
      <c r="AQ6" s="797"/>
      <c r="AR6" s="797"/>
      <c r="AS6" s="798"/>
      <c r="AT6" s="803"/>
      <c r="AV6" s="779" t="s">
        <v>9</v>
      </c>
      <c r="AW6" s="779"/>
      <c r="AX6" s="779"/>
      <c r="AY6" s="779"/>
      <c r="AZ6" s="779"/>
      <c r="BA6" s="779"/>
      <c r="BB6" s="779"/>
      <c r="BC6" s="13"/>
      <c r="BD6" s="804"/>
      <c r="BE6" s="805"/>
      <c r="BF6" s="777"/>
    </row>
    <row r="7" spans="1:60" ht="15.2" customHeight="1">
      <c r="B7" s="742"/>
      <c r="C7" s="780" t="s">
        <v>10</v>
      </c>
      <c r="D7" s="781"/>
      <c r="E7" s="766" t="s">
        <v>11</v>
      </c>
      <c r="F7" s="769" t="s">
        <v>12</v>
      </c>
      <c r="G7" s="772" t="s">
        <v>10</v>
      </c>
      <c r="H7" s="761"/>
      <c r="I7" s="769" t="s">
        <v>12</v>
      </c>
      <c r="J7" s="773" t="s">
        <v>13</v>
      </c>
      <c r="K7" s="786" t="s">
        <v>14</v>
      </c>
      <c r="L7" s="789" t="s">
        <v>15</v>
      </c>
      <c r="M7" s="760" t="s">
        <v>10</v>
      </c>
      <c r="N7" s="761"/>
      <c r="O7" s="766" t="s">
        <v>11</v>
      </c>
      <c r="P7" s="769" t="s">
        <v>12</v>
      </c>
      <c r="Q7" s="772" t="s">
        <v>10</v>
      </c>
      <c r="R7" s="761"/>
      <c r="S7" s="769" t="s">
        <v>12</v>
      </c>
      <c r="T7" s="773" t="s">
        <v>13</v>
      </c>
      <c r="U7" s="786" t="s">
        <v>14</v>
      </c>
      <c r="V7" s="789" t="s">
        <v>15</v>
      </c>
      <c r="W7" s="814" t="s">
        <v>10</v>
      </c>
      <c r="X7" s="810"/>
      <c r="Y7" s="766" t="s">
        <v>11</v>
      </c>
      <c r="Z7" s="769" t="s">
        <v>12</v>
      </c>
      <c r="AA7" s="809" t="s">
        <v>10</v>
      </c>
      <c r="AB7" s="810"/>
      <c r="AC7" s="769" t="s">
        <v>12</v>
      </c>
      <c r="AD7" s="773" t="s">
        <v>13</v>
      </c>
      <c r="AE7" s="807" t="s">
        <v>14</v>
      </c>
      <c r="AF7" s="789" t="s">
        <v>15</v>
      </c>
      <c r="AG7" s="809" t="s">
        <v>10</v>
      </c>
      <c r="AH7" s="810"/>
      <c r="AI7" s="766" t="s">
        <v>11</v>
      </c>
      <c r="AJ7" s="825" t="s">
        <v>12</v>
      </c>
      <c r="AK7" s="809" t="s">
        <v>10</v>
      </c>
      <c r="AL7" s="810"/>
      <c r="AM7" s="769" t="s">
        <v>12</v>
      </c>
      <c r="AN7" s="828" t="s">
        <v>16</v>
      </c>
      <c r="AO7" s="830" t="s">
        <v>14</v>
      </c>
      <c r="AP7" s="796"/>
      <c r="AQ7" s="797"/>
      <c r="AR7" s="797"/>
      <c r="AS7" s="798"/>
      <c r="AT7" s="803"/>
      <c r="AV7" s="806">
        <f>+C5</f>
        <v>43881</v>
      </c>
      <c r="AW7" s="806">
        <f>+M5</f>
        <v>43882</v>
      </c>
      <c r="AX7" s="806">
        <f>+W5</f>
        <v>43883</v>
      </c>
      <c r="AY7" s="832">
        <f>+AG5</f>
        <v>43884</v>
      </c>
      <c r="AZ7" s="806">
        <f>+C27</f>
        <v>43885</v>
      </c>
      <c r="BA7" s="806">
        <f>+M27</f>
        <v>43886</v>
      </c>
      <c r="BB7" s="806">
        <f>+W27</f>
        <v>43887</v>
      </c>
      <c r="BC7" s="14"/>
      <c r="BD7" s="804"/>
      <c r="BE7" s="805"/>
      <c r="BF7" s="777"/>
    </row>
    <row r="8" spans="1:60" ht="15.2" customHeight="1">
      <c r="B8" s="742"/>
      <c r="C8" s="782"/>
      <c r="D8" s="783"/>
      <c r="E8" s="767"/>
      <c r="F8" s="770"/>
      <c r="G8" s="763"/>
      <c r="H8" s="763"/>
      <c r="I8" s="770"/>
      <c r="J8" s="774"/>
      <c r="K8" s="787"/>
      <c r="L8" s="789"/>
      <c r="M8" s="762"/>
      <c r="N8" s="763"/>
      <c r="O8" s="767"/>
      <c r="P8" s="770"/>
      <c r="Q8" s="763"/>
      <c r="R8" s="763"/>
      <c r="S8" s="770"/>
      <c r="T8" s="774"/>
      <c r="U8" s="787"/>
      <c r="V8" s="789"/>
      <c r="W8" s="815"/>
      <c r="X8" s="810"/>
      <c r="Y8" s="767"/>
      <c r="Z8" s="770"/>
      <c r="AA8" s="811"/>
      <c r="AB8" s="810"/>
      <c r="AC8" s="770"/>
      <c r="AD8" s="774"/>
      <c r="AE8" s="807"/>
      <c r="AF8" s="789"/>
      <c r="AG8" s="811"/>
      <c r="AH8" s="810"/>
      <c r="AI8" s="767"/>
      <c r="AJ8" s="826"/>
      <c r="AK8" s="811"/>
      <c r="AL8" s="810"/>
      <c r="AM8" s="770"/>
      <c r="AN8" s="828"/>
      <c r="AO8" s="830"/>
      <c r="AP8" s="796"/>
      <c r="AQ8" s="797"/>
      <c r="AR8" s="797"/>
      <c r="AS8" s="798"/>
      <c r="AT8" s="803"/>
      <c r="AV8" s="806"/>
      <c r="AW8" s="806"/>
      <c r="AX8" s="806"/>
      <c r="AY8" s="832"/>
      <c r="AZ8" s="806"/>
      <c r="BA8" s="806"/>
      <c r="BB8" s="806"/>
      <c r="BC8" s="14"/>
      <c r="BD8" s="804"/>
      <c r="BE8" s="805"/>
      <c r="BF8" s="777"/>
    </row>
    <row r="9" spans="1:60" ht="15.2" customHeight="1">
      <c r="B9" s="742"/>
      <c r="C9" s="782"/>
      <c r="D9" s="783"/>
      <c r="E9" s="767"/>
      <c r="F9" s="770"/>
      <c r="G9" s="763"/>
      <c r="H9" s="763"/>
      <c r="I9" s="770"/>
      <c r="J9" s="774"/>
      <c r="K9" s="787"/>
      <c r="L9" s="789"/>
      <c r="M9" s="762"/>
      <c r="N9" s="763"/>
      <c r="O9" s="767"/>
      <c r="P9" s="770"/>
      <c r="Q9" s="763"/>
      <c r="R9" s="763"/>
      <c r="S9" s="770"/>
      <c r="T9" s="774"/>
      <c r="U9" s="787"/>
      <c r="V9" s="789"/>
      <c r="W9" s="815"/>
      <c r="X9" s="810"/>
      <c r="Y9" s="767"/>
      <c r="Z9" s="770"/>
      <c r="AA9" s="811"/>
      <c r="AB9" s="810"/>
      <c r="AC9" s="770"/>
      <c r="AD9" s="774"/>
      <c r="AE9" s="807"/>
      <c r="AF9" s="789"/>
      <c r="AG9" s="811"/>
      <c r="AH9" s="810"/>
      <c r="AI9" s="767"/>
      <c r="AJ9" s="826"/>
      <c r="AK9" s="811"/>
      <c r="AL9" s="810"/>
      <c r="AM9" s="770"/>
      <c r="AN9" s="828"/>
      <c r="AO9" s="830"/>
      <c r="AP9" s="796"/>
      <c r="AQ9" s="797"/>
      <c r="AR9" s="797"/>
      <c r="AS9" s="798"/>
      <c r="AT9" s="803"/>
      <c r="AV9" s="806"/>
      <c r="AW9" s="806"/>
      <c r="AX9" s="806"/>
      <c r="AY9" s="832"/>
      <c r="AZ9" s="806"/>
      <c r="BA9" s="806"/>
      <c r="BB9" s="806"/>
      <c r="BC9" s="14"/>
      <c r="BD9" s="804"/>
      <c r="BE9" s="805"/>
      <c r="BF9" s="777"/>
    </row>
    <row r="10" spans="1:60" ht="15.2" customHeight="1" thickBot="1">
      <c r="B10" s="743"/>
      <c r="C10" s="784"/>
      <c r="D10" s="785"/>
      <c r="E10" s="768"/>
      <c r="F10" s="771"/>
      <c r="G10" s="765"/>
      <c r="H10" s="765"/>
      <c r="I10" s="771"/>
      <c r="J10" s="775"/>
      <c r="K10" s="788"/>
      <c r="L10" s="790"/>
      <c r="M10" s="764"/>
      <c r="N10" s="765"/>
      <c r="O10" s="768"/>
      <c r="P10" s="771"/>
      <c r="Q10" s="765"/>
      <c r="R10" s="765"/>
      <c r="S10" s="771"/>
      <c r="T10" s="775"/>
      <c r="U10" s="788"/>
      <c r="V10" s="790"/>
      <c r="W10" s="816"/>
      <c r="X10" s="813"/>
      <c r="Y10" s="768"/>
      <c r="Z10" s="771"/>
      <c r="AA10" s="812"/>
      <c r="AB10" s="813"/>
      <c r="AC10" s="771"/>
      <c r="AD10" s="775"/>
      <c r="AE10" s="808"/>
      <c r="AF10" s="790"/>
      <c r="AG10" s="812"/>
      <c r="AH10" s="813"/>
      <c r="AI10" s="768"/>
      <c r="AJ10" s="827"/>
      <c r="AK10" s="812"/>
      <c r="AL10" s="813"/>
      <c r="AM10" s="771"/>
      <c r="AN10" s="829"/>
      <c r="AO10" s="831"/>
      <c r="AP10" s="799"/>
      <c r="AQ10" s="800"/>
      <c r="AR10" s="800"/>
      <c r="AS10" s="801"/>
      <c r="AT10" s="15">
        <v>4</v>
      </c>
      <c r="AV10" s="806"/>
      <c r="AW10" s="806"/>
      <c r="AX10" s="806"/>
      <c r="AY10" s="832"/>
      <c r="AZ10" s="806"/>
      <c r="BA10" s="806"/>
      <c r="BB10" s="806"/>
      <c r="BC10" s="14"/>
      <c r="BD10" s="804"/>
      <c r="BE10" s="805"/>
      <c r="BF10" s="778"/>
    </row>
    <row r="11" spans="1:60" ht="14.1" customHeight="1">
      <c r="A11" s="1">
        <v>1</v>
      </c>
      <c r="B11" s="16" t="str">
        <f t="shared" ref="B11:B24" si="0">+B73</f>
        <v>Eduardo Segura D.</v>
      </c>
      <c r="C11" s="17">
        <v>7</v>
      </c>
      <c r="D11" s="18">
        <v>15</v>
      </c>
      <c r="E11" s="19">
        <v>1</v>
      </c>
      <c r="F11" s="20">
        <f t="shared" ref="F11:F21" si="1">+D11-C11-E11</f>
        <v>7</v>
      </c>
      <c r="G11" s="21"/>
      <c r="H11" s="22"/>
      <c r="I11" s="20">
        <f t="shared" ref="I11:I21" si="2">+H11-G11</f>
        <v>0</v>
      </c>
      <c r="J11" s="23"/>
      <c r="K11" s="24">
        <f t="shared" ref="K11:K21" si="3">+I11+F11-L11</f>
        <v>8</v>
      </c>
      <c r="L11" s="25">
        <f t="shared" ref="L11:L25" si="4">IF(C11&gt;0,(F11+I11)+IF(K$5&gt;0,F11,-8),0)+IF(U$5&gt;0,I11,0)</f>
        <v>-1</v>
      </c>
      <c r="M11" s="26">
        <v>7</v>
      </c>
      <c r="N11" s="21">
        <v>16</v>
      </c>
      <c r="O11" s="23">
        <v>1</v>
      </c>
      <c r="P11" s="20">
        <f t="shared" ref="P11:P21" si="5">+N11-M11-O11</f>
        <v>8</v>
      </c>
      <c r="Q11" s="22"/>
      <c r="R11" s="22"/>
      <c r="S11" s="20">
        <f t="shared" ref="S11:S21" si="6">+R11-Q11</f>
        <v>0</v>
      </c>
      <c r="T11" s="23"/>
      <c r="U11" s="24">
        <f t="shared" ref="U11:U21" si="7">+S11+P11-V11</f>
        <v>8</v>
      </c>
      <c r="V11" s="25">
        <f t="shared" ref="V11:V21" si="8">IF(M11&gt;0,(P11+S11)+IF(U$5&gt;0,P11,-8),0)+IF(AE$5&gt;0,S11,0)</f>
        <v>0</v>
      </c>
      <c r="W11" s="26">
        <v>8</v>
      </c>
      <c r="X11" s="22">
        <v>16</v>
      </c>
      <c r="Y11" s="27">
        <v>1</v>
      </c>
      <c r="Z11" s="20">
        <f t="shared" ref="Z11:Z21" si="9">+X11-W11-Y11</f>
        <v>7</v>
      </c>
      <c r="AA11" s="22"/>
      <c r="AB11" s="28">
        <v>0.5</v>
      </c>
      <c r="AC11" s="20">
        <f t="shared" ref="AC11:AC21" si="10">+AB11-AA11</f>
        <v>0.5</v>
      </c>
      <c r="AD11" s="23"/>
      <c r="AE11" s="24">
        <f t="shared" ref="AE11:AE25" si="11">+AC11+Z11-IF(AE$5&gt;0,AF11/2,AF11)</f>
        <v>8.5</v>
      </c>
      <c r="AF11" s="25">
        <f>IF(W11&gt;0,IF(AE$5&gt;0,(Z11+AC11)*2,(Z11+AC11-8)),0)*IF(Z11&lt;9,IF(AE$5&gt;0,1,2),1)+IF(Z11&gt;8,AC11,0)</f>
        <v>-1</v>
      </c>
      <c r="AG11" s="22">
        <v>8</v>
      </c>
      <c r="AH11" s="22">
        <v>15</v>
      </c>
      <c r="AI11" s="27">
        <v>1</v>
      </c>
      <c r="AJ11" s="29">
        <f t="shared" ref="AJ11:AJ25" si="12">+AH11-AG11-AI11</f>
        <v>6</v>
      </c>
      <c r="AK11" s="21"/>
      <c r="AL11" s="21"/>
      <c r="AM11" s="20">
        <f t="shared" ref="AM11:AM21" si="13">+AL11-AK11</f>
        <v>0</v>
      </c>
      <c r="AN11" s="30"/>
      <c r="AO11" s="31">
        <f t="shared" ref="AO11:AO21" si="14">(AJ11*2+AM11)</f>
        <v>12</v>
      </c>
      <c r="AP11" s="817">
        <f t="shared" ref="AP11:AP25" si="15">+L11+V11+AF11+AO11+L33+V33+AF33-AN11</f>
        <v>10</v>
      </c>
      <c r="AQ11" s="818"/>
      <c r="AR11" s="819">
        <f t="shared" ref="AR11:AR21" si="16">ROUND(BD11*AP11,1)</f>
        <v>45.5</v>
      </c>
      <c r="AS11" s="820"/>
      <c r="AT11" s="32">
        <f t="shared" ref="AT11:AT23" si="17">IF(AT33&gt;0,AT33*$AT$10,0)</f>
        <v>28</v>
      </c>
      <c r="AV11" s="33">
        <f t="shared" ref="AV11:AV21" si="18">+L11</f>
        <v>-1</v>
      </c>
      <c r="AW11" s="33">
        <f t="shared" ref="AW11:AW21" si="19">+V11</f>
        <v>0</v>
      </c>
      <c r="AX11" s="33">
        <f t="shared" ref="AX11:AX21" si="20">+AF11</f>
        <v>-1</v>
      </c>
      <c r="AY11" s="34">
        <f t="shared" ref="AY11:AY21" si="21">+AO11</f>
        <v>12</v>
      </c>
      <c r="AZ11" s="33">
        <f t="shared" ref="AZ11:AZ17" si="22">+L33</f>
        <v>0</v>
      </c>
      <c r="BA11" s="33">
        <f t="shared" ref="BA11:BA17" si="23">+V33</f>
        <v>0</v>
      </c>
      <c r="BB11" s="33">
        <f t="shared" ref="BB11:BB17" si="24">+AF33</f>
        <v>0</v>
      </c>
      <c r="BC11" s="35"/>
      <c r="BD11" s="36">
        <f t="shared" ref="BD11:BD23" si="25">+I73</f>
        <v>4.5464285714285708</v>
      </c>
      <c r="BE11" s="37">
        <f t="shared" ref="BE11:BE21" si="26">+BD11*AP11</f>
        <v>45.464285714285708</v>
      </c>
      <c r="BF11" s="38">
        <f t="shared" ref="BF11:BF21" si="27">+BD11*AY11</f>
        <v>54.55714285714285</v>
      </c>
    </row>
    <row r="12" spans="1:60" ht="14.1" customHeight="1">
      <c r="A12" s="1">
        <v>2</v>
      </c>
      <c r="B12" s="63" t="str">
        <f t="shared" si="0"/>
        <v>Cesar Mendez M.</v>
      </c>
      <c r="C12" s="17">
        <v>7</v>
      </c>
      <c r="D12" s="18">
        <v>17</v>
      </c>
      <c r="E12" s="19">
        <v>1</v>
      </c>
      <c r="F12" s="40">
        <f t="shared" si="1"/>
        <v>9</v>
      </c>
      <c r="G12" s="18"/>
      <c r="H12" s="18"/>
      <c r="I12" s="40">
        <f t="shared" si="2"/>
        <v>0</v>
      </c>
      <c r="J12" s="19"/>
      <c r="K12" s="41">
        <f t="shared" si="3"/>
        <v>8</v>
      </c>
      <c r="L12" s="25">
        <f t="shared" si="4"/>
        <v>1</v>
      </c>
      <c r="M12" s="704">
        <v>7</v>
      </c>
      <c r="N12" s="18">
        <v>16</v>
      </c>
      <c r="O12" s="19">
        <v>1</v>
      </c>
      <c r="P12" s="40">
        <f t="shared" si="5"/>
        <v>8</v>
      </c>
      <c r="Q12" s="43"/>
      <c r="R12" s="43"/>
      <c r="S12" s="40">
        <f t="shared" si="6"/>
        <v>0</v>
      </c>
      <c r="T12" s="19"/>
      <c r="U12" s="41">
        <f t="shared" si="7"/>
        <v>8</v>
      </c>
      <c r="V12" s="25">
        <f t="shared" si="8"/>
        <v>0</v>
      </c>
      <c r="W12" s="18">
        <v>8</v>
      </c>
      <c r="X12" s="18">
        <v>16</v>
      </c>
      <c r="Y12" s="19">
        <v>1</v>
      </c>
      <c r="Z12" s="40">
        <f t="shared" si="9"/>
        <v>7</v>
      </c>
      <c r="AA12" s="44"/>
      <c r="AB12" s="28">
        <v>1</v>
      </c>
      <c r="AC12" s="40">
        <f t="shared" si="10"/>
        <v>1</v>
      </c>
      <c r="AD12" s="19"/>
      <c r="AE12" s="41">
        <f t="shared" si="11"/>
        <v>8</v>
      </c>
      <c r="AF12" s="25">
        <f>IF(W12&gt;0,IF(AE$5&gt;0,(Z12+AC12)*2,(Z12+AC12-8)),0)*IF(Z12&lt;9,IF(AE$5&gt;0,1,2),1)+IF(Z12&gt;8,AC12,0)</f>
        <v>0</v>
      </c>
      <c r="AG12" s="45">
        <v>7</v>
      </c>
      <c r="AH12" s="18">
        <v>18</v>
      </c>
      <c r="AI12" s="19">
        <v>1</v>
      </c>
      <c r="AJ12" s="46">
        <f>+AH12-AG12-AI12</f>
        <v>10</v>
      </c>
      <c r="AK12" s="18"/>
      <c r="AL12" s="18"/>
      <c r="AM12" s="40">
        <f t="shared" si="13"/>
        <v>0</v>
      </c>
      <c r="AN12" s="47"/>
      <c r="AO12" s="48">
        <f t="shared" si="14"/>
        <v>20</v>
      </c>
      <c r="AP12" s="821">
        <f t="shared" si="15"/>
        <v>26</v>
      </c>
      <c r="AQ12" s="822"/>
      <c r="AR12" s="823">
        <f t="shared" si="16"/>
        <v>133.5</v>
      </c>
      <c r="AS12" s="824"/>
      <c r="AT12" s="49">
        <f t="shared" si="17"/>
        <v>28</v>
      </c>
      <c r="AV12" s="33">
        <f t="shared" si="18"/>
        <v>1</v>
      </c>
      <c r="AW12" s="33">
        <f t="shared" si="19"/>
        <v>0</v>
      </c>
      <c r="AX12" s="33">
        <f t="shared" si="20"/>
        <v>0</v>
      </c>
      <c r="AY12" s="34">
        <f t="shared" si="21"/>
        <v>20</v>
      </c>
      <c r="AZ12" s="33">
        <f t="shared" si="22"/>
        <v>1</v>
      </c>
      <c r="BA12" s="33">
        <f t="shared" si="23"/>
        <v>1</v>
      </c>
      <c r="BB12" s="33">
        <f t="shared" si="24"/>
        <v>3</v>
      </c>
      <c r="BC12" s="35"/>
      <c r="BD12" s="36">
        <f t="shared" si="25"/>
        <v>5.1339285714285712</v>
      </c>
      <c r="BE12" s="37">
        <f t="shared" si="26"/>
        <v>133.48214285714286</v>
      </c>
      <c r="BF12" s="38">
        <f t="shared" si="27"/>
        <v>102.67857142857142</v>
      </c>
    </row>
    <row r="13" spans="1:60" ht="14.1" customHeight="1">
      <c r="A13" s="1">
        <v>4</v>
      </c>
      <c r="B13" s="63" t="str">
        <f t="shared" si="0"/>
        <v>Juan Manrique V.</v>
      </c>
      <c r="C13" s="17">
        <v>7</v>
      </c>
      <c r="D13" s="18">
        <v>17</v>
      </c>
      <c r="E13" s="19">
        <v>1</v>
      </c>
      <c r="F13" s="40">
        <f t="shared" si="1"/>
        <v>9</v>
      </c>
      <c r="G13" s="18"/>
      <c r="H13" s="43"/>
      <c r="I13" s="40">
        <f t="shared" si="2"/>
        <v>0</v>
      </c>
      <c r="J13" s="19"/>
      <c r="K13" s="41">
        <f t="shared" si="3"/>
        <v>8</v>
      </c>
      <c r="L13" s="25">
        <f t="shared" si="4"/>
        <v>1</v>
      </c>
      <c r="M13" s="704">
        <v>7</v>
      </c>
      <c r="N13" s="18">
        <v>16</v>
      </c>
      <c r="O13" s="19">
        <v>1</v>
      </c>
      <c r="P13" s="40">
        <f t="shared" si="5"/>
        <v>8</v>
      </c>
      <c r="Q13" s="43"/>
      <c r="R13" s="43"/>
      <c r="S13" s="40">
        <f t="shared" si="6"/>
        <v>0</v>
      </c>
      <c r="T13" s="19"/>
      <c r="U13" s="41">
        <f t="shared" si="7"/>
        <v>8</v>
      </c>
      <c r="V13" s="25">
        <f t="shared" si="8"/>
        <v>0</v>
      </c>
      <c r="W13" s="18">
        <v>7</v>
      </c>
      <c r="X13" s="18">
        <v>16</v>
      </c>
      <c r="Y13" s="19">
        <v>1</v>
      </c>
      <c r="Z13" s="40">
        <f t="shared" si="9"/>
        <v>8</v>
      </c>
      <c r="AA13" s="43"/>
      <c r="AB13" s="28"/>
      <c r="AC13" s="40">
        <f t="shared" si="10"/>
        <v>0</v>
      </c>
      <c r="AD13" s="19"/>
      <c r="AE13" s="41">
        <f t="shared" si="11"/>
        <v>8</v>
      </c>
      <c r="AF13" s="25">
        <f>IF(W13&gt;0,IF(AE$5&gt;0,(Z13+AC13)*2,(Z13+AC13-8)),0)*IF(Z13&lt;9,IF(AE$5&gt;0,1,2),1)+IF(Z13&gt;8,AC13,0)</f>
        <v>0</v>
      </c>
      <c r="AG13" s="45"/>
      <c r="AH13" s="18"/>
      <c r="AI13" s="19"/>
      <c r="AJ13" s="46">
        <f t="shared" si="12"/>
        <v>0</v>
      </c>
      <c r="AK13" s="18"/>
      <c r="AL13" s="18"/>
      <c r="AM13" s="40">
        <f t="shared" si="13"/>
        <v>0</v>
      </c>
      <c r="AN13" s="47"/>
      <c r="AO13" s="48">
        <f t="shared" si="14"/>
        <v>0</v>
      </c>
      <c r="AP13" s="845">
        <f t="shared" si="15"/>
        <v>5</v>
      </c>
      <c r="AQ13" s="846"/>
      <c r="AR13" s="823">
        <f t="shared" si="16"/>
        <v>25.7</v>
      </c>
      <c r="AS13" s="824"/>
      <c r="AT13" s="49">
        <f t="shared" si="17"/>
        <v>24</v>
      </c>
      <c r="AV13" s="33">
        <f t="shared" si="18"/>
        <v>1</v>
      </c>
      <c r="AW13" s="33">
        <f t="shared" si="19"/>
        <v>0</v>
      </c>
      <c r="AX13" s="33">
        <f t="shared" si="20"/>
        <v>0</v>
      </c>
      <c r="AY13" s="34">
        <f t="shared" si="21"/>
        <v>0</v>
      </c>
      <c r="AZ13" s="33">
        <f t="shared" si="22"/>
        <v>0</v>
      </c>
      <c r="BA13" s="33">
        <f t="shared" si="23"/>
        <v>2</v>
      </c>
      <c r="BB13" s="33">
        <f t="shared" si="24"/>
        <v>2</v>
      </c>
      <c r="BC13" s="35"/>
      <c r="BD13" s="36">
        <f t="shared" si="25"/>
        <v>5.1339285714285712</v>
      </c>
      <c r="BE13" s="60">
        <f t="shared" si="26"/>
        <v>25.669642857142854</v>
      </c>
      <c r="BF13" s="61">
        <f t="shared" si="27"/>
        <v>0</v>
      </c>
    </row>
    <row r="14" spans="1:60" s="69" customFormat="1" ht="14.1" customHeight="1">
      <c r="A14" s="62">
        <v>5</v>
      </c>
      <c r="B14" s="63" t="str">
        <f t="shared" si="0"/>
        <v xml:space="preserve"> Irving Huaringa B.</v>
      </c>
      <c r="C14" s="17"/>
      <c r="D14" s="18"/>
      <c r="E14" s="19"/>
      <c r="F14" s="40">
        <f t="shared" si="1"/>
        <v>0</v>
      </c>
      <c r="G14" s="18"/>
      <c r="H14" s="43"/>
      <c r="I14" s="40">
        <f t="shared" si="2"/>
        <v>0</v>
      </c>
      <c r="J14" s="19"/>
      <c r="K14" s="41">
        <f t="shared" si="3"/>
        <v>0</v>
      </c>
      <c r="L14" s="25">
        <f t="shared" si="4"/>
        <v>0</v>
      </c>
      <c r="M14" s="18"/>
      <c r="N14" s="18"/>
      <c r="O14" s="19"/>
      <c r="P14" s="40">
        <f t="shared" si="5"/>
        <v>0</v>
      </c>
      <c r="Q14" s="43"/>
      <c r="R14" s="43"/>
      <c r="S14" s="40">
        <f t="shared" si="6"/>
        <v>0</v>
      </c>
      <c r="T14" s="19"/>
      <c r="U14" s="41">
        <f t="shared" si="7"/>
        <v>0</v>
      </c>
      <c r="V14" s="25">
        <f t="shared" si="8"/>
        <v>0</v>
      </c>
      <c r="W14" s="18"/>
      <c r="X14" s="43"/>
      <c r="Y14" s="54"/>
      <c r="Z14" s="53">
        <f t="shared" si="9"/>
        <v>0</v>
      </c>
      <c r="AA14" s="64"/>
      <c r="AB14" s="28"/>
      <c r="AC14" s="40">
        <f t="shared" si="10"/>
        <v>0</v>
      </c>
      <c r="AD14" s="19"/>
      <c r="AE14" s="41">
        <f t="shared" si="11"/>
        <v>0</v>
      </c>
      <c r="AF14" s="25">
        <f>IF(W14&gt;0,IF(AE$5&gt;0,(Z14+AC14)*2,(Z14+AC14-5)),0)*IF(Z14&lt;6,IF(AE$5&gt;0,1,2),1)+IF(Z14&gt;5,AC14,0)</f>
        <v>0</v>
      </c>
      <c r="AG14" s="45"/>
      <c r="AH14" s="18"/>
      <c r="AI14" s="19"/>
      <c r="AJ14" s="46">
        <f t="shared" si="12"/>
        <v>0</v>
      </c>
      <c r="AK14" s="18"/>
      <c r="AL14" s="18"/>
      <c r="AM14" s="40">
        <f t="shared" si="13"/>
        <v>0</v>
      </c>
      <c r="AN14" s="65"/>
      <c r="AO14" s="48">
        <f t="shared" si="14"/>
        <v>0</v>
      </c>
      <c r="AP14" s="821">
        <f t="shared" si="15"/>
        <v>0</v>
      </c>
      <c r="AQ14" s="822"/>
      <c r="AR14" s="823">
        <f t="shared" si="16"/>
        <v>0</v>
      </c>
      <c r="AS14" s="824"/>
      <c r="AT14" s="49">
        <f t="shared" si="17"/>
        <v>12</v>
      </c>
      <c r="AU14" s="7"/>
      <c r="AV14" s="33">
        <f t="shared" si="18"/>
        <v>0</v>
      </c>
      <c r="AW14" s="33">
        <f t="shared" si="19"/>
        <v>0</v>
      </c>
      <c r="AX14" s="33">
        <f t="shared" si="20"/>
        <v>0</v>
      </c>
      <c r="AY14" s="34">
        <f t="shared" si="21"/>
        <v>0</v>
      </c>
      <c r="AZ14" s="33">
        <f t="shared" si="22"/>
        <v>0</v>
      </c>
      <c r="BA14" s="33">
        <f t="shared" si="23"/>
        <v>0</v>
      </c>
      <c r="BB14" s="33">
        <f t="shared" si="24"/>
        <v>0</v>
      </c>
      <c r="BC14" s="66"/>
      <c r="BD14" s="36">
        <f t="shared" si="25"/>
        <v>5.1339285714285712</v>
      </c>
      <c r="BE14" s="67">
        <f t="shared" si="26"/>
        <v>0</v>
      </c>
      <c r="BF14" s="68">
        <f t="shared" si="27"/>
        <v>0</v>
      </c>
    </row>
    <row r="15" spans="1:60" ht="14.1" customHeight="1">
      <c r="A15" s="1">
        <v>12</v>
      </c>
      <c r="B15" s="39" t="str">
        <f t="shared" si="0"/>
        <v>Pier Alejos A.</v>
      </c>
      <c r="C15" s="56">
        <v>7</v>
      </c>
      <c r="D15" s="43">
        <v>17</v>
      </c>
      <c r="E15" s="54">
        <v>1</v>
      </c>
      <c r="F15" s="53">
        <f t="shared" si="1"/>
        <v>9</v>
      </c>
      <c r="G15" s="43"/>
      <c r="H15" s="117"/>
      <c r="I15" s="53">
        <f t="shared" si="2"/>
        <v>0</v>
      </c>
      <c r="J15" s="54"/>
      <c r="K15" s="55">
        <f t="shared" si="3"/>
        <v>8</v>
      </c>
      <c r="L15" s="135">
        <f t="shared" si="4"/>
        <v>1</v>
      </c>
      <c r="M15" s="136">
        <v>7</v>
      </c>
      <c r="N15" s="43">
        <v>18</v>
      </c>
      <c r="O15" s="54">
        <v>1</v>
      </c>
      <c r="P15" s="53">
        <f t="shared" si="5"/>
        <v>10</v>
      </c>
      <c r="Q15" s="43"/>
      <c r="R15" s="43"/>
      <c r="S15" s="53">
        <f t="shared" si="6"/>
        <v>0</v>
      </c>
      <c r="T15" s="54"/>
      <c r="U15" s="55">
        <f t="shared" si="7"/>
        <v>8</v>
      </c>
      <c r="V15" s="135">
        <f t="shared" si="8"/>
        <v>2</v>
      </c>
      <c r="W15" s="43">
        <v>7</v>
      </c>
      <c r="X15" s="43">
        <v>16</v>
      </c>
      <c r="Y15" s="54">
        <v>1</v>
      </c>
      <c r="Z15" s="53">
        <f t="shared" si="9"/>
        <v>8</v>
      </c>
      <c r="AA15" s="44"/>
      <c r="AB15" s="28"/>
      <c r="AC15" s="53">
        <f t="shared" si="10"/>
        <v>0</v>
      </c>
      <c r="AD15" s="54"/>
      <c r="AE15" s="137">
        <f>+AC15+Z15-IF(AE$5&gt;0,AF15/2,AF15)</f>
        <v>8</v>
      </c>
      <c r="AF15" s="135">
        <f>IF(W15&gt;0,IF(AE$5&gt;0,(Z15+AC15)*2,(Z15+AC15-8)),0)*IF(Z15&lt;9,IF(AE$5&gt;0,1,2),1)+IF(Z15&gt;8,AC15,0)</f>
        <v>0</v>
      </c>
      <c r="AG15" s="138"/>
      <c r="AH15" s="43"/>
      <c r="AI15" s="54"/>
      <c r="AJ15" s="139">
        <f t="shared" si="12"/>
        <v>0</v>
      </c>
      <c r="AK15" s="43"/>
      <c r="AL15" s="43"/>
      <c r="AM15" s="53">
        <f t="shared" si="13"/>
        <v>0</v>
      </c>
      <c r="AN15" s="706">
        <v>-4</v>
      </c>
      <c r="AO15" s="140">
        <f t="shared" si="14"/>
        <v>0</v>
      </c>
      <c r="AP15" s="821">
        <f>+L15+V15+AF15+AO15+L37+V37+AF37-AN15</f>
        <v>7</v>
      </c>
      <c r="AQ15" s="822"/>
      <c r="AR15" s="823">
        <f t="shared" si="16"/>
        <v>27.1</v>
      </c>
      <c r="AS15" s="824"/>
      <c r="AT15" s="49">
        <f t="shared" si="17"/>
        <v>12</v>
      </c>
      <c r="AV15" s="33">
        <f t="shared" si="18"/>
        <v>1</v>
      </c>
      <c r="AW15" s="33">
        <f t="shared" si="19"/>
        <v>2</v>
      </c>
      <c r="AX15" s="33">
        <f t="shared" si="20"/>
        <v>0</v>
      </c>
      <c r="AY15" s="34">
        <f t="shared" si="21"/>
        <v>0</v>
      </c>
      <c r="AZ15" s="33">
        <f t="shared" si="22"/>
        <v>0</v>
      </c>
      <c r="BA15" s="33">
        <f t="shared" si="23"/>
        <v>0</v>
      </c>
      <c r="BB15" s="33">
        <f t="shared" si="24"/>
        <v>0</v>
      </c>
      <c r="BC15" s="35"/>
      <c r="BD15" s="36">
        <f t="shared" si="25"/>
        <v>3.8750035714285715</v>
      </c>
      <c r="BE15" s="37">
        <f t="shared" si="26"/>
        <v>27.125025000000001</v>
      </c>
      <c r="BF15" s="38">
        <f t="shared" si="27"/>
        <v>0</v>
      </c>
      <c r="BH15" s="141"/>
    </row>
    <row r="16" spans="1:60" s="69" customFormat="1" ht="14.1" customHeight="1">
      <c r="A16" s="62">
        <v>6</v>
      </c>
      <c r="B16" s="630" t="str">
        <f t="shared" si="0"/>
        <v>Jose Cortez P.</v>
      </c>
      <c r="C16" s="92">
        <v>7</v>
      </c>
      <c r="D16" s="92">
        <v>16</v>
      </c>
      <c r="E16" s="92">
        <v>1</v>
      </c>
      <c r="F16" s="93">
        <f t="shared" si="1"/>
        <v>8</v>
      </c>
      <c r="G16" s="43"/>
      <c r="H16" s="43"/>
      <c r="I16" s="93">
        <f t="shared" si="2"/>
        <v>0</v>
      </c>
      <c r="J16" s="92"/>
      <c r="K16" s="41">
        <f t="shared" si="3"/>
        <v>8</v>
      </c>
      <c r="L16" s="94">
        <f t="shared" si="4"/>
        <v>0</v>
      </c>
      <c r="M16" s="703">
        <v>7</v>
      </c>
      <c r="N16" s="92">
        <v>18</v>
      </c>
      <c r="O16" s="92">
        <v>1</v>
      </c>
      <c r="P16" s="93">
        <f t="shared" si="5"/>
        <v>10</v>
      </c>
      <c r="Q16" s="43"/>
      <c r="R16" s="43"/>
      <c r="S16" s="93">
        <f t="shared" si="6"/>
        <v>0</v>
      </c>
      <c r="T16" s="19"/>
      <c r="U16" s="41">
        <f t="shared" si="7"/>
        <v>8</v>
      </c>
      <c r="V16" s="94">
        <f t="shared" si="8"/>
        <v>2</v>
      </c>
      <c r="W16" s="92">
        <v>7</v>
      </c>
      <c r="X16" s="92">
        <v>16</v>
      </c>
      <c r="Y16" s="92">
        <v>1</v>
      </c>
      <c r="Z16" s="93">
        <f t="shared" si="9"/>
        <v>8</v>
      </c>
      <c r="AA16" s="92"/>
      <c r="AB16" s="80"/>
      <c r="AC16" s="93">
        <f t="shared" si="10"/>
        <v>0</v>
      </c>
      <c r="AD16" s="92"/>
      <c r="AE16" s="41">
        <f t="shared" si="11"/>
        <v>8</v>
      </c>
      <c r="AF16" s="94">
        <f t="shared" ref="AF16:AF21" si="28">IF(W16&gt;0,IF(AE$5&gt;0,(Z16+AC16)*2,(Z16+AC16-8)),0)*IF(Z16&lt;9,IF(AE$5&gt;0,1,2),1)+IF(Z16&gt;8,AC16,0)</f>
        <v>0</v>
      </c>
      <c r="AG16" s="92">
        <v>8</v>
      </c>
      <c r="AH16" s="92">
        <v>17</v>
      </c>
      <c r="AI16" s="92">
        <v>1</v>
      </c>
      <c r="AJ16" s="46">
        <f t="shared" si="12"/>
        <v>8</v>
      </c>
      <c r="AK16" s="92"/>
      <c r="AL16" s="92"/>
      <c r="AM16" s="93">
        <f t="shared" si="13"/>
        <v>0</v>
      </c>
      <c r="AN16" s="96"/>
      <c r="AO16" s="97">
        <f t="shared" si="14"/>
        <v>16</v>
      </c>
      <c r="AP16" s="833">
        <f t="shared" si="15"/>
        <v>24</v>
      </c>
      <c r="AQ16" s="834"/>
      <c r="AR16" s="835">
        <f t="shared" si="16"/>
        <v>93</v>
      </c>
      <c r="AS16" s="836"/>
      <c r="AT16" s="99">
        <f t="shared" si="17"/>
        <v>28</v>
      </c>
      <c r="AV16" s="100">
        <f t="shared" si="18"/>
        <v>0</v>
      </c>
      <c r="AW16" s="100">
        <f t="shared" si="19"/>
        <v>2</v>
      </c>
      <c r="AX16" s="100">
        <f t="shared" si="20"/>
        <v>0</v>
      </c>
      <c r="AY16" s="101">
        <f t="shared" si="21"/>
        <v>16</v>
      </c>
      <c r="AZ16" s="100">
        <f t="shared" si="22"/>
        <v>1</v>
      </c>
      <c r="BA16" s="100">
        <f t="shared" si="23"/>
        <v>2</v>
      </c>
      <c r="BB16" s="100">
        <f t="shared" si="24"/>
        <v>3</v>
      </c>
      <c r="BC16" s="35"/>
      <c r="BD16" s="36">
        <f t="shared" si="25"/>
        <v>3.8750035714285715</v>
      </c>
      <c r="BE16" s="67">
        <f t="shared" si="26"/>
        <v>93.000085714285717</v>
      </c>
      <c r="BF16" s="68">
        <f t="shared" si="27"/>
        <v>62.000057142857145</v>
      </c>
    </row>
    <row r="17" spans="1:60" s="69" customFormat="1" ht="14.1" customHeight="1">
      <c r="A17" s="62">
        <v>7</v>
      </c>
      <c r="B17" s="91" t="str">
        <f t="shared" si="0"/>
        <v>Rafael Armas R.</v>
      </c>
      <c r="C17" s="102">
        <v>7</v>
      </c>
      <c r="D17" s="102">
        <v>16</v>
      </c>
      <c r="E17" s="102">
        <v>1</v>
      </c>
      <c r="F17" s="93">
        <f t="shared" si="1"/>
        <v>8</v>
      </c>
      <c r="G17" s="43"/>
      <c r="H17" s="43"/>
      <c r="I17" s="93">
        <f t="shared" si="2"/>
        <v>0</v>
      </c>
      <c r="J17" s="92"/>
      <c r="K17" s="41">
        <f t="shared" si="3"/>
        <v>8</v>
      </c>
      <c r="L17" s="94">
        <f t="shared" si="4"/>
        <v>0</v>
      </c>
      <c r="M17" s="703">
        <v>7</v>
      </c>
      <c r="N17" s="105">
        <v>18</v>
      </c>
      <c r="O17" s="92">
        <v>1</v>
      </c>
      <c r="P17" s="93">
        <f t="shared" si="5"/>
        <v>10</v>
      </c>
      <c r="Q17" s="43"/>
      <c r="R17" s="43"/>
      <c r="S17" s="93">
        <f t="shared" si="6"/>
        <v>0</v>
      </c>
      <c r="T17" s="92"/>
      <c r="U17" s="41">
        <f t="shared" si="7"/>
        <v>8</v>
      </c>
      <c r="V17" s="94">
        <f t="shared" si="8"/>
        <v>2</v>
      </c>
      <c r="W17" s="92">
        <v>7</v>
      </c>
      <c r="X17" s="92">
        <v>18</v>
      </c>
      <c r="Y17" s="92">
        <v>1</v>
      </c>
      <c r="Z17" s="93">
        <f t="shared" si="9"/>
        <v>10</v>
      </c>
      <c r="AA17" s="92"/>
      <c r="AB17" s="28"/>
      <c r="AC17" s="93">
        <f t="shared" si="10"/>
        <v>0</v>
      </c>
      <c r="AD17" s="92"/>
      <c r="AE17" s="41">
        <f t="shared" si="11"/>
        <v>8</v>
      </c>
      <c r="AF17" s="94">
        <f t="shared" si="28"/>
        <v>2</v>
      </c>
      <c r="AG17" s="92"/>
      <c r="AH17" s="92"/>
      <c r="AI17" s="92"/>
      <c r="AJ17" s="46">
        <f t="shared" si="12"/>
        <v>0</v>
      </c>
      <c r="AK17" s="92"/>
      <c r="AL17" s="92"/>
      <c r="AM17" s="93">
        <f t="shared" si="13"/>
        <v>0</v>
      </c>
      <c r="AN17" s="96"/>
      <c r="AO17" s="97">
        <f t="shared" si="14"/>
        <v>0</v>
      </c>
      <c r="AP17" s="837">
        <f t="shared" si="15"/>
        <v>10</v>
      </c>
      <c r="AQ17" s="838"/>
      <c r="AR17" s="839">
        <f t="shared" si="16"/>
        <v>38.799999999999997</v>
      </c>
      <c r="AS17" s="840"/>
      <c r="AT17" s="103">
        <f t="shared" si="17"/>
        <v>24</v>
      </c>
      <c r="AV17" s="100">
        <f t="shared" si="18"/>
        <v>0</v>
      </c>
      <c r="AW17" s="100">
        <f t="shared" si="19"/>
        <v>2</v>
      </c>
      <c r="AX17" s="100">
        <f t="shared" si="20"/>
        <v>2</v>
      </c>
      <c r="AY17" s="101">
        <f t="shared" si="21"/>
        <v>0</v>
      </c>
      <c r="AZ17" s="100">
        <f t="shared" si="22"/>
        <v>1</v>
      </c>
      <c r="BA17" s="100">
        <f t="shared" si="23"/>
        <v>2</v>
      </c>
      <c r="BB17" s="100">
        <f t="shared" si="24"/>
        <v>3</v>
      </c>
      <c r="BC17" s="66"/>
      <c r="BD17" s="36">
        <f t="shared" si="25"/>
        <v>3.8750035714285715</v>
      </c>
      <c r="BE17" s="67">
        <f t="shared" si="26"/>
        <v>38.750035714285715</v>
      </c>
      <c r="BF17" s="68">
        <f t="shared" si="27"/>
        <v>0</v>
      </c>
    </row>
    <row r="18" spans="1:60" s="116" customFormat="1" ht="14.1" customHeight="1">
      <c r="A18" s="62">
        <v>8</v>
      </c>
      <c r="B18" s="91" t="str">
        <f t="shared" si="0"/>
        <v>Jose Ochoa I.</v>
      </c>
      <c r="C18" s="102">
        <v>7</v>
      </c>
      <c r="D18" s="102">
        <v>16</v>
      </c>
      <c r="E18" s="102">
        <v>1</v>
      </c>
      <c r="F18" s="104">
        <f t="shared" si="1"/>
        <v>8</v>
      </c>
      <c r="G18" s="51"/>
      <c r="H18" s="43"/>
      <c r="I18" s="104">
        <f t="shared" si="2"/>
        <v>0</v>
      </c>
      <c r="J18" s="105"/>
      <c r="K18" s="106">
        <f t="shared" si="3"/>
        <v>8</v>
      </c>
      <c r="L18" s="107">
        <f t="shared" si="4"/>
        <v>0</v>
      </c>
      <c r="M18" s="108">
        <v>7</v>
      </c>
      <c r="N18" s="105">
        <v>16</v>
      </c>
      <c r="O18" s="105">
        <v>1</v>
      </c>
      <c r="P18" s="104">
        <f t="shared" si="5"/>
        <v>8</v>
      </c>
      <c r="Q18" s="43"/>
      <c r="R18" s="43"/>
      <c r="S18" s="104">
        <f t="shared" si="6"/>
        <v>0</v>
      </c>
      <c r="T18" s="105"/>
      <c r="U18" s="106">
        <f t="shared" si="7"/>
        <v>8</v>
      </c>
      <c r="V18" s="107">
        <f t="shared" si="8"/>
        <v>0</v>
      </c>
      <c r="W18" s="105">
        <v>7</v>
      </c>
      <c r="X18" s="105">
        <v>12</v>
      </c>
      <c r="Y18" s="105">
        <v>1</v>
      </c>
      <c r="Z18" s="104">
        <f t="shared" si="9"/>
        <v>4</v>
      </c>
      <c r="AA18" s="105"/>
      <c r="AB18" s="109">
        <v>4</v>
      </c>
      <c r="AC18" s="104">
        <f t="shared" si="10"/>
        <v>4</v>
      </c>
      <c r="AD18" s="105"/>
      <c r="AE18" s="106">
        <f t="shared" si="11"/>
        <v>8</v>
      </c>
      <c r="AF18" s="107">
        <f t="shared" si="28"/>
        <v>0</v>
      </c>
      <c r="AG18" s="105"/>
      <c r="AH18" s="105"/>
      <c r="AI18" s="105"/>
      <c r="AJ18" s="110">
        <f t="shared" si="12"/>
        <v>0</v>
      </c>
      <c r="AK18" s="105"/>
      <c r="AL18" s="105"/>
      <c r="AM18" s="104">
        <f t="shared" si="13"/>
        <v>0</v>
      </c>
      <c r="AN18" s="111"/>
      <c r="AO18" s="112">
        <f t="shared" si="14"/>
        <v>0</v>
      </c>
      <c r="AP18" s="841">
        <f t="shared" si="15"/>
        <v>0</v>
      </c>
      <c r="AQ18" s="842"/>
      <c r="AR18" s="843">
        <f t="shared" si="16"/>
        <v>0</v>
      </c>
      <c r="AS18" s="844"/>
      <c r="AT18" s="113">
        <f t="shared" si="17"/>
        <v>24</v>
      </c>
      <c r="AU18" s="69"/>
      <c r="AV18" s="114">
        <f t="shared" si="18"/>
        <v>0</v>
      </c>
      <c r="AW18" s="114">
        <f t="shared" si="19"/>
        <v>0</v>
      </c>
      <c r="AX18" s="114">
        <f t="shared" si="20"/>
        <v>0</v>
      </c>
      <c r="AY18" s="114">
        <f t="shared" si="21"/>
        <v>0</v>
      </c>
      <c r="AZ18" s="114">
        <f>+L41</f>
        <v>0</v>
      </c>
      <c r="BA18" s="114">
        <f>+V41</f>
        <v>0</v>
      </c>
      <c r="BB18" s="114">
        <f>+AF41</f>
        <v>0</v>
      </c>
      <c r="BC18" s="35"/>
      <c r="BD18" s="115">
        <f t="shared" si="25"/>
        <v>3.8750035714285715</v>
      </c>
      <c r="BE18" s="115">
        <f t="shared" si="26"/>
        <v>0</v>
      </c>
      <c r="BF18" s="115">
        <f t="shared" si="27"/>
        <v>0</v>
      </c>
    </row>
    <row r="19" spans="1:60" s="116" customFormat="1" ht="14.1" customHeight="1">
      <c r="A19" s="62">
        <v>9</v>
      </c>
      <c r="B19" s="91" t="str">
        <f t="shared" si="0"/>
        <v>Jairo Mirabal</v>
      </c>
      <c r="C19" s="102">
        <v>7</v>
      </c>
      <c r="D19" s="102">
        <v>16</v>
      </c>
      <c r="E19" s="102">
        <v>1</v>
      </c>
      <c r="F19" s="104">
        <f t="shared" si="1"/>
        <v>8</v>
      </c>
      <c r="G19" s="51"/>
      <c r="H19" s="43"/>
      <c r="I19" s="104">
        <f t="shared" si="2"/>
        <v>0</v>
      </c>
      <c r="J19" s="105"/>
      <c r="K19" s="106">
        <f t="shared" si="3"/>
        <v>8</v>
      </c>
      <c r="L19" s="107">
        <f t="shared" si="4"/>
        <v>0</v>
      </c>
      <c r="M19" s="108">
        <v>7</v>
      </c>
      <c r="N19" s="105">
        <v>16</v>
      </c>
      <c r="O19" s="105">
        <v>1</v>
      </c>
      <c r="P19" s="104">
        <f t="shared" si="5"/>
        <v>8</v>
      </c>
      <c r="Q19" s="43"/>
      <c r="R19" s="117"/>
      <c r="S19" s="104">
        <f t="shared" si="6"/>
        <v>0</v>
      </c>
      <c r="T19" s="105"/>
      <c r="U19" s="106">
        <f t="shared" si="7"/>
        <v>8</v>
      </c>
      <c r="V19" s="107">
        <f t="shared" si="8"/>
        <v>0</v>
      </c>
      <c r="W19" s="105">
        <v>7</v>
      </c>
      <c r="X19" s="105">
        <v>16</v>
      </c>
      <c r="Y19" s="105">
        <v>1</v>
      </c>
      <c r="Z19" s="104">
        <f t="shared" si="9"/>
        <v>8</v>
      </c>
      <c r="AA19" s="105"/>
      <c r="AB19" s="28"/>
      <c r="AC19" s="104">
        <f t="shared" si="10"/>
        <v>0</v>
      </c>
      <c r="AD19" s="105"/>
      <c r="AE19" s="106">
        <f t="shared" si="11"/>
        <v>8</v>
      </c>
      <c r="AF19" s="107">
        <f t="shared" si="28"/>
        <v>0</v>
      </c>
      <c r="AG19" s="105">
        <v>7</v>
      </c>
      <c r="AH19" s="105">
        <v>17</v>
      </c>
      <c r="AI19" s="105">
        <v>1</v>
      </c>
      <c r="AJ19" s="110">
        <f t="shared" si="12"/>
        <v>9</v>
      </c>
      <c r="AK19" s="105"/>
      <c r="AL19" s="105"/>
      <c r="AM19" s="104">
        <f t="shared" si="13"/>
        <v>0</v>
      </c>
      <c r="AN19" s="111"/>
      <c r="AO19" s="112">
        <f t="shared" si="14"/>
        <v>18</v>
      </c>
      <c r="AP19" s="841">
        <f t="shared" si="15"/>
        <v>18</v>
      </c>
      <c r="AQ19" s="842"/>
      <c r="AR19" s="843">
        <f t="shared" si="16"/>
        <v>69.8</v>
      </c>
      <c r="AS19" s="844"/>
      <c r="AT19" s="113">
        <f t="shared" si="17"/>
        <v>28</v>
      </c>
      <c r="AU19" s="69"/>
      <c r="AV19" s="114">
        <f t="shared" si="18"/>
        <v>0</v>
      </c>
      <c r="AW19" s="114">
        <f t="shared" si="19"/>
        <v>0</v>
      </c>
      <c r="AX19" s="114">
        <f t="shared" si="20"/>
        <v>0</v>
      </c>
      <c r="AY19" s="114">
        <f t="shared" si="21"/>
        <v>18</v>
      </c>
      <c r="AZ19" s="114">
        <f>+L41</f>
        <v>0</v>
      </c>
      <c r="BA19" s="114">
        <f>+V41</f>
        <v>0</v>
      </c>
      <c r="BB19" s="114">
        <f>+AF41</f>
        <v>0</v>
      </c>
      <c r="BC19" s="35"/>
      <c r="BD19" s="115">
        <f t="shared" si="25"/>
        <v>3.8750035714285715</v>
      </c>
      <c r="BE19" s="115">
        <f t="shared" si="26"/>
        <v>69.750064285714288</v>
      </c>
      <c r="BF19" s="115">
        <f t="shared" si="27"/>
        <v>69.750064285714288</v>
      </c>
    </row>
    <row r="20" spans="1:60" s="116" customFormat="1" ht="14.1" customHeight="1">
      <c r="A20" s="62">
        <v>13</v>
      </c>
      <c r="B20" s="91" t="str">
        <f t="shared" si="0"/>
        <v>Angel Colina N.</v>
      </c>
      <c r="C20" s="102">
        <v>7</v>
      </c>
      <c r="D20" s="102">
        <v>16</v>
      </c>
      <c r="E20" s="102">
        <v>1</v>
      </c>
      <c r="F20" s="143">
        <f t="shared" si="1"/>
        <v>8</v>
      </c>
      <c r="G20" s="144"/>
      <c r="H20" s="145"/>
      <c r="I20" s="143">
        <f t="shared" si="2"/>
        <v>0</v>
      </c>
      <c r="J20" s="102"/>
      <c r="K20" s="146">
        <f t="shared" si="3"/>
        <v>8</v>
      </c>
      <c r="L20" s="147">
        <f t="shared" si="4"/>
        <v>0</v>
      </c>
      <c r="M20" s="148">
        <v>7</v>
      </c>
      <c r="N20" s="102">
        <v>16</v>
      </c>
      <c r="O20" s="102">
        <v>1</v>
      </c>
      <c r="P20" s="143">
        <f t="shared" si="5"/>
        <v>8</v>
      </c>
      <c r="Q20" s="43"/>
      <c r="R20" s="43"/>
      <c r="S20" s="143">
        <f t="shared" si="6"/>
        <v>0</v>
      </c>
      <c r="T20" s="102"/>
      <c r="U20" s="146">
        <f t="shared" si="7"/>
        <v>8</v>
      </c>
      <c r="V20" s="147">
        <f t="shared" si="8"/>
        <v>0</v>
      </c>
      <c r="W20" s="102">
        <v>7</v>
      </c>
      <c r="X20" s="102">
        <v>16</v>
      </c>
      <c r="Y20" s="102">
        <v>1</v>
      </c>
      <c r="Z20" s="143">
        <f t="shared" si="9"/>
        <v>8</v>
      </c>
      <c r="AA20" s="102"/>
      <c r="AB20" s="28"/>
      <c r="AC20" s="143">
        <f t="shared" si="10"/>
        <v>0</v>
      </c>
      <c r="AD20" s="102"/>
      <c r="AE20" s="146">
        <f>+AC20+Z20-IF(AE$5&gt;0,AF20/2,AF20)</f>
        <v>8</v>
      </c>
      <c r="AF20" s="147">
        <f>IF(W20&gt;0,IF(AE$5&gt;0,(Z20+AC20)*2,(Z20+AC20-8)),0)*IF(Z20&lt;9,IF(AE$5&gt;0,1,2),1)+IF(Z20&gt;8,AC20,0)</f>
        <v>0</v>
      </c>
      <c r="AG20" s="102"/>
      <c r="AH20" s="102"/>
      <c r="AI20" s="102"/>
      <c r="AJ20" s="149">
        <f t="shared" si="12"/>
        <v>0</v>
      </c>
      <c r="AK20" s="102"/>
      <c r="AL20" s="102"/>
      <c r="AM20" s="143">
        <f t="shared" si="13"/>
        <v>0</v>
      </c>
      <c r="AN20" s="150"/>
      <c r="AO20" s="151">
        <f t="shared" si="14"/>
        <v>0</v>
      </c>
      <c r="AP20" s="841">
        <f t="shared" si="15"/>
        <v>0</v>
      </c>
      <c r="AQ20" s="842"/>
      <c r="AR20" s="843">
        <f t="shared" si="16"/>
        <v>0</v>
      </c>
      <c r="AS20" s="844"/>
      <c r="AT20" s="113">
        <f t="shared" si="17"/>
        <v>24</v>
      </c>
      <c r="AU20" s="69"/>
      <c r="AV20" s="114">
        <f t="shared" si="18"/>
        <v>0</v>
      </c>
      <c r="AW20" s="114">
        <f t="shared" si="19"/>
        <v>0</v>
      </c>
      <c r="AX20" s="114">
        <f t="shared" si="20"/>
        <v>0</v>
      </c>
      <c r="AY20" s="114">
        <f t="shared" si="21"/>
        <v>0</v>
      </c>
      <c r="AZ20" s="114">
        <f>+L42</f>
        <v>0</v>
      </c>
      <c r="BA20" s="114">
        <f>+V42</f>
        <v>0</v>
      </c>
      <c r="BB20" s="114">
        <f>+AF42</f>
        <v>0</v>
      </c>
      <c r="BC20" s="35"/>
      <c r="BD20" s="115">
        <f t="shared" si="25"/>
        <v>3.8750035714285715</v>
      </c>
      <c r="BE20" s="115">
        <f t="shared" si="26"/>
        <v>0</v>
      </c>
      <c r="BF20" s="115">
        <f t="shared" si="27"/>
        <v>0</v>
      </c>
    </row>
    <row r="21" spans="1:60" s="69" customFormat="1" ht="14.1" customHeight="1" thickBot="1">
      <c r="A21" s="62">
        <v>10</v>
      </c>
      <c r="B21" s="118" t="str">
        <f t="shared" si="0"/>
        <v>Pedro Hostos S.</v>
      </c>
      <c r="C21" s="119"/>
      <c r="D21" s="119"/>
      <c r="E21" s="119"/>
      <c r="F21" s="120">
        <f t="shared" si="1"/>
        <v>0</v>
      </c>
      <c r="G21" s="121"/>
      <c r="H21" s="121"/>
      <c r="I21" s="120">
        <f t="shared" si="2"/>
        <v>0</v>
      </c>
      <c r="J21" s="119"/>
      <c r="K21" s="120">
        <f t="shared" si="3"/>
        <v>0</v>
      </c>
      <c r="L21" s="122">
        <f t="shared" si="4"/>
        <v>0</v>
      </c>
      <c r="M21" s="702">
        <v>7</v>
      </c>
      <c r="N21" s="119">
        <v>16</v>
      </c>
      <c r="O21" s="119">
        <v>1</v>
      </c>
      <c r="P21" s="120">
        <f t="shared" si="5"/>
        <v>8</v>
      </c>
      <c r="Q21" s="121"/>
      <c r="R21" s="121"/>
      <c r="S21" s="120">
        <f t="shared" si="6"/>
        <v>0</v>
      </c>
      <c r="T21" s="119"/>
      <c r="U21" s="120">
        <f t="shared" si="7"/>
        <v>8</v>
      </c>
      <c r="V21" s="122">
        <f t="shared" si="8"/>
        <v>0</v>
      </c>
      <c r="W21" s="119">
        <v>7</v>
      </c>
      <c r="X21" s="119">
        <v>16</v>
      </c>
      <c r="Y21" s="119">
        <v>1</v>
      </c>
      <c r="Z21" s="120">
        <f t="shared" si="9"/>
        <v>8</v>
      </c>
      <c r="AA21" s="119"/>
      <c r="AB21" s="121"/>
      <c r="AC21" s="120">
        <f t="shared" si="10"/>
        <v>0</v>
      </c>
      <c r="AD21" s="119"/>
      <c r="AE21" s="125">
        <f t="shared" si="11"/>
        <v>8</v>
      </c>
      <c r="AF21" s="122">
        <f t="shared" si="28"/>
        <v>0</v>
      </c>
      <c r="AG21" s="119"/>
      <c r="AH21" s="119"/>
      <c r="AI21" s="119"/>
      <c r="AJ21" s="126">
        <f t="shared" si="12"/>
        <v>0</v>
      </c>
      <c r="AK21" s="119"/>
      <c r="AL21" s="119"/>
      <c r="AM21" s="120">
        <f t="shared" si="13"/>
        <v>0</v>
      </c>
      <c r="AN21" s="127"/>
      <c r="AO21" s="128">
        <f t="shared" si="14"/>
        <v>0</v>
      </c>
      <c r="AP21" s="847">
        <f t="shared" si="15"/>
        <v>0</v>
      </c>
      <c r="AQ21" s="848"/>
      <c r="AR21" s="849">
        <f t="shared" si="16"/>
        <v>0</v>
      </c>
      <c r="AS21" s="850"/>
      <c r="AT21" s="130">
        <f t="shared" si="17"/>
        <v>20</v>
      </c>
      <c r="AV21" s="131">
        <f t="shared" si="18"/>
        <v>0</v>
      </c>
      <c r="AW21" s="131">
        <f t="shared" si="19"/>
        <v>0</v>
      </c>
      <c r="AX21" s="131">
        <f t="shared" si="20"/>
        <v>0</v>
      </c>
      <c r="AY21" s="132">
        <f t="shared" si="21"/>
        <v>0</v>
      </c>
      <c r="AZ21" s="131">
        <f>+L43</f>
        <v>0</v>
      </c>
      <c r="BA21" s="131">
        <f>+V43</f>
        <v>0</v>
      </c>
      <c r="BB21" s="131">
        <f>+AF43</f>
        <v>0</v>
      </c>
      <c r="BC21" s="35"/>
      <c r="BD21" s="115">
        <f t="shared" si="25"/>
        <v>3.8750035714285715</v>
      </c>
      <c r="BE21" s="133">
        <f t="shared" si="26"/>
        <v>0</v>
      </c>
      <c r="BF21" s="134">
        <f t="shared" si="27"/>
        <v>0</v>
      </c>
    </row>
    <row r="22" spans="1:60" ht="14.1" customHeight="1" thickTop="1">
      <c r="A22" s="1">
        <v>11</v>
      </c>
      <c r="B22" s="39" t="str">
        <f t="shared" si="0"/>
        <v>Miguel Tejada Ll.</v>
      </c>
      <c r="C22" s="56">
        <v>7</v>
      </c>
      <c r="D22" s="43">
        <v>16</v>
      </c>
      <c r="E22" s="54">
        <v>1</v>
      </c>
      <c r="F22" s="53">
        <f>+D22-C22-E22</f>
        <v>8</v>
      </c>
      <c r="G22" s="43"/>
      <c r="H22" s="117"/>
      <c r="I22" s="53">
        <f>+H22-G22</f>
        <v>0</v>
      </c>
      <c r="J22" s="54"/>
      <c r="K22" s="55">
        <f>+I22+F22-L22</f>
        <v>8</v>
      </c>
      <c r="L22" s="135">
        <f>IF(C22&gt;0,(F22+I22)+IF(K$5&gt;0,F22,-8),0)+IF(U$5&gt;0,I22,0)</f>
        <v>0</v>
      </c>
      <c r="M22" s="136">
        <v>7</v>
      </c>
      <c r="N22" s="43">
        <v>16</v>
      </c>
      <c r="O22" s="54">
        <v>1</v>
      </c>
      <c r="P22" s="53">
        <f>+N22-M22-O22</f>
        <v>8</v>
      </c>
      <c r="Q22" s="43"/>
      <c r="R22" s="43"/>
      <c r="S22" s="53">
        <f>+R22-Q22</f>
        <v>0</v>
      </c>
      <c r="T22" s="54"/>
      <c r="U22" s="55">
        <f>+S22+P22-V22</f>
        <v>8</v>
      </c>
      <c r="V22" s="135">
        <f>IF(M22&gt;0,(P22+S22)+IF(U$5&gt;0,P22,-8),0)+IF(AE$5&gt;0,S22,0)</f>
        <v>0</v>
      </c>
      <c r="W22" s="43">
        <v>7</v>
      </c>
      <c r="X22" s="43">
        <v>16</v>
      </c>
      <c r="Y22" s="54">
        <v>1</v>
      </c>
      <c r="Z22" s="53">
        <f>+X22-W22-Y22</f>
        <v>8</v>
      </c>
      <c r="AA22" s="44"/>
      <c r="AB22" s="28"/>
      <c r="AC22" s="53">
        <f>+AB22-AA22</f>
        <v>0</v>
      </c>
      <c r="AD22" s="54"/>
      <c r="AE22" s="137">
        <f t="shared" si="11"/>
        <v>8</v>
      </c>
      <c r="AF22" s="135">
        <f>IF(W22&gt;0,IF(AE$5&gt;0,(Z22+AC22)*2,(Z22+AC22-8)),0)*IF(Z22&lt;9,IF(AE$5&gt;0,1,2),1)+IF(Z22&gt;8,AC22,0)</f>
        <v>0</v>
      </c>
      <c r="AG22" s="138"/>
      <c r="AH22" s="43"/>
      <c r="AI22" s="54"/>
      <c r="AJ22" s="139">
        <f>+AH22-AG22-AI22</f>
        <v>0</v>
      </c>
      <c r="AK22" s="43"/>
      <c r="AL22" s="43"/>
      <c r="AM22" s="53">
        <f>+AL22-AK22</f>
        <v>0</v>
      </c>
      <c r="AN22" s="57"/>
      <c r="AO22" s="140">
        <f>(AJ22*2+AM22)</f>
        <v>0</v>
      </c>
      <c r="AP22" s="821">
        <f t="shared" si="15"/>
        <v>0</v>
      </c>
      <c r="AQ22" s="822"/>
      <c r="AR22" s="823">
        <f>ROUND(BD22*AP22,1)</f>
        <v>0</v>
      </c>
      <c r="AS22" s="824"/>
      <c r="AT22" s="49">
        <f t="shared" si="17"/>
        <v>24</v>
      </c>
      <c r="AV22" s="33">
        <f>+L22</f>
        <v>0</v>
      </c>
      <c r="AW22" s="33">
        <f>+V22</f>
        <v>0</v>
      </c>
      <c r="AX22" s="33">
        <f>+AF22</f>
        <v>0</v>
      </c>
      <c r="AY22" s="34">
        <f>+AO22</f>
        <v>0</v>
      </c>
      <c r="AZ22" s="33">
        <f>+L44</f>
        <v>0</v>
      </c>
      <c r="BA22" s="33">
        <f>+V44</f>
        <v>0</v>
      </c>
      <c r="BB22" s="33">
        <f>+AF44</f>
        <v>0</v>
      </c>
      <c r="BC22" s="35"/>
      <c r="BD22" s="36">
        <f t="shared" si="25"/>
        <v>5.4333333333333327</v>
      </c>
      <c r="BE22" s="37">
        <f>+BD22*AP22</f>
        <v>0</v>
      </c>
      <c r="BF22" s="38">
        <f>+BD22*AY22</f>
        <v>0</v>
      </c>
      <c r="BH22" s="141"/>
    </row>
    <row r="23" spans="1:60" s="116" customFormat="1" ht="14.1" customHeight="1">
      <c r="A23" s="62">
        <v>13</v>
      </c>
      <c r="B23" s="142" t="str">
        <f t="shared" si="0"/>
        <v>Jose Lares P.</v>
      </c>
      <c r="C23" s="102">
        <v>7</v>
      </c>
      <c r="D23" s="102">
        <v>16</v>
      </c>
      <c r="E23" s="102">
        <v>1</v>
      </c>
      <c r="F23" s="143">
        <f>+D23-C23-E23</f>
        <v>8</v>
      </c>
      <c r="G23" s="144"/>
      <c r="H23" s="145"/>
      <c r="I23" s="143">
        <f>+H23-G23</f>
        <v>0</v>
      </c>
      <c r="J23" s="102"/>
      <c r="K23" s="146">
        <f>+I23+F23-L23</f>
        <v>8</v>
      </c>
      <c r="L23" s="147">
        <f>IF(C23&gt;0,(F23+I23)+IF(K$5&gt;0,F23,-8),0)+IF(U$5&gt;0,I23,0)</f>
        <v>0</v>
      </c>
      <c r="M23" s="148">
        <v>7</v>
      </c>
      <c r="N23" s="102">
        <v>16</v>
      </c>
      <c r="O23" s="102">
        <v>1</v>
      </c>
      <c r="P23" s="143">
        <f>+N23-M23-O23</f>
        <v>8</v>
      </c>
      <c r="Q23" s="43"/>
      <c r="R23" s="43"/>
      <c r="S23" s="143">
        <f>+R23-Q23</f>
        <v>0</v>
      </c>
      <c r="T23" s="102"/>
      <c r="U23" s="146">
        <f>+S23+P23-V23</f>
        <v>8</v>
      </c>
      <c r="V23" s="147">
        <f>IF(M23&gt;0,(P23+S23)+IF(U$5&gt;0,P23,-8),0)+IF(AE$5&gt;0,S23,0)</f>
        <v>0</v>
      </c>
      <c r="W23" s="102">
        <v>7</v>
      </c>
      <c r="X23" s="102">
        <v>16</v>
      </c>
      <c r="Y23" s="102">
        <v>1</v>
      </c>
      <c r="Z23" s="143">
        <f>+X23-W23-Y23</f>
        <v>8</v>
      </c>
      <c r="AA23" s="102"/>
      <c r="AB23" s="28"/>
      <c r="AC23" s="143">
        <f>+AB23-AA23</f>
        <v>0</v>
      </c>
      <c r="AD23" s="102"/>
      <c r="AE23" s="146">
        <f t="shared" si="11"/>
        <v>8</v>
      </c>
      <c r="AF23" s="147">
        <f>IF(W23&gt;0,IF(AE$5&gt;0,(Z23+AC23)*2,(Z23+AC23-8)),0)*IF(Z23&lt;9,IF(AE$5&gt;0,1,2),1)+IF(Z23&gt;8,AC23,0)</f>
        <v>0</v>
      </c>
      <c r="AG23" s="102"/>
      <c r="AH23" s="102"/>
      <c r="AI23" s="102"/>
      <c r="AJ23" s="149">
        <f>+AH23-AG23-AI23</f>
        <v>0</v>
      </c>
      <c r="AK23" s="102"/>
      <c r="AL23" s="102"/>
      <c r="AM23" s="143">
        <f>+AL23-AK23</f>
        <v>0</v>
      </c>
      <c r="AN23" s="150"/>
      <c r="AO23" s="151">
        <f>(AJ23*2+AM23)</f>
        <v>0</v>
      </c>
      <c r="AP23" s="841">
        <f t="shared" si="15"/>
        <v>0</v>
      </c>
      <c r="AQ23" s="842"/>
      <c r="AR23" s="843">
        <f>ROUND(BD23*AP23,1)</f>
        <v>0</v>
      </c>
      <c r="AS23" s="844"/>
      <c r="AT23" s="113">
        <f t="shared" si="17"/>
        <v>24</v>
      </c>
      <c r="AU23" s="69"/>
      <c r="AV23" s="114">
        <f>+L23</f>
        <v>0</v>
      </c>
      <c r="AW23" s="114">
        <f>+V23</f>
        <v>0</v>
      </c>
      <c r="AX23" s="114">
        <f>+AF23</f>
        <v>0</v>
      </c>
      <c r="AY23" s="114">
        <f>+AO23</f>
        <v>0</v>
      </c>
      <c r="AZ23" s="114">
        <f>+L47</f>
        <v>0</v>
      </c>
      <c r="BA23" s="114">
        <f>+V47</f>
        <v>0</v>
      </c>
      <c r="BB23" s="114">
        <f>+AF47</f>
        <v>0</v>
      </c>
      <c r="BC23" s="35"/>
      <c r="BD23" s="115">
        <f t="shared" si="25"/>
        <v>3.8750035714285715</v>
      </c>
      <c r="BE23" s="115">
        <f>+BD23*AP23</f>
        <v>0</v>
      </c>
      <c r="BF23" s="115">
        <f>+BD23*AY23</f>
        <v>0</v>
      </c>
    </row>
    <row r="24" spans="1:60" ht="14.1" customHeight="1">
      <c r="A24" s="1">
        <v>14</v>
      </c>
      <c r="B24" s="142" t="str">
        <f t="shared" si="0"/>
        <v>Jeeimy Davila C.</v>
      </c>
      <c r="C24" s="56">
        <v>7</v>
      </c>
      <c r="D24" s="43">
        <v>16</v>
      </c>
      <c r="E24" s="54">
        <v>1</v>
      </c>
      <c r="F24" s="53">
        <f>+D24-C24-E24</f>
        <v>8</v>
      </c>
      <c r="G24" s="43"/>
      <c r="H24" s="43"/>
      <c r="I24" s="53">
        <f>+H24-G24</f>
        <v>0</v>
      </c>
      <c r="J24" s="54"/>
      <c r="K24" s="55">
        <f>+I24+F24-L24</f>
        <v>8</v>
      </c>
      <c r="L24" s="135">
        <f t="shared" ref="L24" si="29">IF(C24&gt;0,(F24+I24)+IF(K$5&gt;0,F24,-8),0)+IF(U$5&gt;0,I24,0)</f>
        <v>0</v>
      </c>
      <c r="M24" s="136">
        <v>7</v>
      </c>
      <c r="N24" s="43">
        <v>16</v>
      </c>
      <c r="O24" s="54">
        <v>1</v>
      </c>
      <c r="P24" s="53">
        <f>+N24-M24-O24</f>
        <v>8</v>
      </c>
      <c r="Q24" s="43"/>
      <c r="R24" s="43"/>
      <c r="S24" s="53">
        <f>+R24-Q24</f>
        <v>0</v>
      </c>
      <c r="T24" s="54"/>
      <c r="U24" s="55">
        <f>+S24+P24-V24</f>
        <v>8</v>
      </c>
      <c r="V24" s="135">
        <f>IF(M24&gt;0,(P24+S24)+IF(U$5&gt;0,P24,-8),0)+IF(AE$5&gt;0,S24,0)</f>
        <v>0</v>
      </c>
      <c r="W24" s="43">
        <v>7</v>
      </c>
      <c r="X24" s="43">
        <v>16</v>
      </c>
      <c r="Y24" s="54">
        <v>1</v>
      </c>
      <c r="Z24" s="53">
        <f>+X24-W24-Y24</f>
        <v>8</v>
      </c>
      <c r="AA24" s="43"/>
      <c r="AB24" s="28"/>
      <c r="AC24" s="53">
        <f>+AB24-AA24</f>
        <v>0</v>
      </c>
      <c r="AD24" s="54"/>
      <c r="AE24" s="55">
        <f t="shared" si="11"/>
        <v>8</v>
      </c>
      <c r="AF24" s="135">
        <f>IF(W24&gt;0,IF(AE$5&gt;0,(Z24+AC24)*2,(Z24+AC24-8)),0)*IF(Z24&lt;9,IF(AE$5&gt;0,1,2),1)+IF(Z24&gt;8,AC24,0)</f>
        <v>0</v>
      </c>
      <c r="AG24" s="138"/>
      <c r="AH24" s="43"/>
      <c r="AI24" s="54"/>
      <c r="AJ24" s="139">
        <f t="shared" ref="AJ24" si="30">+AH24-AG24-AI24</f>
        <v>0</v>
      </c>
      <c r="AK24" s="43"/>
      <c r="AL24" s="43"/>
      <c r="AM24" s="53">
        <f>+AL24-AK24</f>
        <v>0</v>
      </c>
      <c r="AN24" s="57"/>
      <c r="AO24" s="140">
        <f>(AJ24*2+AM24)</f>
        <v>0</v>
      </c>
      <c r="AP24" s="821">
        <f t="shared" si="15"/>
        <v>0</v>
      </c>
      <c r="AQ24" s="822"/>
      <c r="AR24" s="823">
        <f>ROUND(BD24*AP24,1)</f>
        <v>0</v>
      </c>
      <c r="AS24" s="824"/>
      <c r="AT24" s="49">
        <f t="shared" ref="AT24" si="31">IF(AT45&gt;0,AT45*$AT$10,0)</f>
        <v>24</v>
      </c>
      <c r="AV24" s="114">
        <f>+L24</f>
        <v>0</v>
      </c>
      <c r="AW24" s="114">
        <f>+V24</f>
        <v>0</v>
      </c>
      <c r="AX24" s="114">
        <f>+AF24</f>
        <v>0</v>
      </c>
      <c r="AY24" s="114">
        <f>+AO24</f>
        <v>0</v>
      </c>
      <c r="AZ24" s="114">
        <f t="shared" ref="AZ24" si="32">+L45</f>
        <v>0</v>
      </c>
      <c r="BA24" s="114">
        <f t="shared" ref="BA24" si="33">+V45</f>
        <v>0</v>
      </c>
      <c r="BB24" s="114">
        <f t="shared" ref="BB24" si="34">+AF45</f>
        <v>0</v>
      </c>
      <c r="BC24" s="35"/>
      <c r="BD24" s="36">
        <f>+I85</f>
        <v>3.8750035714285715</v>
      </c>
      <c r="BE24" s="37">
        <f>+BD24*AP24</f>
        <v>0</v>
      </c>
      <c r="BF24" s="38">
        <f>+BD24*AY24</f>
        <v>0</v>
      </c>
    </row>
    <row r="25" spans="1:60" ht="14.1" customHeight="1" thickBot="1">
      <c r="A25" s="1">
        <v>14</v>
      </c>
      <c r="B25" s="566" t="s">
        <v>144</v>
      </c>
      <c r="C25" s="610"/>
      <c r="D25" s="611"/>
      <c r="E25" s="612"/>
      <c r="F25" s="613">
        <f>+D25-C25-E25</f>
        <v>0</v>
      </c>
      <c r="G25" s="611"/>
      <c r="H25" s="611"/>
      <c r="I25" s="613">
        <f>+H25-G25</f>
        <v>0</v>
      </c>
      <c r="J25" s="612"/>
      <c r="K25" s="614">
        <f>+I25+F25-L25</f>
        <v>0</v>
      </c>
      <c r="L25" s="615">
        <f t="shared" si="4"/>
        <v>0</v>
      </c>
      <c r="M25" s="657"/>
      <c r="N25" s="611"/>
      <c r="O25" s="612"/>
      <c r="P25" s="613">
        <f>+N25-M25-O25</f>
        <v>0</v>
      </c>
      <c r="Q25" s="611"/>
      <c r="R25" s="611"/>
      <c r="S25" s="613">
        <f>+R25-Q25</f>
        <v>0</v>
      </c>
      <c r="T25" s="612"/>
      <c r="U25" s="614">
        <f>+S25+P25-V25</f>
        <v>0</v>
      </c>
      <c r="V25" s="615">
        <f>IF(M25&gt;0,(P25+S25)+IF(U$5&gt;0,P25,-8),0)+IF(AE$5&gt;0,S25,0)</f>
        <v>0</v>
      </c>
      <c r="W25" s="611"/>
      <c r="X25" s="611"/>
      <c r="Y25" s="612"/>
      <c r="Z25" s="613">
        <f>+X25-W25-Y25</f>
        <v>0</v>
      </c>
      <c r="AA25" s="611"/>
      <c r="AB25" s="658"/>
      <c r="AC25" s="613">
        <f>+AB25-AA25</f>
        <v>0</v>
      </c>
      <c r="AD25" s="612"/>
      <c r="AE25" s="614">
        <f t="shared" si="11"/>
        <v>0</v>
      </c>
      <c r="AF25" s="615">
        <f>IF(W25&gt;0,IF(AE$5&gt;0,(Z25+AC25)*2,(Z25+AC25-8)),0)*IF(Z25&lt;9,IF(AE$5&gt;0,1,2),1)+IF(Z25&gt;8,AC25,0)</f>
        <v>0</v>
      </c>
      <c r="AG25" s="659"/>
      <c r="AH25" s="611"/>
      <c r="AI25" s="612"/>
      <c r="AJ25" s="660">
        <f t="shared" si="12"/>
        <v>0</v>
      </c>
      <c r="AK25" s="611"/>
      <c r="AL25" s="611"/>
      <c r="AM25" s="613">
        <f>+AL25-AK25</f>
        <v>0</v>
      </c>
      <c r="AN25" s="661"/>
      <c r="AO25" s="662">
        <f>(AJ25*2+AM25)</f>
        <v>0</v>
      </c>
      <c r="AP25" s="851">
        <f t="shared" si="15"/>
        <v>0</v>
      </c>
      <c r="AQ25" s="852"/>
      <c r="AR25" s="853">
        <f>ROUND(BD25*AP25,1)</f>
        <v>0</v>
      </c>
      <c r="AS25" s="854"/>
      <c r="AT25" s="663">
        <f>IF(AT47&gt;0,AT47*$AT$10,0)</f>
        <v>0</v>
      </c>
      <c r="AV25" s="114">
        <f>+L25</f>
        <v>0</v>
      </c>
      <c r="AW25" s="114">
        <f>+V25</f>
        <v>0</v>
      </c>
      <c r="AX25" s="114">
        <f>+AF25</f>
        <v>0</v>
      </c>
      <c r="AY25" s="114">
        <f>+AO25</f>
        <v>0</v>
      </c>
      <c r="AZ25" s="114">
        <f t="shared" ref="AZ25" si="35">+L47</f>
        <v>0</v>
      </c>
      <c r="BA25" s="114">
        <f t="shared" ref="BA25" si="36">+V47</f>
        <v>0</v>
      </c>
      <c r="BB25" s="114">
        <f t="shared" ref="BB25" si="37">+AF47</f>
        <v>0</v>
      </c>
      <c r="BC25" s="35"/>
      <c r="BD25" s="36">
        <f>+I86</f>
        <v>4.125</v>
      </c>
      <c r="BE25" s="37">
        <f>+BD25*AP25</f>
        <v>0</v>
      </c>
      <c r="BF25" s="38">
        <f>+BD25*AY25</f>
        <v>0</v>
      </c>
    </row>
    <row r="26" spans="1:60" ht="5.0999999999999996" customHeight="1" thickBot="1">
      <c r="BC26" s="167"/>
      <c r="BD26" s="168"/>
      <c r="BE26" s="855">
        <f>SUM(BE11:BE25)</f>
        <v>433.24128214285719</v>
      </c>
      <c r="BF26" s="856">
        <f>SUM(BF11:BF25)</f>
        <v>288.98583571428571</v>
      </c>
    </row>
    <row r="27" spans="1:60" ht="9.9499999999999993" customHeight="1">
      <c r="B27" s="741" t="s">
        <v>1</v>
      </c>
      <c r="C27" s="858">
        <f>1+AG5</f>
        <v>43885</v>
      </c>
      <c r="D27" s="858"/>
      <c r="E27" s="858"/>
      <c r="F27" s="858"/>
      <c r="G27" s="858"/>
      <c r="H27" s="858"/>
      <c r="I27" s="858"/>
      <c r="J27" s="858"/>
      <c r="K27" s="860"/>
      <c r="L27" s="861"/>
      <c r="M27" s="864">
        <f>1+C27</f>
        <v>43886</v>
      </c>
      <c r="N27" s="865"/>
      <c r="O27" s="865"/>
      <c r="P27" s="865"/>
      <c r="Q27" s="865"/>
      <c r="R27" s="865"/>
      <c r="S27" s="865"/>
      <c r="T27" s="866"/>
      <c r="U27" s="870"/>
      <c r="V27" s="871"/>
      <c r="W27" s="864">
        <f>1+M27</f>
        <v>43887</v>
      </c>
      <c r="X27" s="865"/>
      <c r="Y27" s="865"/>
      <c r="Z27" s="865"/>
      <c r="AA27" s="865"/>
      <c r="AB27" s="865"/>
      <c r="AC27" s="865"/>
      <c r="AD27" s="866"/>
      <c r="AE27" s="880"/>
      <c r="AF27" s="881"/>
      <c r="AH27" s="884" t="s">
        <v>18</v>
      </c>
      <c r="AI27" s="879">
        <f>+C5</f>
        <v>43881</v>
      </c>
      <c r="AJ27" s="885">
        <f t="shared" ref="AJ27:AO27" si="38">1+AI27</f>
        <v>43882</v>
      </c>
      <c r="AK27" s="885">
        <f t="shared" si="38"/>
        <v>43883</v>
      </c>
      <c r="AL27" s="878">
        <f t="shared" si="38"/>
        <v>43884</v>
      </c>
      <c r="AM27" s="878">
        <f t="shared" si="38"/>
        <v>43885</v>
      </c>
      <c r="AN27" s="879">
        <f t="shared" si="38"/>
        <v>43886</v>
      </c>
      <c r="AO27" s="879">
        <f t="shared" si="38"/>
        <v>43887</v>
      </c>
      <c r="AP27" s="911" t="s">
        <v>19</v>
      </c>
      <c r="AQ27" s="912"/>
      <c r="AR27" s="913" t="s">
        <v>20</v>
      </c>
      <c r="AS27" s="914"/>
      <c r="AT27" s="898" t="s">
        <v>21</v>
      </c>
      <c r="AW27" s="901">
        <f>+AL27</f>
        <v>43884</v>
      </c>
      <c r="AX27" s="902"/>
      <c r="AZ27" s="907" t="s">
        <v>22</v>
      </c>
      <c r="BA27" s="907"/>
      <c r="BB27" s="907"/>
      <c r="BC27" s="907"/>
      <c r="BD27" s="168"/>
      <c r="BE27" s="855"/>
      <c r="BF27" s="857"/>
    </row>
    <row r="28" spans="1:60" ht="9.9499999999999993" customHeight="1">
      <c r="B28" s="742"/>
      <c r="C28" s="859"/>
      <c r="D28" s="859"/>
      <c r="E28" s="859"/>
      <c r="F28" s="859"/>
      <c r="G28" s="859"/>
      <c r="H28" s="859"/>
      <c r="I28" s="859"/>
      <c r="J28" s="859"/>
      <c r="K28" s="862"/>
      <c r="L28" s="863"/>
      <c r="M28" s="867"/>
      <c r="N28" s="868"/>
      <c r="O28" s="868"/>
      <c r="P28" s="868"/>
      <c r="Q28" s="868"/>
      <c r="R28" s="868"/>
      <c r="S28" s="868"/>
      <c r="T28" s="869"/>
      <c r="U28" s="872"/>
      <c r="V28" s="873"/>
      <c r="W28" s="867"/>
      <c r="X28" s="868"/>
      <c r="Y28" s="868"/>
      <c r="Z28" s="868"/>
      <c r="AA28" s="868"/>
      <c r="AB28" s="868"/>
      <c r="AC28" s="868"/>
      <c r="AD28" s="869"/>
      <c r="AE28" s="882"/>
      <c r="AF28" s="883"/>
      <c r="AH28" s="884"/>
      <c r="AI28" s="879"/>
      <c r="AJ28" s="885"/>
      <c r="AK28" s="885"/>
      <c r="AL28" s="878"/>
      <c r="AM28" s="878"/>
      <c r="AN28" s="879"/>
      <c r="AO28" s="879"/>
      <c r="AP28" s="911"/>
      <c r="AQ28" s="912"/>
      <c r="AR28" s="915"/>
      <c r="AS28" s="916"/>
      <c r="AT28" s="899"/>
      <c r="AW28" s="903"/>
      <c r="AX28" s="904"/>
      <c r="AZ28" s="908">
        <f>SUM(AV11:BB25)</f>
        <v>96</v>
      </c>
      <c r="BA28" s="909"/>
      <c r="BB28" s="909"/>
      <c r="BC28" s="169"/>
      <c r="BD28" s="168"/>
      <c r="BE28" s="170"/>
    </row>
    <row r="29" spans="1:60" ht="15.2" customHeight="1">
      <c r="B29" s="742"/>
      <c r="C29" s="780" t="s">
        <v>10</v>
      </c>
      <c r="D29" s="874"/>
      <c r="E29" s="766" t="s">
        <v>11</v>
      </c>
      <c r="F29" s="769" t="s">
        <v>12</v>
      </c>
      <c r="G29" s="877" t="s">
        <v>10</v>
      </c>
      <c r="H29" s="874"/>
      <c r="I29" s="769" t="s">
        <v>12</v>
      </c>
      <c r="J29" s="773" t="s">
        <v>13</v>
      </c>
      <c r="K29" s="786" t="s">
        <v>14</v>
      </c>
      <c r="L29" s="886" t="s">
        <v>15</v>
      </c>
      <c r="M29" s="780" t="s">
        <v>10</v>
      </c>
      <c r="N29" s="888"/>
      <c r="O29" s="767" t="s">
        <v>11</v>
      </c>
      <c r="P29" s="770" t="s">
        <v>12</v>
      </c>
      <c r="Q29" s="877" t="s">
        <v>10</v>
      </c>
      <c r="R29" s="893"/>
      <c r="S29" s="770" t="s">
        <v>12</v>
      </c>
      <c r="T29" s="774" t="s">
        <v>13</v>
      </c>
      <c r="U29" s="787" t="s">
        <v>14</v>
      </c>
      <c r="V29" s="886" t="s">
        <v>15</v>
      </c>
      <c r="W29" s="780" t="s">
        <v>10</v>
      </c>
      <c r="X29" s="888"/>
      <c r="Y29" s="767" t="s">
        <v>11</v>
      </c>
      <c r="Z29" s="770" t="s">
        <v>12</v>
      </c>
      <c r="AA29" s="877" t="s">
        <v>10</v>
      </c>
      <c r="AB29" s="893"/>
      <c r="AC29" s="770" t="s">
        <v>12</v>
      </c>
      <c r="AD29" s="774" t="s">
        <v>13</v>
      </c>
      <c r="AE29" s="787" t="s">
        <v>14</v>
      </c>
      <c r="AF29" s="886"/>
      <c r="AH29" s="884"/>
      <c r="AI29" s="879"/>
      <c r="AJ29" s="885"/>
      <c r="AK29" s="885"/>
      <c r="AL29" s="878"/>
      <c r="AM29" s="878"/>
      <c r="AN29" s="879"/>
      <c r="AO29" s="879"/>
      <c r="AP29" s="911"/>
      <c r="AQ29" s="912"/>
      <c r="AR29" s="915"/>
      <c r="AS29" s="916"/>
      <c r="AT29" s="899"/>
      <c r="AW29" s="903"/>
      <c r="AX29" s="904"/>
      <c r="AZ29" s="910"/>
      <c r="BA29" s="910"/>
      <c r="BB29" s="910"/>
      <c r="BC29" s="169"/>
      <c r="BD29" s="168"/>
      <c r="BE29" s="168"/>
    </row>
    <row r="30" spans="1:60" ht="15.2" customHeight="1">
      <c r="B30" s="742"/>
      <c r="C30" s="875"/>
      <c r="D30" s="810"/>
      <c r="E30" s="767"/>
      <c r="F30" s="770"/>
      <c r="G30" s="811"/>
      <c r="H30" s="810"/>
      <c r="I30" s="770"/>
      <c r="J30" s="774"/>
      <c r="K30" s="787"/>
      <c r="L30" s="886"/>
      <c r="M30" s="889"/>
      <c r="N30" s="890"/>
      <c r="O30" s="767"/>
      <c r="P30" s="770"/>
      <c r="Q30" s="894"/>
      <c r="R30" s="895"/>
      <c r="S30" s="770"/>
      <c r="T30" s="774"/>
      <c r="U30" s="787"/>
      <c r="V30" s="886"/>
      <c r="W30" s="889"/>
      <c r="X30" s="890"/>
      <c r="Y30" s="767"/>
      <c r="Z30" s="770"/>
      <c r="AA30" s="894"/>
      <c r="AB30" s="895"/>
      <c r="AC30" s="770"/>
      <c r="AD30" s="774"/>
      <c r="AE30" s="787"/>
      <c r="AF30" s="886"/>
      <c r="AH30" s="884"/>
      <c r="AI30" s="879"/>
      <c r="AJ30" s="885"/>
      <c r="AK30" s="885"/>
      <c r="AL30" s="878"/>
      <c r="AM30" s="878"/>
      <c r="AN30" s="879"/>
      <c r="AO30" s="879"/>
      <c r="AP30" s="911"/>
      <c r="AQ30" s="912"/>
      <c r="AR30" s="915"/>
      <c r="AS30" s="916"/>
      <c r="AT30" s="899"/>
      <c r="AW30" s="903"/>
      <c r="AX30" s="904"/>
      <c r="AY30" s="7" t="s">
        <v>23</v>
      </c>
      <c r="BD30" s="171">
        <f>+AZ28-AW49</f>
        <v>30</v>
      </c>
      <c r="BE30" s="172" t="s">
        <v>24</v>
      </c>
    </row>
    <row r="31" spans="1:60" ht="15.2" customHeight="1">
      <c r="B31" s="742"/>
      <c r="C31" s="875"/>
      <c r="D31" s="810"/>
      <c r="E31" s="767"/>
      <c r="F31" s="770"/>
      <c r="G31" s="811"/>
      <c r="H31" s="810"/>
      <c r="I31" s="770"/>
      <c r="J31" s="774"/>
      <c r="K31" s="787"/>
      <c r="L31" s="886"/>
      <c r="M31" s="889"/>
      <c r="N31" s="890"/>
      <c r="O31" s="767"/>
      <c r="P31" s="770"/>
      <c r="Q31" s="894"/>
      <c r="R31" s="895"/>
      <c r="S31" s="770"/>
      <c r="T31" s="774"/>
      <c r="U31" s="787"/>
      <c r="V31" s="886"/>
      <c r="W31" s="889"/>
      <c r="X31" s="890"/>
      <c r="Y31" s="767"/>
      <c r="Z31" s="770"/>
      <c r="AA31" s="894"/>
      <c r="AB31" s="895"/>
      <c r="AC31" s="770"/>
      <c r="AD31" s="774"/>
      <c r="AE31" s="787"/>
      <c r="AF31" s="886"/>
      <c r="AH31" s="884"/>
      <c r="AI31" s="879"/>
      <c r="AJ31" s="885"/>
      <c r="AK31" s="885"/>
      <c r="AL31" s="878"/>
      <c r="AM31" s="878"/>
      <c r="AN31" s="879"/>
      <c r="AO31" s="879"/>
      <c r="AP31" s="911"/>
      <c r="AQ31" s="912"/>
      <c r="AR31" s="915"/>
      <c r="AS31" s="916"/>
      <c r="AT31" s="899"/>
      <c r="AW31" s="903"/>
      <c r="AX31" s="904"/>
    </row>
    <row r="32" spans="1:60" ht="15.2" customHeight="1" thickBot="1">
      <c r="B32" s="743"/>
      <c r="C32" s="876"/>
      <c r="D32" s="813"/>
      <c r="E32" s="768"/>
      <c r="F32" s="771"/>
      <c r="G32" s="812"/>
      <c r="H32" s="813"/>
      <c r="I32" s="771"/>
      <c r="J32" s="775"/>
      <c r="K32" s="788"/>
      <c r="L32" s="887"/>
      <c r="M32" s="891"/>
      <c r="N32" s="892"/>
      <c r="O32" s="768"/>
      <c r="P32" s="771"/>
      <c r="Q32" s="896"/>
      <c r="R32" s="897"/>
      <c r="S32" s="771"/>
      <c r="T32" s="775"/>
      <c r="U32" s="788"/>
      <c r="V32" s="887"/>
      <c r="W32" s="891"/>
      <c r="X32" s="892"/>
      <c r="Y32" s="768"/>
      <c r="Z32" s="771"/>
      <c r="AA32" s="896"/>
      <c r="AB32" s="897"/>
      <c r="AC32" s="771"/>
      <c r="AD32" s="775"/>
      <c r="AE32" s="788"/>
      <c r="AF32" s="887"/>
      <c r="AH32" s="884"/>
      <c r="AI32" s="879"/>
      <c r="AJ32" s="885"/>
      <c r="AK32" s="885"/>
      <c r="AL32" s="878"/>
      <c r="AM32" s="878"/>
      <c r="AN32" s="879"/>
      <c r="AO32" s="879"/>
      <c r="AP32" s="911"/>
      <c r="AQ32" s="912"/>
      <c r="AR32" s="917"/>
      <c r="AS32" s="918"/>
      <c r="AT32" s="900"/>
      <c r="AW32" s="905"/>
      <c r="AX32" s="906"/>
      <c r="BE32" s="173"/>
    </row>
    <row r="33" spans="1:57" ht="14.1" customHeight="1">
      <c r="B33" s="16" t="str">
        <f t="shared" ref="B33:B47" si="39">+B11</f>
        <v>Eduardo Segura D.</v>
      </c>
      <c r="C33" s="17">
        <v>7</v>
      </c>
      <c r="D33" s="18">
        <v>16</v>
      </c>
      <c r="E33" s="19">
        <v>1</v>
      </c>
      <c r="F33" s="40">
        <f t="shared" ref="F33:F47" si="40">+D33-C33-E33</f>
        <v>8</v>
      </c>
      <c r="G33" s="43"/>
      <c r="H33" s="22"/>
      <c r="I33" s="40">
        <f t="shared" ref="I33:I47" si="41">+H33-G33</f>
        <v>0</v>
      </c>
      <c r="J33" s="19"/>
      <c r="K33" s="41">
        <f t="shared" ref="K33:K47" si="42">+I33+F33-L33</f>
        <v>8</v>
      </c>
      <c r="L33" s="25">
        <f t="shared" ref="L33:L47" si="43">IF(C33&gt;0,(F33+I33)+IF(K$27&gt;0,F33,-8),0)+IF(U$27&gt;0,I33,0)</f>
        <v>0</v>
      </c>
      <c r="M33" s="43">
        <v>7</v>
      </c>
      <c r="N33" s="18">
        <v>16</v>
      </c>
      <c r="O33" s="19">
        <v>1</v>
      </c>
      <c r="P33" s="40">
        <f t="shared" ref="P33:P47" si="44">+N33-M33-O33</f>
        <v>8</v>
      </c>
      <c r="Q33" s="138"/>
      <c r="R33" s="174"/>
      <c r="S33" s="40">
        <f t="shared" ref="S33:S47" si="45">+R33-Q33</f>
        <v>0</v>
      </c>
      <c r="T33" s="19"/>
      <c r="U33" s="41">
        <f t="shared" ref="U33:U47" si="46">+S33+P33-V33</f>
        <v>8</v>
      </c>
      <c r="V33" s="25">
        <f t="shared" ref="V33:V47" si="47">IF(M33&gt;0,(P33+S33)+IF(U$27&gt;0,P33,-8),0)+IF(AE$27&gt;0,S33,0)</f>
        <v>0</v>
      </c>
      <c r="W33" s="18">
        <v>10</v>
      </c>
      <c r="X33" s="18">
        <v>16</v>
      </c>
      <c r="Y33" s="175">
        <v>1</v>
      </c>
      <c r="Z33" s="176">
        <f t="shared" ref="Z33:Z47" si="48">+X33-W33-Y33</f>
        <v>5</v>
      </c>
      <c r="AA33" s="138"/>
      <c r="AB33" s="109">
        <v>3</v>
      </c>
      <c r="AC33" s="176">
        <f t="shared" ref="AC33:AC47" si="49">+AB33-AA33</f>
        <v>3</v>
      </c>
      <c r="AD33" s="175"/>
      <c r="AE33" s="177">
        <f t="shared" ref="AE33:AE47" si="50">+AC33+Z33-AF33</f>
        <v>8</v>
      </c>
      <c r="AF33" s="25">
        <f t="shared" ref="AF33:AF47" si="51">IF(W33&gt;0,(Z33+AC33)+IF(AE$27&gt;0,0+Z33,-8),0)</f>
        <v>0</v>
      </c>
      <c r="AG33" s="69"/>
      <c r="AH33" s="178">
        <v>0</v>
      </c>
      <c r="AI33" s="179">
        <f>+K11+(IF(ISBLANK($K$5),-8,0))</f>
        <v>0</v>
      </c>
      <c r="AJ33" s="179">
        <f>IF(ISBLANK($U$5),-8,0)+U11</f>
        <v>0</v>
      </c>
      <c r="AK33" s="179">
        <f>IF(ISBLANK($AE$5),-8,0)+AE11</f>
        <v>0.5</v>
      </c>
      <c r="AL33" s="179">
        <f t="shared" ref="AL33:AL47" si="52">IF(ISBLANK($AO$5),-8,0)+AO11+AW33</f>
        <v>0</v>
      </c>
      <c r="AM33" s="179">
        <f t="shared" ref="AM33:AM47" si="53">IF(ISBLANK($K$27),-8,0)+K33</f>
        <v>0</v>
      </c>
      <c r="AN33" s="179">
        <f t="shared" ref="AN33:AN47" si="54">IF(ISBLANK($U$27),-8,0)+U33</f>
        <v>0</v>
      </c>
      <c r="AO33" s="179">
        <f t="shared" ref="AO33:AO47" si="55">IF(ISBLANK($AE$27),-8,0)+AE33</f>
        <v>0</v>
      </c>
      <c r="AP33" s="180">
        <f t="shared" ref="AP33:AP47" si="56">SUM(AH33:AO33)</f>
        <v>0.5</v>
      </c>
      <c r="AQ33" s="69"/>
      <c r="AR33" s="919">
        <f t="shared" ref="AR33:AR45" si="57">+X73*Q73</f>
        <v>0</v>
      </c>
      <c r="AS33" s="925"/>
      <c r="AT33" s="181">
        <f t="shared" ref="AT33:AT47" si="58">IF(K11+L11&gt;0,1,0)+IF(U11+V11&gt;0,1,0)+IF(AE11+AF11&gt;0,1,0)+IF(AO11&gt;3,1,0)+IF(K33+L33&gt;0,1,0)+IF(U33+V33&gt;0,1,0)+IF(AE33+AF33&gt;0,1,0)</f>
        <v>7</v>
      </c>
      <c r="AU33" s="69"/>
      <c r="AV33" s="69"/>
      <c r="AW33" s="921">
        <v>-12</v>
      </c>
      <c r="AX33" s="922"/>
      <c r="BD33" s="182"/>
      <c r="BE33" s="183"/>
    </row>
    <row r="34" spans="1:57" ht="14.1" customHeight="1">
      <c r="B34" s="190" t="str">
        <f t="shared" si="39"/>
        <v>Cesar Mendez M.</v>
      </c>
      <c r="C34" s="17">
        <v>7</v>
      </c>
      <c r="D34" s="18">
        <v>17</v>
      </c>
      <c r="E34" s="19">
        <v>1</v>
      </c>
      <c r="F34" s="40">
        <f t="shared" si="40"/>
        <v>9</v>
      </c>
      <c r="G34" s="43"/>
      <c r="H34" s="43"/>
      <c r="I34" s="40">
        <f t="shared" si="41"/>
        <v>0</v>
      </c>
      <c r="J34" s="19"/>
      <c r="K34" s="41">
        <f t="shared" si="42"/>
        <v>8</v>
      </c>
      <c r="L34" s="25">
        <f t="shared" si="43"/>
        <v>1</v>
      </c>
      <c r="M34" s="43">
        <v>7</v>
      </c>
      <c r="N34" s="18">
        <v>17</v>
      </c>
      <c r="O34" s="19">
        <v>1</v>
      </c>
      <c r="P34" s="40">
        <f t="shared" si="44"/>
        <v>9</v>
      </c>
      <c r="Q34" s="43"/>
      <c r="R34" s="43"/>
      <c r="S34" s="40">
        <f t="shared" si="45"/>
        <v>0</v>
      </c>
      <c r="T34" s="19"/>
      <c r="U34" s="41">
        <f t="shared" si="46"/>
        <v>8</v>
      </c>
      <c r="V34" s="25">
        <f t="shared" si="47"/>
        <v>1</v>
      </c>
      <c r="W34" s="18">
        <v>7</v>
      </c>
      <c r="X34" s="18">
        <v>19</v>
      </c>
      <c r="Y34" s="19">
        <v>1</v>
      </c>
      <c r="Z34" s="40">
        <f t="shared" si="48"/>
        <v>11</v>
      </c>
      <c r="AA34" s="18"/>
      <c r="AB34" s="43"/>
      <c r="AC34" s="40">
        <f t="shared" si="49"/>
        <v>0</v>
      </c>
      <c r="AD34" s="19"/>
      <c r="AE34" s="41">
        <f t="shared" si="50"/>
        <v>8</v>
      </c>
      <c r="AF34" s="25">
        <f t="shared" si="51"/>
        <v>3</v>
      </c>
      <c r="AG34" s="69"/>
      <c r="AH34" s="178">
        <v>0</v>
      </c>
      <c r="AI34" s="179">
        <f>+K12+(IF(ISBLANK($K$5),-8,0))</f>
        <v>0</v>
      </c>
      <c r="AJ34" s="179">
        <f>IF(ISBLANK($U$5),-8,0)+U12</f>
        <v>0</v>
      </c>
      <c r="AK34" s="179">
        <f>IF(ISBLANK($AE$5),-8,0)+AE12</f>
        <v>0</v>
      </c>
      <c r="AL34" s="179">
        <f t="shared" si="52"/>
        <v>0</v>
      </c>
      <c r="AM34" s="179">
        <f t="shared" si="53"/>
        <v>0</v>
      </c>
      <c r="AN34" s="179">
        <f t="shared" si="54"/>
        <v>0</v>
      </c>
      <c r="AO34" s="179">
        <f t="shared" si="55"/>
        <v>0</v>
      </c>
      <c r="AP34" s="180">
        <f t="shared" si="56"/>
        <v>0</v>
      </c>
      <c r="AQ34" s="69"/>
      <c r="AR34" s="919">
        <f t="shared" si="57"/>
        <v>0</v>
      </c>
      <c r="AS34" s="920"/>
      <c r="AT34" s="181">
        <f t="shared" si="58"/>
        <v>7</v>
      </c>
      <c r="AU34" s="69"/>
      <c r="AV34" s="69"/>
      <c r="AW34" s="921">
        <v>-20</v>
      </c>
      <c r="AX34" s="922"/>
    </row>
    <row r="35" spans="1:57" ht="14.1" customHeight="1">
      <c r="B35" s="190" t="str">
        <f t="shared" si="39"/>
        <v>Juan Manrique V.</v>
      </c>
      <c r="C35" s="17">
        <v>7</v>
      </c>
      <c r="D35" s="18">
        <v>16</v>
      </c>
      <c r="E35" s="19">
        <v>1</v>
      </c>
      <c r="F35" s="40">
        <f t="shared" si="40"/>
        <v>8</v>
      </c>
      <c r="G35" s="43"/>
      <c r="H35" s="43"/>
      <c r="I35" s="40">
        <f t="shared" si="41"/>
        <v>0</v>
      </c>
      <c r="J35" s="19"/>
      <c r="K35" s="41">
        <f t="shared" si="42"/>
        <v>8</v>
      </c>
      <c r="L35" s="25">
        <f t="shared" si="43"/>
        <v>0</v>
      </c>
      <c r="M35" s="43">
        <v>7</v>
      </c>
      <c r="N35" s="18">
        <v>18</v>
      </c>
      <c r="O35" s="19">
        <v>1</v>
      </c>
      <c r="P35" s="40">
        <f t="shared" si="44"/>
        <v>10</v>
      </c>
      <c r="Q35" s="117"/>
      <c r="R35" s="189"/>
      <c r="S35" s="40">
        <f t="shared" si="45"/>
        <v>0</v>
      </c>
      <c r="T35" s="19"/>
      <c r="U35" s="41">
        <f t="shared" si="46"/>
        <v>8</v>
      </c>
      <c r="V35" s="25">
        <f t="shared" si="47"/>
        <v>2</v>
      </c>
      <c r="W35" s="18">
        <v>7</v>
      </c>
      <c r="X35" s="18">
        <v>18</v>
      </c>
      <c r="Y35" s="19">
        <v>1</v>
      </c>
      <c r="Z35" s="40">
        <f t="shared" si="48"/>
        <v>10</v>
      </c>
      <c r="AA35" s="18"/>
      <c r="AB35" s="18"/>
      <c r="AC35" s="40">
        <f t="shared" si="49"/>
        <v>0</v>
      </c>
      <c r="AD35" s="19"/>
      <c r="AE35" s="41">
        <f t="shared" si="50"/>
        <v>8</v>
      </c>
      <c r="AF35" s="25">
        <f t="shared" si="51"/>
        <v>2</v>
      </c>
      <c r="AG35" s="69"/>
      <c r="AH35" s="178">
        <v>0</v>
      </c>
      <c r="AI35" s="179">
        <f>+K13+(IF(ISBLANK($K$5),-8,0))</f>
        <v>0</v>
      </c>
      <c r="AJ35" s="179">
        <f>IF(ISBLANK($U$5),-8,0)+U13</f>
        <v>0</v>
      </c>
      <c r="AK35" s="179">
        <f>IF(ISBLANK($AE$5),-8,0)+AE13</f>
        <v>0</v>
      </c>
      <c r="AL35" s="179">
        <f t="shared" si="52"/>
        <v>0</v>
      </c>
      <c r="AM35" s="179">
        <f t="shared" si="53"/>
        <v>0</v>
      </c>
      <c r="AN35" s="179">
        <f t="shared" si="54"/>
        <v>0</v>
      </c>
      <c r="AO35" s="179">
        <f t="shared" si="55"/>
        <v>0</v>
      </c>
      <c r="AP35" s="180">
        <f t="shared" si="56"/>
        <v>0</v>
      </c>
      <c r="AQ35" s="69"/>
      <c r="AR35" s="919">
        <f t="shared" si="57"/>
        <v>0</v>
      </c>
      <c r="AS35" s="920"/>
      <c r="AT35" s="187">
        <f t="shared" si="58"/>
        <v>6</v>
      </c>
      <c r="AU35" s="69"/>
      <c r="AV35" s="69"/>
      <c r="AW35" s="926"/>
      <c r="AX35" s="927"/>
      <c r="AZ35" s="182"/>
      <c r="BD35" s="182"/>
    </row>
    <row r="36" spans="1:57" ht="14.1" customHeight="1">
      <c r="B36" s="190" t="str">
        <f t="shared" si="39"/>
        <v xml:space="preserve"> Irving Huaringa B.</v>
      </c>
      <c r="C36" s="17">
        <v>7</v>
      </c>
      <c r="D36" s="18">
        <v>16</v>
      </c>
      <c r="E36" s="19">
        <v>1</v>
      </c>
      <c r="F36" s="40">
        <f t="shared" si="40"/>
        <v>8</v>
      </c>
      <c r="G36" s="43"/>
      <c r="H36" s="43"/>
      <c r="I36" s="40">
        <f t="shared" si="41"/>
        <v>0</v>
      </c>
      <c r="J36" s="19"/>
      <c r="K36" s="41">
        <f t="shared" si="42"/>
        <v>8</v>
      </c>
      <c r="L36" s="25">
        <f t="shared" si="43"/>
        <v>0</v>
      </c>
      <c r="M36" s="43">
        <v>7</v>
      </c>
      <c r="N36" s="18">
        <v>16</v>
      </c>
      <c r="O36" s="19">
        <v>1</v>
      </c>
      <c r="P36" s="40">
        <f t="shared" si="44"/>
        <v>8</v>
      </c>
      <c r="Q36" s="117"/>
      <c r="R36" s="189"/>
      <c r="S36" s="40">
        <f t="shared" si="45"/>
        <v>0</v>
      </c>
      <c r="T36" s="19"/>
      <c r="U36" s="41">
        <f t="shared" si="46"/>
        <v>8</v>
      </c>
      <c r="V36" s="25">
        <f t="shared" si="47"/>
        <v>0</v>
      </c>
      <c r="W36" s="18">
        <v>7</v>
      </c>
      <c r="X36" s="18">
        <v>16</v>
      </c>
      <c r="Y36" s="19">
        <v>1</v>
      </c>
      <c r="Z36" s="40">
        <f t="shared" si="48"/>
        <v>8</v>
      </c>
      <c r="AA36" s="18"/>
      <c r="AB36" s="18"/>
      <c r="AC36" s="40">
        <f t="shared" si="49"/>
        <v>0</v>
      </c>
      <c r="AD36" s="19"/>
      <c r="AE36" s="41">
        <f t="shared" si="50"/>
        <v>8</v>
      </c>
      <c r="AF36" s="25">
        <f t="shared" si="51"/>
        <v>0</v>
      </c>
      <c r="AG36" s="69"/>
      <c r="AH36" s="178">
        <v>0</v>
      </c>
      <c r="AI36" s="179">
        <f>+K14+(IF(ISBLANK($K$5),-8,0))</f>
        <v>-8</v>
      </c>
      <c r="AJ36" s="179">
        <f>IF(ISBLANK($U$5),-8,0)+U14</f>
        <v>-8</v>
      </c>
      <c r="AK36" s="191">
        <f>IF(ISBLANK($AE$5),-5,0)+AE14</f>
        <v>-5</v>
      </c>
      <c r="AL36" s="179">
        <f t="shared" si="52"/>
        <v>0</v>
      </c>
      <c r="AM36" s="192">
        <f t="shared" si="53"/>
        <v>0</v>
      </c>
      <c r="AN36" s="192">
        <f t="shared" si="54"/>
        <v>0</v>
      </c>
      <c r="AO36" s="192">
        <f t="shared" si="55"/>
        <v>0</v>
      </c>
      <c r="AP36" s="180">
        <f t="shared" si="56"/>
        <v>-21</v>
      </c>
      <c r="AQ36" s="69"/>
      <c r="AR36" s="919">
        <f t="shared" si="57"/>
        <v>0</v>
      </c>
      <c r="AS36" s="920"/>
      <c r="AT36" s="187">
        <f t="shared" si="58"/>
        <v>3</v>
      </c>
      <c r="AU36" s="69"/>
      <c r="AV36" s="69"/>
      <c r="AW36" s="921"/>
      <c r="AX36" s="922"/>
    </row>
    <row r="37" spans="1:57" ht="14.1" customHeight="1">
      <c r="B37" s="39" t="str">
        <f t="shared" si="39"/>
        <v>Pier Alejos A.</v>
      </c>
      <c r="C37" s="56"/>
      <c r="D37" s="43"/>
      <c r="E37" s="54"/>
      <c r="F37" s="53">
        <f t="shared" si="40"/>
        <v>0</v>
      </c>
      <c r="G37" s="43"/>
      <c r="H37" s="228"/>
      <c r="I37" s="53">
        <f t="shared" si="41"/>
        <v>0</v>
      </c>
      <c r="J37" s="54"/>
      <c r="K37" s="55">
        <f t="shared" si="42"/>
        <v>0</v>
      </c>
      <c r="L37" s="135">
        <f t="shared" si="43"/>
        <v>0</v>
      </c>
      <c r="M37" s="56"/>
      <c r="N37" s="201"/>
      <c r="O37" s="54"/>
      <c r="P37" s="53">
        <f t="shared" si="44"/>
        <v>0</v>
      </c>
      <c r="Q37" s="117"/>
      <c r="R37" s="189"/>
      <c r="S37" s="53">
        <f t="shared" si="45"/>
        <v>0</v>
      </c>
      <c r="T37" s="54"/>
      <c r="U37" s="55">
        <f t="shared" si="46"/>
        <v>0</v>
      </c>
      <c r="V37" s="135">
        <f t="shared" si="47"/>
        <v>0</v>
      </c>
      <c r="W37" s="56"/>
      <c r="X37" s="43"/>
      <c r="Y37" s="54"/>
      <c r="Z37" s="53">
        <f t="shared" si="48"/>
        <v>0</v>
      </c>
      <c r="AA37" s="43"/>
      <c r="AB37" s="64"/>
      <c r="AC37" s="53">
        <f>+AB37-AA37</f>
        <v>0</v>
      </c>
      <c r="AD37" s="54"/>
      <c r="AE37" s="55">
        <f t="shared" si="50"/>
        <v>0</v>
      </c>
      <c r="AF37" s="135">
        <f t="shared" si="51"/>
        <v>0</v>
      </c>
      <c r="AG37" s="69"/>
      <c r="AH37" s="178">
        <v>0</v>
      </c>
      <c r="AI37" s="179">
        <f>+K15+(IF(ISBLANK($K$5),-8,0))</f>
        <v>0</v>
      </c>
      <c r="AJ37" s="179">
        <f>IF(ISBLANK($U$5),-8,0)+U15</f>
        <v>0</v>
      </c>
      <c r="AK37" s="179">
        <f>IF(ISBLANK($AE$5),-8,0)+AE15</f>
        <v>0</v>
      </c>
      <c r="AL37" s="179">
        <f t="shared" si="52"/>
        <v>0</v>
      </c>
      <c r="AM37" s="179">
        <f t="shared" si="53"/>
        <v>-8</v>
      </c>
      <c r="AN37" s="179">
        <f t="shared" si="54"/>
        <v>-8</v>
      </c>
      <c r="AO37" s="179">
        <f t="shared" si="55"/>
        <v>-8</v>
      </c>
      <c r="AP37" s="180">
        <f t="shared" si="56"/>
        <v>-24</v>
      </c>
      <c r="AQ37" s="69"/>
      <c r="AR37" s="919">
        <f t="shared" si="57"/>
        <v>0</v>
      </c>
      <c r="AS37" s="920"/>
      <c r="AT37" s="230">
        <f t="shared" si="58"/>
        <v>3</v>
      </c>
      <c r="AU37" s="69"/>
      <c r="AV37" s="69"/>
      <c r="AW37" s="921"/>
      <c r="AX37" s="922"/>
    </row>
    <row r="38" spans="1:57" ht="14.1" customHeight="1">
      <c r="B38" s="630" t="str">
        <f t="shared" si="39"/>
        <v>Jose Cortez P.</v>
      </c>
      <c r="C38" s="92">
        <v>7</v>
      </c>
      <c r="D38" s="92">
        <v>17</v>
      </c>
      <c r="E38" s="92">
        <v>1</v>
      </c>
      <c r="F38" s="93">
        <f t="shared" si="40"/>
        <v>9</v>
      </c>
      <c r="G38" s="43"/>
      <c r="H38" s="43"/>
      <c r="I38" s="93">
        <f t="shared" si="41"/>
        <v>0</v>
      </c>
      <c r="J38" s="92"/>
      <c r="K38" s="41">
        <f t="shared" si="42"/>
        <v>8</v>
      </c>
      <c r="L38" s="94">
        <f t="shared" si="43"/>
        <v>1</v>
      </c>
      <c r="M38" s="92">
        <v>7</v>
      </c>
      <c r="N38" s="92">
        <v>18</v>
      </c>
      <c r="O38" s="92">
        <v>1</v>
      </c>
      <c r="P38" s="93">
        <f t="shared" si="44"/>
        <v>10</v>
      </c>
      <c r="Q38" s="200"/>
      <c r="R38" s="189"/>
      <c r="S38" s="93">
        <f t="shared" si="45"/>
        <v>0</v>
      </c>
      <c r="T38" s="92"/>
      <c r="U38" s="41">
        <f t="shared" si="46"/>
        <v>8</v>
      </c>
      <c r="V38" s="94">
        <f t="shared" si="47"/>
        <v>2</v>
      </c>
      <c r="W38" s="92">
        <v>7</v>
      </c>
      <c r="X38" s="92">
        <v>19</v>
      </c>
      <c r="Y38" s="201">
        <v>1</v>
      </c>
      <c r="Z38" s="202">
        <f t="shared" si="48"/>
        <v>11</v>
      </c>
      <c r="AA38" s="18"/>
      <c r="AB38" s="43"/>
      <c r="AC38" s="53">
        <f t="shared" si="49"/>
        <v>0</v>
      </c>
      <c r="AD38" s="19"/>
      <c r="AE38" s="41">
        <f t="shared" si="50"/>
        <v>8</v>
      </c>
      <c r="AF38" s="25">
        <f t="shared" si="51"/>
        <v>3</v>
      </c>
      <c r="AG38" s="69"/>
      <c r="AH38" s="203">
        <v>0</v>
      </c>
      <c r="AI38" s="204">
        <f t="shared" ref="AI38:AI39" si="59">+K16+(IF(ISBLANK($K$5),-8,0))</f>
        <v>0</v>
      </c>
      <c r="AJ38" s="205">
        <f t="shared" ref="AJ38:AJ39" si="60">IF(ISBLANK($U$5),-8,0)+U16</f>
        <v>0</v>
      </c>
      <c r="AK38" s="205">
        <f>IF(ISBLANK($AE$5),-8,0)+AE16</f>
        <v>0</v>
      </c>
      <c r="AL38" s="179">
        <f t="shared" si="52"/>
        <v>0</v>
      </c>
      <c r="AM38" s="205">
        <f t="shared" si="53"/>
        <v>0</v>
      </c>
      <c r="AN38" s="205">
        <f t="shared" si="54"/>
        <v>0</v>
      </c>
      <c r="AO38" s="205">
        <f t="shared" si="55"/>
        <v>0</v>
      </c>
      <c r="AP38" s="206">
        <f t="shared" si="56"/>
        <v>0</v>
      </c>
      <c r="AQ38" s="69"/>
      <c r="AR38" s="919">
        <f t="shared" si="57"/>
        <v>0</v>
      </c>
      <c r="AS38" s="920"/>
      <c r="AT38" s="561">
        <f t="shared" si="58"/>
        <v>7</v>
      </c>
      <c r="AU38" s="69"/>
      <c r="AV38" s="69"/>
      <c r="AW38" s="923">
        <v>-16</v>
      </c>
      <c r="AX38" s="924"/>
    </row>
    <row r="39" spans="1:57" ht="14.1" customHeight="1">
      <c r="B39" s="91" t="str">
        <f t="shared" si="39"/>
        <v>Rafael Armas R.</v>
      </c>
      <c r="C39" s="102">
        <v>7</v>
      </c>
      <c r="D39" s="102">
        <v>17</v>
      </c>
      <c r="E39" s="102">
        <v>1</v>
      </c>
      <c r="F39" s="143">
        <f t="shared" si="40"/>
        <v>9</v>
      </c>
      <c r="G39" s="144"/>
      <c r="H39" s="43"/>
      <c r="I39" s="143">
        <f t="shared" si="41"/>
        <v>0</v>
      </c>
      <c r="J39" s="102"/>
      <c r="K39" s="41">
        <f t="shared" si="42"/>
        <v>8</v>
      </c>
      <c r="L39" s="147">
        <f t="shared" si="43"/>
        <v>1</v>
      </c>
      <c r="M39" s="92">
        <v>7</v>
      </c>
      <c r="N39" s="92">
        <v>18</v>
      </c>
      <c r="O39" s="201">
        <v>1</v>
      </c>
      <c r="P39" s="202">
        <f t="shared" si="44"/>
        <v>10</v>
      </c>
      <c r="Q39" s="201"/>
      <c r="R39" s="43"/>
      <c r="S39" s="202">
        <f t="shared" si="45"/>
        <v>0</v>
      </c>
      <c r="T39" s="201"/>
      <c r="U39" s="41">
        <f t="shared" si="46"/>
        <v>8</v>
      </c>
      <c r="V39" s="209">
        <f t="shared" si="47"/>
        <v>2</v>
      </c>
      <c r="W39" s="201">
        <v>7</v>
      </c>
      <c r="X39" s="201">
        <v>19</v>
      </c>
      <c r="Y39" s="201">
        <v>1</v>
      </c>
      <c r="Z39" s="202">
        <f t="shared" si="48"/>
        <v>11</v>
      </c>
      <c r="AA39" s="201"/>
      <c r="AB39" s="43"/>
      <c r="AC39" s="202">
        <f t="shared" si="49"/>
        <v>0</v>
      </c>
      <c r="AD39" s="201"/>
      <c r="AE39" s="41">
        <f t="shared" si="50"/>
        <v>8</v>
      </c>
      <c r="AF39" s="209">
        <f t="shared" si="51"/>
        <v>3</v>
      </c>
      <c r="AG39" s="69"/>
      <c r="AH39" s="210">
        <v>0</v>
      </c>
      <c r="AI39" s="179">
        <f t="shared" si="59"/>
        <v>0</v>
      </c>
      <c r="AJ39" s="179">
        <f t="shared" si="60"/>
        <v>0</v>
      </c>
      <c r="AK39" s="211">
        <f>IF(ISBLANK($AE$5),-8,0)+AE17</f>
        <v>0</v>
      </c>
      <c r="AL39" s="179">
        <f t="shared" si="52"/>
        <v>0</v>
      </c>
      <c r="AM39" s="179">
        <f t="shared" si="53"/>
        <v>0</v>
      </c>
      <c r="AN39" s="179">
        <f t="shared" si="54"/>
        <v>0</v>
      </c>
      <c r="AO39" s="179">
        <f t="shared" si="55"/>
        <v>0</v>
      </c>
      <c r="AP39" s="180">
        <f t="shared" si="56"/>
        <v>0</v>
      </c>
      <c r="AQ39" s="69"/>
      <c r="AR39" s="919">
        <f t="shared" si="57"/>
        <v>0</v>
      </c>
      <c r="AS39" s="920"/>
      <c r="AT39" s="207">
        <f t="shared" si="58"/>
        <v>6</v>
      </c>
      <c r="AU39" s="69"/>
      <c r="AV39" s="69"/>
      <c r="AW39" s="921"/>
      <c r="AX39" s="922"/>
    </row>
    <row r="40" spans="1:57" s="116" customFormat="1" ht="14.1" customHeight="1">
      <c r="A40" s="212"/>
      <c r="B40" s="91" t="str">
        <f t="shared" si="39"/>
        <v>Jose Ochoa I.</v>
      </c>
      <c r="C40" s="102">
        <v>7</v>
      </c>
      <c r="D40" s="102">
        <v>16</v>
      </c>
      <c r="E40" s="102">
        <v>1</v>
      </c>
      <c r="F40" s="143">
        <f t="shared" si="40"/>
        <v>8</v>
      </c>
      <c r="G40" s="144"/>
      <c r="H40" s="43"/>
      <c r="I40" s="143">
        <f t="shared" si="41"/>
        <v>0</v>
      </c>
      <c r="J40" s="102"/>
      <c r="K40" s="41">
        <f t="shared" si="42"/>
        <v>8</v>
      </c>
      <c r="L40" s="147">
        <f t="shared" si="43"/>
        <v>0</v>
      </c>
      <c r="M40" s="213">
        <v>7</v>
      </c>
      <c r="N40" s="201">
        <v>16</v>
      </c>
      <c r="O40" s="201">
        <v>1</v>
      </c>
      <c r="P40" s="202">
        <f t="shared" si="44"/>
        <v>8</v>
      </c>
      <c r="Q40" s="214"/>
      <c r="R40" s="189"/>
      <c r="S40" s="202">
        <f t="shared" si="45"/>
        <v>0</v>
      </c>
      <c r="T40" s="201"/>
      <c r="U40" s="41">
        <f t="shared" si="46"/>
        <v>8</v>
      </c>
      <c r="V40" s="209">
        <f t="shared" si="47"/>
        <v>0</v>
      </c>
      <c r="W40" s="201">
        <v>7</v>
      </c>
      <c r="X40" s="201">
        <v>16</v>
      </c>
      <c r="Y40" s="201">
        <v>1</v>
      </c>
      <c r="Z40" s="202">
        <f t="shared" si="48"/>
        <v>8</v>
      </c>
      <c r="AA40" s="201"/>
      <c r="AB40" s="215"/>
      <c r="AC40" s="202">
        <f t="shared" si="49"/>
        <v>0</v>
      </c>
      <c r="AD40" s="201"/>
      <c r="AE40" s="41">
        <f t="shared" si="50"/>
        <v>8</v>
      </c>
      <c r="AF40" s="209">
        <f t="shared" si="51"/>
        <v>0</v>
      </c>
      <c r="AG40" s="69"/>
      <c r="AH40" s="216">
        <v>0</v>
      </c>
      <c r="AI40" s="217">
        <f>+K22+(IF(ISBLANK($K$5),-8,0))</f>
        <v>0</v>
      </c>
      <c r="AJ40" s="217">
        <f>IF(ISBLANK($U$5),-8,0)+U22</f>
        <v>0</v>
      </c>
      <c r="AK40" s="217">
        <f>IF(ISBLANK($AE$5),-8,0)+AE22</f>
        <v>0</v>
      </c>
      <c r="AL40" s="217">
        <f t="shared" si="52"/>
        <v>0</v>
      </c>
      <c r="AM40" s="217">
        <f t="shared" si="53"/>
        <v>0</v>
      </c>
      <c r="AN40" s="217">
        <f t="shared" si="54"/>
        <v>0</v>
      </c>
      <c r="AO40" s="217">
        <f t="shared" si="55"/>
        <v>0</v>
      </c>
      <c r="AP40" s="218">
        <f t="shared" si="56"/>
        <v>0</v>
      </c>
      <c r="AQ40" s="69"/>
      <c r="AR40" s="919">
        <f t="shared" si="57"/>
        <v>0</v>
      </c>
      <c r="AS40" s="920"/>
      <c r="AT40" s="207">
        <f t="shared" si="58"/>
        <v>6</v>
      </c>
      <c r="AU40" s="69"/>
      <c r="AV40" s="69"/>
      <c r="AW40" s="930"/>
      <c r="AX40" s="931"/>
    </row>
    <row r="41" spans="1:57" s="116" customFormat="1" ht="14.1" customHeight="1">
      <c r="A41" s="212"/>
      <c r="B41" s="91" t="str">
        <f t="shared" si="39"/>
        <v>Jairo Mirabal</v>
      </c>
      <c r="C41" s="102">
        <v>7</v>
      </c>
      <c r="D41" s="102">
        <v>16</v>
      </c>
      <c r="E41" s="102">
        <v>1</v>
      </c>
      <c r="F41" s="143">
        <f t="shared" si="40"/>
        <v>8</v>
      </c>
      <c r="G41" s="144"/>
      <c r="H41" s="43"/>
      <c r="I41" s="143">
        <f t="shared" si="41"/>
        <v>0</v>
      </c>
      <c r="J41" s="102"/>
      <c r="K41" s="41">
        <f t="shared" si="42"/>
        <v>8</v>
      </c>
      <c r="L41" s="147">
        <f t="shared" si="43"/>
        <v>0</v>
      </c>
      <c r="M41" s="213">
        <v>7</v>
      </c>
      <c r="N41" s="201">
        <v>16</v>
      </c>
      <c r="O41" s="201">
        <v>1</v>
      </c>
      <c r="P41" s="202">
        <f t="shared" si="44"/>
        <v>8</v>
      </c>
      <c r="Q41" s="214"/>
      <c r="R41" s="189"/>
      <c r="S41" s="202">
        <f t="shared" si="45"/>
        <v>0</v>
      </c>
      <c r="T41" s="201"/>
      <c r="U41" s="41">
        <f t="shared" si="46"/>
        <v>8</v>
      </c>
      <c r="V41" s="209">
        <f t="shared" si="47"/>
        <v>0</v>
      </c>
      <c r="W41" s="201">
        <v>7</v>
      </c>
      <c r="X41" s="705">
        <v>16</v>
      </c>
      <c r="Y41" s="201">
        <v>1</v>
      </c>
      <c r="Z41" s="202">
        <f t="shared" si="48"/>
        <v>8</v>
      </c>
      <c r="AA41" s="201"/>
      <c r="AB41" s="219"/>
      <c r="AC41" s="202">
        <f t="shared" si="49"/>
        <v>0</v>
      </c>
      <c r="AD41" s="201"/>
      <c r="AE41" s="41">
        <f t="shared" si="50"/>
        <v>8</v>
      </c>
      <c r="AF41" s="209">
        <f t="shared" si="51"/>
        <v>0</v>
      </c>
      <c r="AG41" s="69"/>
      <c r="AH41" s="216">
        <v>0</v>
      </c>
      <c r="AI41" s="217">
        <f>+K18+(IF(ISBLANK($K$5),-8,0))</f>
        <v>0</v>
      </c>
      <c r="AJ41" s="217">
        <f>IF(ISBLANK($U$5),-8,0)+U18</f>
        <v>0</v>
      </c>
      <c r="AK41" s="217">
        <f>IF(ISBLANK($AE$5),-8,0)+AE18</f>
        <v>0</v>
      </c>
      <c r="AL41" s="217">
        <f t="shared" si="52"/>
        <v>0</v>
      </c>
      <c r="AM41" s="217">
        <f t="shared" si="53"/>
        <v>0</v>
      </c>
      <c r="AN41" s="217">
        <f t="shared" si="54"/>
        <v>0</v>
      </c>
      <c r="AO41" s="217">
        <f t="shared" si="55"/>
        <v>0</v>
      </c>
      <c r="AP41" s="218">
        <f t="shared" si="56"/>
        <v>0</v>
      </c>
      <c r="AQ41" s="69"/>
      <c r="AR41" s="928">
        <f t="shared" si="57"/>
        <v>0</v>
      </c>
      <c r="AS41" s="929"/>
      <c r="AT41" s="207">
        <f t="shared" si="58"/>
        <v>7</v>
      </c>
      <c r="AU41" s="69"/>
      <c r="AV41" s="69"/>
      <c r="AW41" s="930">
        <v>-18</v>
      </c>
      <c r="AX41" s="931"/>
    </row>
    <row r="42" spans="1:57" s="116" customFormat="1" ht="14.1" customHeight="1">
      <c r="A42" s="212"/>
      <c r="B42" s="91" t="str">
        <f t="shared" si="39"/>
        <v>Angel Colina N.</v>
      </c>
      <c r="C42" s="102">
        <v>7</v>
      </c>
      <c r="D42" s="102">
        <v>16</v>
      </c>
      <c r="E42" s="102">
        <v>1</v>
      </c>
      <c r="F42" s="143">
        <f t="shared" si="40"/>
        <v>8</v>
      </c>
      <c r="G42" s="144"/>
      <c r="H42" s="144"/>
      <c r="I42" s="143">
        <f t="shared" si="41"/>
        <v>0</v>
      </c>
      <c r="J42" s="102"/>
      <c r="K42" s="41">
        <f t="shared" si="42"/>
        <v>8</v>
      </c>
      <c r="L42" s="147">
        <f t="shared" si="43"/>
        <v>0</v>
      </c>
      <c r="M42" s="201">
        <v>7</v>
      </c>
      <c r="N42" s="201">
        <v>16</v>
      </c>
      <c r="O42" s="201">
        <v>1</v>
      </c>
      <c r="P42" s="202">
        <f t="shared" si="44"/>
        <v>8</v>
      </c>
      <c r="Q42" s="214"/>
      <c r="R42" s="189"/>
      <c r="S42" s="202">
        <f t="shared" si="45"/>
        <v>0</v>
      </c>
      <c r="T42" s="201"/>
      <c r="U42" s="41">
        <f t="shared" si="46"/>
        <v>8</v>
      </c>
      <c r="V42" s="209">
        <f t="shared" si="47"/>
        <v>0</v>
      </c>
      <c r="W42" s="201">
        <v>7</v>
      </c>
      <c r="X42" s="201">
        <v>16</v>
      </c>
      <c r="Y42" s="201">
        <v>1</v>
      </c>
      <c r="Z42" s="202">
        <f t="shared" si="48"/>
        <v>8</v>
      </c>
      <c r="AA42" s="201"/>
      <c r="AB42" s="219"/>
      <c r="AC42" s="202">
        <f>+AB42-AA42</f>
        <v>0</v>
      </c>
      <c r="AD42" s="201"/>
      <c r="AE42" s="41">
        <f t="shared" si="50"/>
        <v>8</v>
      </c>
      <c r="AF42" s="209">
        <f t="shared" si="51"/>
        <v>0</v>
      </c>
      <c r="AG42" s="69"/>
      <c r="AH42" s="216">
        <v>0</v>
      </c>
      <c r="AI42" s="217">
        <f>+K20+(IF(ISBLANK($K$5),-8,0))</f>
        <v>0</v>
      </c>
      <c r="AJ42" s="217">
        <f>IF(ISBLANK($U$5),-8,0)+U20</f>
        <v>0</v>
      </c>
      <c r="AK42" s="217">
        <f>IF(ISBLANK($AE$5),-8,0)+AE20</f>
        <v>0</v>
      </c>
      <c r="AL42" s="217">
        <f t="shared" si="52"/>
        <v>0</v>
      </c>
      <c r="AM42" s="217">
        <f t="shared" si="53"/>
        <v>0</v>
      </c>
      <c r="AN42" s="217">
        <f t="shared" si="54"/>
        <v>0</v>
      </c>
      <c r="AO42" s="217">
        <f t="shared" si="55"/>
        <v>0</v>
      </c>
      <c r="AP42" s="218">
        <f t="shared" si="56"/>
        <v>0</v>
      </c>
      <c r="AQ42" s="69"/>
      <c r="AR42" s="928">
        <f t="shared" si="57"/>
        <v>0</v>
      </c>
      <c r="AS42" s="929"/>
      <c r="AT42" s="207">
        <f t="shared" si="58"/>
        <v>6</v>
      </c>
      <c r="AU42" s="69"/>
      <c r="AV42" s="69"/>
      <c r="AW42" s="930"/>
      <c r="AX42" s="931"/>
    </row>
    <row r="43" spans="1:57" ht="14.1" customHeight="1" thickBot="1">
      <c r="B43" s="118" t="str">
        <f t="shared" si="39"/>
        <v>Pedro Hostos S.</v>
      </c>
      <c r="C43" s="119">
        <v>7</v>
      </c>
      <c r="D43" s="119">
        <v>16</v>
      </c>
      <c r="E43" s="119">
        <v>1</v>
      </c>
      <c r="F43" s="120">
        <f t="shared" si="40"/>
        <v>8</v>
      </c>
      <c r="G43" s="121"/>
      <c r="H43" s="121"/>
      <c r="I43" s="120">
        <f t="shared" si="41"/>
        <v>0</v>
      </c>
      <c r="J43" s="119"/>
      <c r="K43" s="120">
        <f t="shared" si="42"/>
        <v>8</v>
      </c>
      <c r="L43" s="122">
        <f t="shared" si="43"/>
        <v>0</v>
      </c>
      <c r="M43" s="119">
        <v>7</v>
      </c>
      <c r="N43" s="119">
        <v>16</v>
      </c>
      <c r="O43" s="119">
        <v>1</v>
      </c>
      <c r="P43" s="120">
        <f t="shared" si="44"/>
        <v>8</v>
      </c>
      <c r="Q43" s="121"/>
      <c r="R43" s="220"/>
      <c r="S43" s="120">
        <f t="shared" si="45"/>
        <v>0</v>
      </c>
      <c r="T43" s="119"/>
      <c r="U43" s="120">
        <f t="shared" si="46"/>
        <v>8</v>
      </c>
      <c r="V43" s="122">
        <f t="shared" si="47"/>
        <v>0</v>
      </c>
      <c r="W43" s="119">
        <v>7</v>
      </c>
      <c r="X43" s="119">
        <v>16</v>
      </c>
      <c r="Y43" s="119">
        <v>1</v>
      </c>
      <c r="Z43" s="120">
        <f t="shared" si="48"/>
        <v>8</v>
      </c>
      <c r="AA43" s="121"/>
      <c r="AB43" s="121"/>
      <c r="AC43" s="120">
        <f t="shared" si="49"/>
        <v>0</v>
      </c>
      <c r="AD43" s="119"/>
      <c r="AE43" s="120">
        <f t="shared" si="50"/>
        <v>8</v>
      </c>
      <c r="AF43" s="122">
        <f t="shared" si="51"/>
        <v>0</v>
      </c>
      <c r="AG43" s="221"/>
      <c r="AH43" s="222">
        <v>0</v>
      </c>
      <c r="AI43" s="223">
        <f>+K21+(IF(ISBLANK($K$5),-8,0))</f>
        <v>-8</v>
      </c>
      <c r="AJ43" s="223">
        <f>IF(ISBLANK($U$5),-8,0)+U21</f>
        <v>0</v>
      </c>
      <c r="AK43" s="223">
        <f>IF(ISBLANK($AE$5),-8,0)+AE21</f>
        <v>0</v>
      </c>
      <c r="AL43" s="223">
        <f t="shared" si="52"/>
        <v>0</v>
      </c>
      <c r="AM43" s="223">
        <f t="shared" si="53"/>
        <v>0</v>
      </c>
      <c r="AN43" s="223">
        <f t="shared" si="54"/>
        <v>0</v>
      </c>
      <c r="AO43" s="223">
        <f t="shared" si="55"/>
        <v>0</v>
      </c>
      <c r="AP43" s="224">
        <f t="shared" si="56"/>
        <v>-8</v>
      </c>
      <c r="AQ43" s="69"/>
      <c r="AR43" s="932">
        <f t="shared" si="57"/>
        <v>0</v>
      </c>
      <c r="AS43" s="933"/>
      <c r="AT43" s="225">
        <f t="shared" si="58"/>
        <v>5</v>
      </c>
      <c r="AU43" s="69"/>
      <c r="AV43" s="69"/>
      <c r="AW43" s="934"/>
      <c r="AX43" s="935"/>
    </row>
    <row r="44" spans="1:57" ht="14.1" customHeight="1" thickTop="1">
      <c r="B44" s="39" t="str">
        <f t="shared" si="39"/>
        <v>Miguel Tejada Ll.</v>
      </c>
      <c r="C44" s="56">
        <v>7</v>
      </c>
      <c r="D44" s="43">
        <v>16</v>
      </c>
      <c r="E44" s="54">
        <v>1</v>
      </c>
      <c r="F44" s="53">
        <f>+D44-C44-E44</f>
        <v>8</v>
      </c>
      <c r="G44" s="43"/>
      <c r="H44" s="22"/>
      <c r="I44" s="53">
        <f>+H44-G44</f>
        <v>0</v>
      </c>
      <c r="J44" s="54"/>
      <c r="K44" s="55">
        <f>+I44+F44-L44</f>
        <v>8</v>
      </c>
      <c r="L44" s="135">
        <f t="shared" si="43"/>
        <v>0</v>
      </c>
      <c r="M44" s="56">
        <v>7</v>
      </c>
      <c r="N44" s="43">
        <v>16</v>
      </c>
      <c r="O44" s="54">
        <v>1</v>
      </c>
      <c r="P44" s="53">
        <f>+N44-M44-O44</f>
        <v>8</v>
      </c>
      <c r="Q44" s="117"/>
      <c r="R44" s="226"/>
      <c r="S44" s="53">
        <f>+R44-Q44</f>
        <v>0</v>
      </c>
      <c r="T44" s="54"/>
      <c r="U44" s="55">
        <f>+S44+P44-V44</f>
        <v>8</v>
      </c>
      <c r="V44" s="135">
        <f t="shared" si="47"/>
        <v>0</v>
      </c>
      <c r="W44" s="56">
        <v>7</v>
      </c>
      <c r="X44" s="43">
        <v>16</v>
      </c>
      <c r="Y44" s="54">
        <v>1</v>
      </c>
      <c r="Z44" s="53">
        <f>+X44-W44-Y44</f>
        <v>8</v>
      </c>
      <c r="AA44" s="43"/>
      <c r="AB44" s="64"/>
      <c r="AC44" s="53">
        <f>+AB44-AA44</f>
        <v>0</v>
      </c>
      <c r="AD44" s="54"/>
      <c r="AE44" s="55">
        <f>+AC44+Z44-AF44</f>
        <v>8</v>
      </c>
      <c r="AF44" s="135">
        <f t="shared" si="51"/>
        <v>0</v>
      </c>
      <c r="AG44" s="69"/>
      <c r="AH44" s="178">
        <v>0</v>
      </c>
      <c r="AI44" s="179">
        <f>+K22+(IF(ISBLANK($K$5),-8,0))</f>
        <v>0</v>
      </c>
      <c r="AJ44" s="179">
        <f>IF(ISBLANK($U$5),-8,0)+U22</f>
        <v>0</v>
      </c>
      <c r="AK44" s="179">
        <f>IF(ISBLANK($AE$5),-8,0)+AE22</f>
        <v>0</v>
      </c>
      <c r="AL44" s="179">
        <f t="shared" si="52"/>
        <v>0</v>
      </c>
      <c r="AM44" s="179">
        <f t="shared" si="53"/>
        <v>0</v>
      </c>
      <c r="AN44" s="179">
        <f t="shared" si="54"/>
        <v>0</v>
      </c>
      <c r="AO44" s="179">
        <f t="shared" si="55"/>
        <v>0</v>
      </c>
      <c r="AP44" s="180">
        <f t="shared" si="56"/>
        <v>0</v>
      </c>
      <c r="AQ44" s="69"/>
      <c r="AR44" s="919">
        <f t="shared" si="57"/>
        <v>0</v>
      </c>
      <c r="AS44" s="920"/>
      <c r="AT44" s="227">
        <f t="shared" si="58"/>
        <v>6</v>
      </c>
      <c r="AU44" s="69"/>
      <c r="AV44" s="69"/>
      <c r="AW44" s="921"/>
      <c r="AX44" s="922"/>
    </row>
    <row r="45" spans="1:57" ht="14.1" customHeight="1">
      <c r="B45" s="142" t="str">
        <f t="shared" si="39"/>
        <v>Jose Lares P.</v>
      </c>
      <c r="C45" s="50">
        <v>7</v>
      </c>
      <c r="D45" s="51">
        <v>16</v>
      </c>
      <c r="E45" s="52">
        <v>1</v>
      </c>
      <c r="F45" s="185">
        <f t="shared" ref="F45:F46" si="61">+D45-C45-E45</f>
        <v>8</v>
      </c>
      <c r="G45" s="51"/>
      <c r="H45" s="51"/>
      <c r="I45" s="185">
        <f t="shared" ref="I45:I46" si="62">+H45-G45</f>
        <v>0</v>
      </c>
      <c r="J45" s="52"/>
      <c r="K45" s="106">
        <f t="shared" ref="K45:K46" si="63">+I45+F45-L45</f>
        <v>8</v>
      </c>
      <c r="L45" s="575">
        <f t="shared" si="43"/>
        <v>0</v>
      </c>
      <c r="M45" s="51">
        <v>7</v>
      </c>
      <c r="N45" s="51">
        <v>16</v>
      </c>
      <c r="O45" s="52">
        <v>1</v>
      </c>
      <c r="P45" s="185">
        <f t="shared" ref="P45:P46" si="64">+N45-M45-O45</f>
        <v>8</v>
      </c>
      <c r="Q45" s="576"/>
      <c r="R45" s="174"/>
      <c r="S45" s="185">
        <f t="shared" ref="S45:S46" si="65">+R45-Q45</f>
        <v>0</v>
      </c>
      <c r="T45" s="52"/>
      <c r="U45" s="106">
        <f t="shared" ref="U45:U46" si="66">+S45+P45-V45</f>
        <v>8</v>
      </c>
      <c r="V45" s="575">
        <f t="shared" si="47"/>
        <v>0</v>
      </c>
      <c r="W45" s="50">
        <v>7</v>
      </c>
      <c r="X45" s="51">
        <v>16</v>
      </c>
      <c r="Y45" s="52">
        <v>1</v>
      </c>
      <c r="Z45" s="185">
        <f t="shared" ref="Z45:Z46" si="67">+X45-W45-Y45</f>
        <v>8</v>
      </c>
      <c r="AA45" s="51"/>
      <c r="AB45" s="51"/>
      <c r="AC45" s="185">
        <f t="shared" ref="AC45:AC46" si="68">+AB45-AA45</f>
        <v>0</v>
      </c>
      <c r="AD45" s="52"/>
      <c r="AE45" s="106">
        <f t="shared" ref="AE45:AE46" si="69">+AC45+Z45-AF45</f>
        <v>8</v>
      </c>
      <c r="AF45" s="575">
        <f t="shared" si="51"/>
        <v>0</v>
      </c>
      <c r="AG45" s="69"/>
      <c r="AH45" s="178">
        <v>0</v>
      </c>
      <c r="AI45" s="179">
        <f>+K23+(IF(ISBLANK($K$5),-8,0))</f>
        <v>0</v>
      </c>
      <c r="AJ45" s="179">
        <f>IF(ISBLANK($U$5),-8,0)+U23</f>
        <v>0</v>
      </c>
      <c r="AK45" s="179">
        <f>IF(ISBLANK($AE$5),-8,0)+AE23</f>
        <v>0</v>
      </c>
      <c r="AL45" s="179">
        <f t="shared" si="52"/>
        <v>0</v>
      </c>
      <c r="AM45" s="179">
        <f t="shared" si="53"/>
        <v>0</v>
      </c>
      <c r="AN45" s="179">
        <f t="shared" si="54"/>
        <v>0</v>
      </c>
      <c r="AO45" s="179">
        <f t="shared" si="55"/>
        <v>0</v>
      </c>
      <c r="AP45" s="180">
        <f t="shared" si="56"/>
        <v>0</v>
      </c>
      <c r="AQ45" s="69"/>
      <c r="AR45" s="919">
        <f t="shared" si="57"/>
        <v>0</v>
      </c>
      <c r="AS45" s="920"/>
      <c r="AT45" s="187">
        <f t="shared" si="58"/>
        <v>6</v>
      </c>
      <c r="AU45" s="69"/>
      <c r="AV45" s="69"/>
      <c r="AW45" s="921"/>
      <c r="AX45" s="922"/>
    </row>
    <row r="46" spans="1:57" ht="14.1" customHeight="1">
      <c r="B46" s="142" t="str">
        <f t="shared" si="39"/>
        <v>Jeeimy Davila C.</v>
      </c>
      <c r="C46" s="56">
        <v>7</v>
      </c>
      <c r="D46" s="43">
        <v>16</v>
      </c>
      <c r="E46" s="54">
        <v>1</v>
      </c>
      <c r="F46" s="53">
        <f t="shared" si="61"/>
        <v>8</v>
      </c>
      <c r="G46" s="43"/>
      <c r="H46" s="43"/>
      <c r="I46" s="53">
        <f t="shared" si="62"/>
        <v>0</v>
      </c>
      <c r="J46" s="54"/>
      <c r="K46" s="55">
        <f t="shared" si="63"/>
        <v>8</v>
      </c>
      <c r="L46" s="135">
        <f t="shared" si="43"/>
        <v>0</v>
      </c>
      <c r="M46" s="51">
        <v>7</v>
      </c>
      <c r="N46" s="51">
        <v>16</v>
      </c>
      <c r="O46" s="52">
        <v>1</v>
      </c>
      <c r="P46" s="185">
        <f t="shared" si="64"/>
        <v>8</v>
      </c>
      <c r="Q46" s="576"/>
      <c r="R46" s="174"/>
      <c r="S46" s="185">
        <f t="shared" si="65"/>
        <v>0</v>
      </c>
      <c r="T46" s="52"/>
      <c r="U46" s="106">
        <f t="shared" si="66"/>
        <v>8</v>
      </c>
      <c r="V46" s="575">
        <f t="shared" si="47"/>
        <v>0</v>
      </c>
      <c r="W46" s="50">
        <v>7</v>
      </c>
      <c r="X46" s="51">
        <v>16</v>
      </c>
      <c r="Y46" s="52">
        <v>1</v>
      </c>
      <c r="Z46" s="185">
        <f t="shared" si="67"/>
        <v>8</v>
      </c>
      <c r="AA46" s="51"/>
      <c r="AB46" s="51"/>
      <c r="AC46" s="185">
        <f t="shared" si="68"/>
        <v>0</v>
      </c>
      <c r="AD46" s="52"/>
      <c r="AE46" s="106">
        <f t="shared" si="69"/>
        <v>8</v>
      </c>
      <c r="AF46" s="575">
        <f t="shared" si="51"/>
        <v>0</v>
      </c>
      <c r="AG46" s="69"/>
      <c r="AH46" s="178">
        <v>0</v>
      </c>
      <c r="AI46" s="179">
        <f t="shared" ref="AI46:AI47" si="70">+K24+(IF(ISBLANK($K$5),-8,0))</f>
        <v>0</v>
      </c>
      <c r="AJ46" s="179">
        <f t="shared" ref="AJ46:AJ47" si="71">IF(ISBLANK($U$5),-8,0)+U24</f>
        <v>0</v>
      </c>
      <c r="AK46" s="179">
        <f t="shared" ref="AK46:AK47" si="72">IF(ISBLANK($AE$5),-8,0)+AE24</f>
        <v>0</v>
      </c>
      <c r="AL46" s="179">
        <f t="shared" si="52"/>
        <v>0</v>
      </c>
      <c r="AM46" s="179">
        <f t="shared" si="53"/>
        <v>0</v>
      </c>
      <c r="AN46" s="179">
        <f t="shared" si="54"/>
        <v>0</v>
      </c>
      <c r="AO46" s="179">
        <f t="shared" si="55"/>
        <v>0</v>
      </c>
      <c r="AP46" s="180">
        <f t="shared" si="56"/>
        <v>0</v>
      </c>
      <c r="AQ46" s="69"/>
      <c r="AR46" s="919">
        <f t="shared" ref="AR46" si="73">+X85*Q85</f>
        <v>0</v>
      </c>
      <c r="AS46" s="920"/>
      <c r="AT46" s="187">
        <f t="shared" si="58"/>
        <v>6</v>
      </c>
      <c r="AU46" s="69"/>
      <c r="AV46" s="69"/>
      <c r="AW46" s="921"/>
      <c r="AX46" s="922"/>
    </row>
    <row r="47" spans="1:57" ht="14.1" customHeight="1" thickBot="1">
      <c r="B47" s="566" t="str">
        <f t="shared" si="39"/>
        <v xml:space="preserve">   </v>
      </c>
      <c r="C47" s="610"/>
      <c r="D47" s="611"/>
      <c r="E47" s="612"/>
      <c r="F47" s="613">
        <f t="shared" si="40"/>
        <v>0</v>
      </c>
      <c r="G47" s="611"/>
      <c r="H47" s="611"/>
      <c r="I47" s="613">
        <f t="shared" si="41"/>
        <v>0</v>
      </c>
      <c r="J47" s="612"/>
      <c r="K47" s="614">
        <f t="shared" si="42"/>
        <v>0</v>
      </c>
      <c r="L47" s="615">
        <f t="shared" si="43"/>
        <v>0</v>
      </c>
      <c r="M47" s="568"/>
      <c r="N47" s="568"/>
      <c r="O47" s="569"/>
      <c r="P47" s="570">
        <f t="shared" si="44"/>
        <v>0</v>
      </c>
      <c r="Q47" s="573"/>
      <c r="R47" s="574"/>
      <c r="S47" s="570">
        <f t="shared" si="45"/>
        <v>0</v>
      </c>
      <c r="T47" s="569"/>
      <c r="U47" s="571">
        <f t="shared" si="46"/>
        <v>0</v>
      </c>
      <c r="V47" s="572">
        <f t="shared" si="47"/>
        <v>0</v>
      </c>
      <c r="W47" s="567"/>
      <c r="X47" s="568"/>
      <c r="Y47" s="569"/>
      <c r="Z47" s="570">
        <f t="shared" si="48"/>
        <v>0</v>
      </c>
      <c r="AA47" s="568"/>
      <c r="AB47" s="568"/>
      <c r="AC47" s="570">
        <f t="shared" si="49"/>
        <v>0</v>
      </c>
      <c r="AD47" s="569"/>
      <c r="AE47" s="571">
        <f t="shared" si="50"/>
        <v>0</v>
      </c>
      <c r="AF47" s="572">
        <f t="shared" si="51"/>
        <v>0</v>
      </c>
      <c r="AG47" s="69"/>
      <c r="AH47" s="178">
        <v>0</v>
      </c>
      <c r="AI47" s="179">
        <f t="shared" si="70"/>
        <v>-8</v>
      </c>
      <c r="AJ47" s="179">
        <f t="shared" si="71"/>
        <v>-8</v>
      </c>
      <c r="AK47" s="179">
        <f t="shared" si="72"/>
        <v>-8</v>
      </c>
      <c r="AL47" s="179">
        <f t="shared" si="52"/>
        <v>0</v>
      </c>
      <c r="AM47" s="179">
        <f t="shared" si="53"/>
        <v>-8</v>
      </c>
      <c r="AN47" s="179">
        <f t="shared" si="54"/>
        <v>-8</v>
      </c>
      <c r="AO47" s="179">
        <f t="shared" si="55"/>
        <v>-8</v>
      </c>
      <c r="AP47" s="180">
        <f t="shared" si="56"/>
        <v>-48</v>
      </c>
      <c r="AQ47" s="69"/>
      <c r="AR47" s="919">
        <f>+X86*Q86</f>
        <v>0</v>
      </c>
      <c r="AS47" s="920"/>
      <c r="AT47" s="187">
        <f t="shared" si="58"/>
        <v>0</v>
      </c>
      <c r="AU47" s="69"/>
      <c r="AV47" s="69"/>
      <c r="AW47" s="921"/>
      <c r="AX47" s="922"/>
    </row>
    <row r="48" spans="1:57" ht="14.1" customHeight="1">
      <c r="B48" s="239"/>
      <c r="C48" s="240"/>
      <c r="O48" s="241"/>
      <c r="P48" s="242"/>
      <c r="Q48" s="243"/>
      <c r="R48" s="243"/>
      <c r="S48" s="242"/>
      <c r="T48" s="241"/>
      <c r="U48" s="244"/>
      <c r="V48" s="245"/>
      <c r="W48" s="69"/>
      <c r="X48" s="246"/>
      <c r="Y48" s="247"/>
      <c r="Z48" s="248"/>
      <c r="AA48" s="249"/>
      <c r="AH48" s="250"/>
      <c r="AP48" s="250"/>
      <c r="AR48" s="936">
        <f>SUM(AP11:AQ25)</f>
        <v>100</v>
      </c>
      <c r="AS48" s="937"/>
      <c r="AT48" s="251">
        <f>SUM(AT33:AT47)</f>
        <v>81</v>
      </c>
    </row>
    <row r="49" spans="1:58" ht="10.15" customHeight="1">
      <c r="B49" s="239"/>
      <c r="O49" s="241"/>
      <c r="P49" s="242"/>
      <c r="Q49" s="243"/>
      <c r="R49" s="243"/>
      <c r="S49" s="242"/>
      <c r="T49" s="241"/>
      <c r="U49" s="244"/>
      <c r="V49" s="244"/>
      <c r="W49" s="69"/>
      <c r="X49" s="246"/>
      <c r="Y49" s="247"/>
      <c r="Z49" s="248"/>
      <c r="AA49" s="249"/>
      <c r="AW49" s="938">
        <f>SUM(AW33:AX47)*-1</f>
        <v>66</v>
      </c>
      <c r="AX49" s="939"/>
    </row>
    <row r="50" spans="1:58" ht="14.1" customHeight="1">
      <c r="C50" s="240" t="s">
        <v>25</v>
      </c>
      <c r="E50" s="252"/>
      <c r="O50" s="241"/>
      <c r="P50" s="242"/>
      <c r="Q50" s="243"/>
      <c r="R50" s="243"/>
      <c r="S50" s="242"/>
      <c r="T50" s="241"/>
      <c r="U50" s="244"/>
      <c r="V50" s="244"/>
      <c r="W50" s="69"/>
      <c r="X50" s="246"/>
      <c r="Y50" s="247"/>
      <c r="Z50" s="248"/>
      <c r="AA50" s="249"/>
      <c r="AC50" s="253" t="s">
        <v>26</v>
      </c>
      <c r="AD50" s="254"/>
      <c r="AE50" s="254"/>
      <c r="AF50" s="254"/>
      <c r="AG50" s="254"/>
      <c r="AH50" s="254"/>
      <c r="AI50" s="254"/>
      <c r="AJ50" s="254"/>
      <c r="AK50" s="254"/>
      <c r="AL50" s="254"/>
      <c r="AM50" s="253" t="s">
        <v>27</v>
      </c>
      <c r="AO50" s="255"/>
      <c r="AW50" s="940"/>
      <c r="AX50" s="941"/>
    </row>
    <row r="51" spans="1:58" ht="14.1" customHeight="1">
      <c r="C51" s="240"/>
      <c r="D51" s="256"/>
      <c r="E51" s="252"/>
      <c r="O51" s="241"/>
      <c r="P51" s="242"/>
      <c r="Q51" s="243"/>
      <c r="R51" s="243"/>
      <c r="S51" s="242"/>
      <c r="T51" s="241"/>
      <c r="U51" s="244"/>
      <c r="V51" s="244"/>
      <c r="W51" s="69"/>
      <c r="X51" s="246"/>
      <c r="Y51" s="247"/>
      <c r="Z51" s="248"/>
      <c r="AA51" s="249"/>
      <c r="AC51" s="253"/>
      <c r="AD51" s="254"/>
      <c r="AE51" s="254"/>
      <c r="AF51" s="254"/>
      <c r="AG51" s="254"/>
      <c r="AH51" s="254"/>
      <c r="AI51" s="254"/>
      <c r="AJ51" s="254"/>
      <c r="AK51" s="254"/>
      <c r="AL51" s="254"/>
      <c r="AM51" s="253"/>
      <c r="AO51" s="255"/>
      <c r="AW51" s="257"/>
      <c r="AX51" s="257"/>
    </row>
    <row r="52" spans="1:58" ht="14.1" customHeight="1">
      <c r="D52" s="258">
        <v>915</v>
      </c>
      <c r="E52" s="259">
        <v>1545</v>
      </c>
      <c r="F52" s="260"/>
      <c r="G52" s="258"/>
      <c r="H52" s="258"/>
      <c r="I52" s="260"/>
      <c r="J52" s="258"/>
      <c r="K52" s="261"/>
      <c r="L52" s="261"/>
      <c r="M52" s="258">
        <v>847</v>
      </c>
      <c r="N52" s="258">
        <v>1520</v>
      </c>
      <c r="O52" s="262"/>
      <c r="P52" s="263"/>
      <c r="Q52" s="264"/>
      <c r="R52" s="264"/>
      <c r="S52" s="263"/>
      <c r="T52" s="262"/>
      <c r="U52" s="265"/>
      <c r="V52" s="265"/>
      <c r="W52" s="266">
        <v>720</v>
      </c>
      <c r="X52" s="266">
        <v>1615</v>
      </c>
      <c r="Y52" s="247"/>
      <c r="Z52" s="248"/>
      <c r="AA52" s="249"/>
      <c r="AC52" s="253"/>
      <c r="AD52" s="254"/>
      <c r="AE52" s="254"/>
      <c r="AF52" s="254"/>
      <c r="AG52" s="254"/>
      <c r="AH52" s="254"/>
      <c r="AI52" s="254"/>
      <c r="AJ52" s="254"/>
      <c r="AK52" s="254"/>
      <c r="AL52" s="254"/>
      <c r="AM52" s="253"/>
      <c r="AO52" s="255"/>
      <c r="AW52" s="257"/>
      <c r="AX52" s="257"/>
    </row>
    <row r="53" spans="1:58" ht="14.1" customHeight="1">
      <c r="O53" s="241"/>
      <c r="P53" s="242"/>
      <c r="Q53" s="243"/>
      <c r="R53" s="243"/>
      <c r="S53" s="242"/>
      <c r="T53" s="241"/>
      <c r="U53" s="244"/>
      <c r="V53" s="244"/>
      <c r="W53" s="69"/>
      <c r="X53" s="246"/>
      <c r="Y53" s="247"/>
      <c r="Z53" s="248"/>
      <c r="AA53" s="249"/>
      <c r="AC53" s="253" t="s">
        <v>119</v>
      </c>
      <c r="AD53" s="254"/>
      <c r="AE53" s="254"/>
      <c r="AF53" s="254"/>
      <c r="AG53" s="707">
        <v>8</v>
      </c>
      <c r="AH53" s="708">
        <v>17</v>
      </c>
      <c r="AI53" s="709">
        <v>1</v>
      </c>
      <c r="AJ53" s="710">
        <v>8</v>
      </c>
      <c r="AK53" s="708"/>
      <c r="AL53" s="708"/>
      <c r="AM53" s="711">
        <v>0</v>
      </c>
      <c r="AN53" s="712"/>
      <c r="AO53" s="713">
        <v>16</v>
      </c>
      <c r="AP53" s="942">
        <v>21</v>
      </c>
      <c r="AQ53" s="943"/>
      <c r="AR53" s="944">
        <v>107.8</v>
      </c>
      <c r="AS53" s="945"/>
      <c r="AT53" s="714">
        <v>28</v>
      </c>
      <c r="AW53" s="257"/>
      <c r="AX53" s="257"/>
    </row>
    <row r="54" spans="1:58" ht="14.1" customHeight="1">
      <c r="O54" s="241"/>
      <c r="P54" s="242"/>
      <c r="Q54" s="243"/>
      <c r="R54" s="243"/>
      <c r="S54" s="242"/>
      <c r="T54" s="241"/>
      <c r="U54" s="244"/>
      <c r="V54" s="244"/>
      <c r="W54" s="69"/>
      <c r="X54" s="246"/>
      <c r="Y54" s="247"/>
      <c r="Z54" s="248"/>
      <c r="AA54" s="249"/>
      <c r="AC54" s="253" t="s">
        <v>145</v>
      </c>
      <c r="AD54" s="254"/>
      <c r="AE54" s="254"/>
      <c r="AF54" s="254"/>
      <c r="AG54" s="92"/>
      <c r="AH54" s="92"/>
      <c r="AI54" s="92"/>
      <c r="AJ54" s="46">
        <v>0</v>
      </c>
      <c r="AK54" s="92"/>
      <c r="AL54" s="92"/>
      <c r="AM54" s="93">
        <v>0</v>
      </c>
      <c r="AN54" s="96"/>
      <c r="AO54" s="97">
        <v>0</v>
      </c>
      <c r="AP54" s="833">
        <v>8</v>
      </c>
      <c r="AQ54" s="834"/>
      <c r="AR54" s="946">
        <v>31</v>
      </c>
      <c r="AS54" s="947"/>
      <c r="AT54" s="99">
        <v>24</v>
      </c>
      <c r="AW54" s="257"/>
      <c r="AX54" s="257"/>
    </row>
    <row r="55" spans="1:58" ht="14.1" customHeight="1" thickBot="1">
      <c r="O55" s="241"/>
      <c r="P55" s="242"/>
      <c r="Q55" s="243"/>
      <c r="R55" s="243"/>
      <c r="S55" s="242"/>
      <c r="T55" s="241"/>
      <c r="U55" s="244"/>
      <c r="V55" s="244"/>
      <c r="W55" s="69"/>
      <c r="X55" s="246"/>
      <c r="Y55" s="247"/>
      <c r="Z55" s="248"/>
      <c r="AA55" s="249"/>
      <c r="AC55" s="253"/>
      <c r="AD55" s="254"/>
      <c r="AE55" s="254"/>
      <c r="AF55" s="254"/>
      <c r="AG55" s="254"/>
      <c r="AH55" s="254"/>
      <c r="AI55" s="254"/>
      <c r="AJ55" s="254"/>
      <c r="AK55" s="254"/>
      <c r="AL55" s="254"/>
      <c r="AM55" s="253"/>
      <c r="AO55" s="255"/>
      <c r="AW55" s="257"/>
      <c r="AX55" s="257"/>
    </row>
    <row r="56" spans="1:58" ht="6.95" customHeight="1">
      <c r="C56" s="955">
        <f>+C5</f>
        <v>43881</v>
      </c>
      <c r="D56" s="744"/>
      <c r="E56" s="744"/>
      <c r="F56" s="744"/>
      <c r="G56" s="744"/>
      <c r="H56" s="744"/>
      <c r="I56" s="744"/>
      <c r="J56" s="744"/>
      <c r="K56" s="971"/>
      <c r="L56" s="972"/>
      <c r="M56" s="744">
        <f>1+C56</f>
        <v>43882</v>
      </c>
      <c r="N56" s="744"/>
      <c r="O56" s="744"/>
      <c r="P56" s="744"/>
      <c r="Q56" s="744"/>
      <c r="R56" s="744"/>
      <c r="S56" s="744"/>
      <c r="T56" s="744"/>
      <c r="U56" s="967"/>
      <c r="V56" s="968"/>
      <c r="W56" s="975">
        <f>1+M56</f>
        <v>43883</v>
      </c>
      <c r="X56" s="976"/>
      <c r="Y56" s="976"/>
      <c r="Z56" s="976"/>
      <c r="AA56" s="976"/>
      <c r="AB56" s="976"/>
      <c r="AC56" s="976"/>
      <c r="AD56" s="976"/>
      <c r="AE56" s="979"/>
      <c r="AF56" s="980"/>
      <c r="AG56" s="948">
        <f>1+W56</f>
        <v>43884</v>
      </c>
      <c r="AH56" s="949"/>
      <c r="AI56" s="949"/>
      <c r="AJ56" s="949"/>
      <c r="AK56" s="949"/>
      <c r="AL56" s="949"/>
      <c r="AM56" s="949"/>
      <c r="AN56" s="949"/>
      <c r="AO56" s="791" t="s">
        <v>2</v>
      </c>
      <c r="AW56" s="257"/>
      <c r="AX56" s="257"/>
    </row>
    <row r="57" spans="1:58" s="267" customFormat="1" ht="6.95" customHeight="1" thickBot="1">
      <c r="A57" s="1"/>
      <c r="C57" s="956"/>
      <c r="D57" s="745"/>
      <c r="E57" s="745"/>
      <c r="F57" s="745"/>
      <c r="G57" s="745"/>
      <c r="H57" s="745"/>
      <c r="I57" s="745"/>
      <c r="J57" s="745"/>
      <c r="K57" s="973"/>
      <c r="L57" s="974"/>
      <c r="M57" s="745"/>
      <c r="N57" s="745"/>
      <c r="O57" s="745"/>
      <c r="P57" s="745"/>
      <c r="Q57" s="745"/>
      <c r="R57" s="745"/>
      <c r="S57" s="745"/>
      <c r="T57" s="745"/>
      <c r="U57" s="969"/>
      <c r="V57" s="970"/>
      <c r="W57" s="977"/>
      <c r="X57" s="978"/>
      <c r="Y57" s="978"/>
      <c r="Z57" s="978"/>
      <c r="AA57" s="978"/>
      <c r="AB57" s="978"/>
      <c r="AC57" s="978"/>
      <c r="AD57" s="978"/>
      <c r="AE57" s="981"/>
      <c r="AF57" s="982"/>
      <c r="AG57" s="950"/>
      <c r="AH57" s="951"/>
      <c r="AI57" s="951"/>
      <c r="AJ57" s="951"/>
      <c r="AK57" s="951"/>
      <c r="AL57" s="951"/>
      <c r="AM57" s="951"/>
      <c r="AN57" s="951"/>
      <c r="AO57" s="792"/>
      <c r="AW57" s="257"/>
      <c r="AX57" s="257"/>
    </row>
    <row r="58" spans="1:58" ht="14.1" customHeight="1" thickBot="1">
      <c r="B58" s="268" t="str">
        <f>+B89</f>
        <v>CEQR</v>
      </c>
      <c r="C58" s="231"/>
      <c r="D58" s="232"/>
      <c r="E58" s="233"/>
      <c r="F58" s="234">
        <f>+D58-C58-E58</f>
        <v>0</v>
      </c>
      <c r="G58" s="232"/>
      <c r="H58" s="232"/>
      <c r="I58" s="234">
        <f>+H58-G58</f>
        <v>0</v>
      </c>
      <c r="J58" s="233"/>
      <c r="K58" s="235">
        <f>+I58+F58-L58</f>
        <v>0</v>
      </c>
      <c r="L58" s="269">
        <f>IF(C58&gt;0,(F58+I58)+IF(K$5&gt;0,0+F58,-8),0)</f>
        <v>0</v>
      </c>
      <c r="M58" s="270"/>
      <c r="N58" s="232"/>
      <c r="O58" s="233"/>
      <c r="P58" s="234">
        <f>+N58-M58-O58</f>
        <v>0</v>
      </c>
      <c r="Q58" s="271"/>
      <c r="R58" s="160"/>
      <c r="S58" s="234">
        <f>+R58-Q58</f>
        <v>0</v>
      </c>
      <c r="T58" s="233"/>
      <c r="U58" s="235">
        <f>+S58+P58-V58</f>
        <v>0</v>
      </c>
      <c r="V58" s="269">
        <f>IF(M58&gt;0,(P58+S58)+IF(U$5&gt;0,0+P58,-8),0)</f>
        <v>0</v>
      </c>
      <c r="W58" s="232"/>
      <c r="X58" s="232"/>
      <c r="Y58" s="233"/>
      <c r="Z58" s="234">
        <f>+X58-W58-Y58</f>
        <v>0</v>
      </c>
      <c r="AA58" s="232"/>
      <c r="AB58" s="272"/>
      <c r="AC58" s="234">
        <f>+AB58-AA58</f>
        <v>0</v>
      </c>
      <c r="AD58" s="233"/>
      <c r="AE58" s="235">
        <f>+AC58+Z58-IF(AE$5&gt;0,AF58/2,AF58)</f>
        <v>0</v>
      </c>
      <c r="AF58" s="269">
        <f>IF(W58&gt;0,IF(AE$5&gt;0,(Z58+AC58)*2,(Z58+AC58-8)),0)*IF(Z58&lt;9,IF(AE$5&gt;0,1,2),1)+IF(Z58&gt;8,AC58,0)</f>
        <v>0</v>
      </c>
      <c r="AG58" s="273"/>
      <c r="AH58" s="273"/>
      <c r="AI58" s="274"/>
      <c r="AJ58" s="275">
        <f>+AH58-AG58-AI58</f>
        <v>0</v>
      </c>
      <c r="AK58" s="276"/>
      <c r="AL58" s="276"/>
      <c r="AM58" s="277">
        <f>+AL58-AK58</f>
        <v>0</v>
      </c>
      <c r="AN58" s="274">
        <v>-3</v>
      </c>
      <c r="AO58" s="278">
        <f>(AJ58*2+AM58)</f>
        <v>0</v>
      </c>
      <c r="AP58" s="952">
        <f>+L58+V58+AF58+AO58+L62+V62+AF62-AN58</f>
        <v>3</v>
      </c>
      <c r="AQ58" s="953"/>
      <c r="AR58" s="954">
        <f>ROUND(BD58*AP58,1)</f>
        <v>29.4</v>
      </c>
      <c r="AS58" s="954"/>
      <c r="AT58" s="279" t="e">
        <f>IF(AT62&gt;0,AT62*$AT$10,0)</f>
        <v>#REF!</v>
      </c>
      <c r="AU58" s="69"/>
      <c r="AV58" s="100">
        <f>+L58</f>
        <v>0</v>
      </c>
      <c r="AW58" s="100">
        <f>+V58</f>
        <v>0</v>
      </c>
      <c r="AX58" s="100">
        <f>+AF58</f>
        <v>0</v>
      </c>
      <c r="AY58" s="101">
        <f>+AO58</f>
        <v>0</v>
      </c>
      <c r="AZ58" s="100">
        <f>+L62</f>
        <v>0</v>
      </c>
      <c r="BA58" s="100">
        <f>+V62</f>
        <v>0</v>
      </c>
      <c r="BB58" s="100">
        <f>+AF62</f>
        <v>0</v>
      </c>
      <c r="BC58" s="66"/>
      <c r="BD58" s="36">
        <f>+I89</f>
        <v>9.7916660714285708</v>
      </c>
      <c r="BE58" s="67">
        <f>+BD58*AP58</f>
        <v>29.374998214285711</v>
      </c>
      <c r="BF58" s="68">
        <f>+BD58*AY58</f>
        <v>0</v>
      </c>
    </row>
    <row r="59" spans="1:58" ht="14.1" customHeight="1" thickBot="1">
      <c r="C59" s="280"/>
      <c r="D59" s="280"/>
      <c r="E59" s="281"/>
      <c r="F59" s="282"/>
      <c r="G59" s="280"/>
      <c r="H59" s="280"/>
      <c r="I59" s="282"/>
      <c r="J59" s="281"/>
      <c r="K59" s="283"/>
      <c r="L59" s="284"/>
      <c r="M59" s="280"/>
      <c r="N59" s="280"/>
      <c r="O59" s="281"/>
      <c r="P59" s="282"/>
      <c r="Q59" s="285"/>
      <c r="R59" s="286"/>
      <c r="S59" s="282"/>
      <c r="T59" s="281"/>
      <c r="U59" s="283"/>
      <c r="V59" s="284"/>
      <c r="W59" s="280"/>
      <c r="X59" s="280"/>
      <c r="Y59" s="281"/>
      <c r="Z59" s="282"/>
      <c r="AA59" s="280"/>
      <c r="AB59" s="287"/>
      <c r="AC59" s="282"/>
      <c r="AD59" s="281"/>
      <c r="AE59" s="283"/>
      <c r="AF59" s="284"/>
      <c r="AG59" s="243"/>
      <c r="AH59" s="243"/>
      <c r="AI59" s="241"/>
      <c r="AJ59" s="288"/>
      <c r="AK59" s="289"/>
      <c r="AL59" s="289"/>
      <c r="AM59" s="242"/>
      <c r="AN59" s="241"/>
      <c r="AO59" s="244"/>
      <c r="AP59" s="243"/>
      <c r="AQ59" s="243"/>
      <c r="AR59" s="290"/>
      <c r="AS59" s="290"/>
      <c r="AT59" s="291"/>
      <c r="AU59" s="69"/>
      <c r="AV59" s="66"/>
      <c r="AW59" s="66"/>
      <c r="AX59" s="66"/>
      <c r="AY59" s="292"/>
      <c r="AZ59" s="66"/>
      <c r="BA59" s="66"/>
      <c r="BB59" s="66"/>
      <c r="BC59" s="66"/>
      <c r="BD59" s="293"/>
      <c r="BE59" s="294"/>
      <c r="BF59" s="295"/>
    </row>
    <row r="60" spans="1:58" ht="6.95" customHeight="1">
      <c r="C60" s="955">
        <f>+C27</f>
        <v>43885</v>
      </c>
      <c r="D60" s="744"/>
      <c r="E60" s="744"/>
      <c r="F60" s="744"/>
      <c r="G60" s="744"/>
      <c r="H60" s="744"/>
      <c r="I60" s="744"/>
      <c r="J60" s="744"/>
      <c r="K60" s="957"/>
      <c r="L60" s="958"/>
      <c r="M60" s="961">
        <f>1+C60</f>
        <v>43886</v>
      </c>
      <c r="N60" s="962"/>
      <c r="O60" s="962"/>
      <c r="P60" s="962"/>
      <c r="Q60" s="962"/>
      <c r="R60" s="962"/>
      <c r="S60" s="962"/>
      <c r="T60" s="963"/>
      <c r="U60" s="967"/>
      <c r="V60" s="968"/>
      <c r="W60" s="744">
        <f>1+M60</f>
        <v>43887</v>
      </c>
      <c r="X60" s="744"/>
      <c r="Y60" s="744"/>
      <c r="Z60" s="744"/>
      <c r="AA60" s="744"/>
      <c r="AB60" s="744"/>
      <c r="AC60" s="744"/>
      <c r="AD60" s="744"/>
      <c r="AE60" s="967"/>
      <c r="AF60" s="968"/>
      <c r="AG60" s="254"/>
      <c r="AH60" s="254"/>
      <c r="AI60" s="254"/>
      <c r="AJ60" s="254"/>
      <c r="AK60" s="254"/>
      <c r="AL60" s="254"/>
      <c r="AM60" s="253"/>
      <c r="AO60" s="255"/>
      <c r="AW60" s="257"/>
      <c r="AX60" s="257"/>
    </row>
    <row r="61" spans="1:58" s="267" customFormat="1" ht="6.95" customHeight="1" thickBot="1">
      <c r="A61" s="1"/>
      <c r="C61" s="956"/>
      <c r="D61" s="745"/>
      <c r="E61" s="745"/>
      <c r="F61" s="745"/>
      <c r="G61" s="745"/>
      <c r="H61" s="745"/>
      <c r="I61" s="745"/>
      <c r="J61" s="745"/>
      <c r="K61" s="959"/>
      <c r="L61" s="960"/>
      <c r="M61" s="964"/>
      <c r="N61" s="965"/>
      <c r="O61" s="965"/>
      <c r="P61" s="965"/>
      <c r="Q61" s="965"/>
      <c r="R61" s="965"/>
      <c r="S61" s="965"/>
      <c r="T61" s="966"/>
      <c r="U61" s="969"/>
      <c r="V61" s="970"/>
      <c r="W61" s="745"/>
      <c r="X61" s="745"/>
      <c r="Y61" s="745"/>
      <c r="Z61" s="745"/>
      <c r="AA61" s="745"/>
      <c r="AB61" s="745"/>
      <c r="AC61" s="745"/>
      <c r="AD61" s="745"/>
      <c r="AE61" s="969"/>
      <c r="AF61" s="970"/>
      <c r="AG61" s="296"/>
      <c r="AH61" s="296"/>
      <c r="AI61" s="296"/>
      <c r="AJ61" s="296"/>
      <c r="AK61" s="296"/>
      <c r="AL61" s="296"/>
      <c r="AM61" s="297"/>
      <c r="AO61" s="298"/>
      <c r="AW61" s="257"/>
      <c r="AX61" s="257"/>
    </row>
    <row r="62" spans="1:58" ht="14.1" customHeight="1" thickBot="1">
      <c r="B62" s="268" t="str">
        <f>+B58</f>
        <v>CEQR</v>
      </c>
      <c r="C62" s="231"/>
      <c r="D62" s="232"/>
      <c r="E62" s="233"/>
      <c r="F62" s="234">
        <f>+D62-C62-E62</f>
        <v>0</v>
      </c>
      <c r="G62" s="271"/>
      <c r="H62" s="160"/>
      <c r="I62" s="234">
        <f>+H62-G62</f>
        <v>0</v>
      </c>
      <c r="J62" s="233"/>
      <c r="K62" s="235">
        <f>+I62+F62-L62</f>
        <v>0</v>
      </c>
      <c r="L62" s="269">
        <f>IF(C62&gt;0,(F62+I62)+IF(K$27&gt;0,0+F62,-8),0)</f>
        <v>0</v>
      </c>
      <c r="M62" s="276"/>
      <c r="N62" s="276"/>
      <c r="O62" s="274"/>
      <c r="P62" s="277">
        <f>+N62-M62-O62</f>
        <v>0</v>
      </c>
      <c r="Q62" s="273"/>
      <c r="R62" s="276"/>
      <c r="S62" s="234">
        <f>+R62-Q62</f>
        <v>0</v>
      </c>
      <c r="T62" s="274"/>
      <c r="U62" s="299">
        <f>+S62+P62-V62</f>
        <v>0</v>
      </c>
      <c r="V62" s="300">
        <f>IF(M62&gt;0,(P62+S62)+IF(U$27&gt;0,0+P62,-8),0)</f>
        <v>0</v>
      </c>
      <c r="W62" s="301"/>
      <c r="X62" s="276"/>
      <c r="Y62" s="274"/>
      <c r="Z62" s="277">
        <f>+X62-W62-Y62</f>
        <v>0</v>
      </c>
      <c r="AA62" s="276"/>
      <c r="AB62" s="276"/>
      <c r="AC62" s="234">
        <f>+AB62-AA62</f>
        <v>0</v>
      </c>
      <c r="AD62" s="274"/>
      <c r="AE62" s="299">
        <f>+AC62+Z62-AF62</f>
        <v>0</v>
      </c>
      <c r="AF62" s="236">
        <f>IF(W62&gt;0,(Z62+AC62)+IF(AE$27&gt;0,0+Z62,-8),0)</f>
        <v>0</v>
      </c>
      <c r="AG62" s="69"/>
      <c r="AH62" s="302">
        <v>0</v>
      </c>
      <c r="AI62" s="303">
        <f>+K58+(IF(ISBLANK($K$56),-8,0))</f>
        <v>-8</v>
      </c>
      <c r="AJ62" s="303">
        <f>IF(ISBLANK($U$56),-8,0)+U58</f>
        <v>-8</v>
      </c>
      <c r="AK62" s="304">
        <f>IF(ISBLANK($AE$56),-8,0)+AE58</f>
        <v>-8</v>
      </c>
      <c r="AL62" s="303">
        <f>IF(ISBLANK($AO$56),-8,0)+AM58+AW62</f>
        <v>0</v>
      </c>
      <c r="AM62" s="303">
        <f>IF(ISBLANK($K$60),-8,0)+K62</f>
        <v>-8</v>
      </c>
      <c r="AN62" s="303">
        <f>IF(ISBLANK($U$60),-8,0)+U62</f>
        <v>-8</v>
      </c>
      <c r="AO62" s="303">
        <f>IF(ISBLANK($AE$60),-8,0)+AE62</f>
        <v>-8</v>
      </c>
      <c r="AP62" s="305">
        <f>SUM(AH62:AO62)</f>
        <v>-48</v>
      </c>
      <c r="AQ62" s="306"/>
      <c r="AR62" s="994">
        <f>+X89*Q89</f>
        <v>0</v>
      </c>
      <c r="AS62" s="995"/>
      <c r="AT62" s="307" t="e">
        <f>IF(#REF!+#REF!&gt;0,1,0)+IF(#REF!+#REF!&gt;0,1,0)+IF(#REF!+#REF!&gt;0,1,0)+IF(#REF!&gt;3,1,0)+IF(K62+L62&gt;0,1,0)+IF(U62+V62&gt;0,1,0)+IF(AE62+AF62&gt;0,1,0)</f>
        <v>#REF!</v>
      </c>
      <c r="AU62" s="69"/>
      <c r="AV62" s="69"/>
      <c r="AW62" s="921"/>
      <c r="AX62" s="922"/>
    </row>
    <row r="63" spans="1:58" ht="14.1" customHeight="1">
      <c r="O63" s="241"/>
      <c r="P63" s="242"/>
      <c r="Q63" s="243"/>
      <c r="R63" s="243"/>
      <c r="S63" s="242"/>
      <c r="T63" s="241"/>
      <c r="U63" s="244"/>
      <c r="V63" s="244"/>
      <c r="W63" s="69"/>
      <c r="X63" s="246"/>
      <c r="Y63" s="247"/>
      <c r="Z63" s="248"/>
      <c r="AA63" s="249"/>
      <c r="AC63" s="253"/>
      <c r="AD63" s="254"/>
      <c r="AE63" s="254"/>
      <c r="AF63" s="254"/>
      <c r="AG63" s="254"/>
      <c r="AH63" s="254"/>
      <c r="AI63" s="254"/>
      <c r="AJ63" s="254"/>
      <c r="AK63" s="996"/>
      <c r="AL63" s="996"/>
      <c r="AM63" s="253"/>
      <c r="AO63" s="255"/>
      <c r="AW63" s="257"/>
      <c r="AX63" s="257"/>
    </row>
    <row r="64" spans="1:58" ht="14.1" customHeight="1">
      <c r="O64" s="241"/>
      <c r="P64" s="242"/>
      <c r="Q64" s="243"/>
      <c r="R64" s="243"/>
      <c r="S64" s="242"/>
      <c r="T64" s="241"/>
      <c r="U64" s="244"/>
      <c r="V64" s="244"/>
      <c r="W64" s="69"/>
      <c r="X64" s="246"/>
      <c r="Y64" s="247"/>
      <c r="AW64" s="257"/>
      <c r="AX64" s="257"/>
    </row>
    <row r="65" spans="1:50" ht="18" customHeight="1">
      <c r="C65" s="240" t="s">
        <v>28</v>
      </c>
      <c r="O65" s="241"/>
      <c r="P65" s="242"/>
      <c r="Q65" s="243"/>
      <c r="R65" s="243"/>
      <c r="S65" s="242"/>
      <c r="T65" s="241"/>
      <c r="U65" s="244"/>
      <c r="V65" s="244"/>
      <c r="W65" s="69"/>
      <c r="X65" s="246"/>
      <c r="Y65" s="247"/>
      <c r="AW65" s="257"/>
      <c r="AX65" s="257"/>
    </row>
    <row r="66" spans="1:50" ht="3" customHeight="1">
      <c r="Q66" s="308"/>
      <c r="R66" s="309"/>
      <c r="S66" s="310"/>
      <c r="T66" s="311"/>
      <c r="AX66" s="257"/>
    </row>
    <row r="67" spans="1:50" ht="14.1" customHeight="1" thickBot="1">
      <c r="B67" s="7" t="s">
        <v>29</v>
      </c>
      <c r="C67" s="997" t="s">
        <v>30</v>
      </c>
      <c r="D67" s="997"/>
      <c r="E67" s="997" t="s">
        <v>31</v>
      </c>
      <c r="F67" s="997"/>
      <c r="G67" s="998" t="s">
        <v>32</v>
      </c>
      <c r="H67" s="999"/>
      <c r="I67" s="1004" t="s">
        <v>33</v>
      </c>
      <c r="J67" s="1005"/>
      <c r="K67" s="1006" t="s">
        <v>34</v>
      </c>
      <c r="L67" s="1006"/>
      <c r="M67" s="6"/>
      <c r="N67" s="1007" t="s">
        <v>35</v>
      </c>
      <c r="O67" s="1007"/>
      <c r="P67" s="6"/>
      <c r="Q67" s="1008" t="s">
        <v>36</v>
      </c>
      <c r="R67" s="1009"/>
      <c r="U67" s="1019" t="s">
        <v>37</v>
      </c>
      <c r="V67" s="1022" t="s">
        <v>38</v>
      </c>
      <c r="W67" s="1025" t="s">
        <v>39</v>
      </c>
      <c r="X67" s="983" t="s">
        <v>40</v>
      </c>
      <c r="AX67" s="257"/>
    </row>
    <row r="68" spans="1:50" ht="14.1" customHeight="1">
      <c r="B68" s="7" t="s">
        <v>41</v>
      </c>
      <c r="C68" s="997"/>
      <c r="D68" s="997"/>
      <c r="E68" s="997"/>
      <c r="F68" s="997"/>
      <c r="G68" s="1000"/>
      <c r="H68" s="1001"/>
      <c r="I68" s="1004"/>
      <c r="J68" s="1005"/>
      <c r="K68" s="1006"/>
      <c r="L68" s="1006"/>
      <c r="M68" s="6"/>
      <c r="N68" s="1007"/>
      <c r="O68" s="1007"/>
      <c r="P68" s="6"/>
      <c r="Q68" s="1010"/>
      <c r="R68" s="1011"/>
      <c r="U68" s="1020"/>
      <c r="V68" s="1023"/>
      <c r="W68" s="1026"/>
      <c r="X68" s="984"/>
      <c r="AA68" s="312"/>
      <c r="AB68" s="313"/>
      <c r="AC68" s="314"/>
      <c r="AD68" s="315"/>
      <c r="AE68" s="316"/>
      <c r="AF68" s="316"/>
      <c r="AG68" s="316"/>
      <c r="AH68" s="316"/>
      <c r="AI68" s="316"/>
      <c r="AJ68" s="316"/>
      <c r="AK68" s="316"/>
      <c r="AL68" s="316"/>
      <c r="AM68" s="316"/>
      <c r="AN68" s="314"/>
      <c r="AO68" s="314"/>
      <c r="AP68" s="314"/>
      <c r="AQ68" s="314"/>
      <c r="AR68" s="317"/>
      <c r="AX68" s="257"/>
    </row>
    <row r="69" spans="1:50" ht="14.1" customHeight="1">
      <c r="B69" s="7" t="s">
        <v>42</v>
      </c>
      <c r="C69" s="997"/>
      <c r="D69" s="997"/>
      <c r="E69" s="997"/>
      <c r="F69" s="997"/>
      <c r="G69" s="1000"/>
      <c r="H69" s="1001"/>
      <c r="I69" s="1004"/>
      <c r="J69" s="1005"/>
      <c r="K69" s="1006"/>
      <c r="L69" s="1006"/>
      <c r="M69" s="6"/>
      <c r="N69" s="1007"/>
      <c r="O69" s="1007"/>
      <c r="P69" s="6"/>
      <c r="Q69" s="1012"/>
      <c r="R69" s="1013"/>
      <c r="U69" s="1020"/>
      <c r="V69" s="1023"/>
      <c r="W69" s="1026"/>
      <c r="X69" s="984"/>
      <c r="AA69" s="318"/>
      <c r="AB69" s="319" t="s">
        <v>43</v>
      </c>
      <c r="AC69" s="320"/>
      <c r="AD69" s="320"/>
      <c r="AE69" s="320"/>
      <c r="AF69" s="321"/>
      <c r="AG69" s="321"/>
      <c r="AH69" s="320"/>
      <c r="AI69" s="320"/>
      <c r="AJ69" s="320"/>
      <c r="AK69" s="320"/>
      <c r="AL69" s="320"/>
      <c r="AM69" s="320"/>
      <c r="AN69" s="320"/>
      <c r="AO69" s="322"/>
      <c r="AP69" s="322"/>
      <c r="AQ69" s="323"/>
      <c r="AR69" s="324"/>
      <c r="AT69" s="254"/>
      <c r="AX69" s="257"/>
    </row>
    <row r="70" spans="1:50" ht="27" thickBot="1">
      <c r="B70" s="325" t="s">
        <v>44</v>
      </c>
      <c r="C70" s="986">
        <f>+E70*7</f>
        <v>217</v>
      </c>
      <c r="D70" s="986"/>
      <c r="E70" s="987">
        <f>+K70/30</f>
        <v>31</v>
      </c>
      <c r="F70" s="987"/>
      <c r="G70" s="1000"/>
      <c r="H70" s="1001"/>
      <c r="I70" s="988">
        <f>+E70/8</f>
        <v>3.875</v>
      </c>
      <c r="J70" s="989"/>
      <c r="K70" s="990">
        <f>850+80</f>
        <v>930</v>
      </c>
      <c r="L70" s="990"/>
      <c r="M70" s="326"/>
      <c r="N70" s="991">
        <f>+I70/6*7</f>
        <v>4.5208333333333339</v>
      </c>
      <c r="O70" s="992"/>
      <c r="P70" s="326"/>
      <c r="Q70" s="993">
        <f>+$I$71-I70</f>
        <v>1.3562500000000002</v>
      </c>
      <c r="R70" s="993"/>
      <c r="U70" s="1020"/>
      <c r="V70" s="1023"/>
      <c r="W70" s="1026"/>
      <c r="X70" s="984"/>
      <c r="AA70" s="327"/>
      <c r="AB70" s="328"/>
      <c r="AC70" s="328"/>
      <c r="AD70" s="328"/>
      <c r="AE70" s="328"/>
      <c r="AF70" s="328"/>
      <c r="AG70" s="328"/>
      <c r="AH70" s="328"/>
      <c r="AI70" s="328"/>
      <c r="AJ70" s="328"/>
      <c r="AK70" s="328"/>
      <c r="AL70" s="328"/>
      <c r="AM70" s="328"/>
      <c r="AN70" s="328"/>
      <c r="AO70" s="329" t="s">
        <v>45</v>
      </c>
      <c r="AP70" s="330"/>
      <c r="AQ70" s="328"/>
      <c r="AR70" s="331"/>
    </row>
    <row r="71" spans="1:50" ht="24.75">
      <c r="B71" s="332" t="s">
        <v>46</v>
      </c>
      <c r="C71" s="1014">
        <f>+E71*7</f>
        <v>292.95</v>
      </c>
      <c r="D71" s="1014"/>
      <c r="E71" s="1015">
        <f>+K71/30</f>
        <v>41.85</v>
      </c>
      <c r="F71" s="1015"/>
      <c r="G71" s="1002"/>
      <c r="H71" s="1003"/>
      <c r="I71" s="1016">
        <f>+E71/8</f>
        <v>5.2312500000000002</v>
      </c>
      <c r="J71" s="1017"/>
      <c r="K71" s="1018">
        <f>+K70*1.35</f>
        <v>1255.5</v>
      </c>
      <c r="L71" s="1018"/>
      <c r="M71" s="326"/>
      <c r="N71" s="991">
        <f>+I71/6*7</f>
        <v>6.1031250000000004</v>
      </c>
      <c r="O71" s="992"/>
      <c r="P71" s="326"/>
      <c r="Q71" s="993">
        <f>+$I$71-I71</f>
        <v>0</v>
      </c>
      <c r="R71" s="993"/>
      <c r="U71" s="1020"/>
      <c r="V71" s="1023"/>
      <c r="W71" s="1026"/>
      <c r="X71" s="984"/>
      <c r="AA71" s="333"/>
      <c r="AB71" s="333"/>
      <c r="AC71" s="333"/>
      <c r="AD71" s="333"/>
      <c r="AE71" s="333"/>
      <c r="AF71" s="167"/>
      <c r="AG71" s="167"/>
      <c r="AH71" s="167"/>
      <c r="AJ71" s="296"/>
      <c r="AK71" s="296"/>
      <c r="AL71" s="296"/>
      <c r="AM71" s="296"/>
      <c r="AN71" s="296"/>
      <c r="AO71" s="296"/>
      <c r="AP71" s="296"/>
      <c r="AQ71" s="296"/>
      <c r="AR71" s="296"/>
    </row>
    <row r="72" spans="1:50" ht="2.1" customHeight="1" thickBot="1">
      <c r="B72" s="334"/>
      <c r="C72" s="258"/>
      <c r="D72" s="258"/>
      <c r="G72" s="335"/>
      <c r="H72" s="335"/>
      <c r="I72" s="336"/>
      <c r="J72" s="336"/>
      <c r="K72" s="337"/>
      <c r="L72" s="337"/>
      <c r="M72" s="6"/>
      <c r="N72" s="338"/>
      <c r="O72" s="338"/>
      <c r="P72" s="6"/>
      <c r="Q72" s="339"/>
      <c r="R72" s="339"/>
      <c r="U72" s="1021"/>
      <c r="V72" s="1024"/>
      <c r="W72" s="1027"/>
      <c r="X72" s="985"/>
      <c r="AA72" s="3"/>
    </row>
    <row r="73" spans="1:50" ht="16.5">
      <c r="A73" s="1">
        <v>1</v>
      </c>
      <c r="B73" s="340" t="s">
        <v>47</v>
      </c>
      <c r="C73" s="1040">
        <f>6*3+7*33.8</f>
        <v>254.59999999999997</v>
      </c>
      <c r="D73" s="1041"/>
      <c r="E73" s="1030">
        <f t="shared" ref="E73:E79" si="74">+C73/7</f>
        <v>36.371428571428567</v>
      </c>
      <c r="F73" s="1031"/>
      <c r="G73" s="341"/>
      <c r="H73" s="341"/>
      <c r="I73" s="1032">
        <f t="shared" ref="I73:I85" si="75">+E73/8</f>
        <v>4.5464285714285708</v>
      </c>
      <c r="J73" s="1033"/>
      <c r="K73" s="1034">
        <f t="shared" ref="K73:K85" si="76">+E73*30</f>
        <v>1091.1428571428569</v>
      </c>
      <c r="L73" s="1034"/>
      <c r="M73" s="6"/>
      <c r="N73" s="1035">
        <f t="shared" ref="N73:N89" si="77">+I73/6*7</f>
        <v>5.3041666666666654</v>
      </c>
      <c r="O73" s="1035"/>
      <c r="P73" s="6"/>
      <c r="Q73" s="1036">
        <f>+$I$71-I73</f>
        <v>0.68482142857142936</v>
      </c>
      <c r="R73" s="1037"/>
      <c r="U73" s="342">
        <f t="shared" ref="U73:U85" si="78">+AE33+U33+K33+AO11+AE11+U11+K11</f>
        <v>60.5</v>
      </c>
      <c r="V73" s="343">
        <v>48</v>
      </c>
      <c r="W73" s="344">
        <f t="shared" ref="W73:W89" si="79">+V73-U73</f>
        <v>-12.5</v>
      </c>
      <c r="X73" s="345">
        <f t="shared" ref="X73:X85" si="80">+J11+T11+AD11+J33+T33+AD33</f>
        <v>0</v>
      </c>
      <c r="Y73" s="1038">
        <f>+X73*Q73</f>
        <v>0</v>
      </c>
      <c r="Z73" s="1039"/>
      <c r="AA73" s="346"/>
      <c r="AB73" s="347"/>
      <c r="AC73" s="348"/>
      <c r="AD73" s="349"/>
      <c r="AE73" s="350"/>
      <c r="AF73" s="350"/>
      <c r="AG73" s="350"/>
      <c r="AH73" s="350"/>
      <c r="AI73" s="350"/>
      <c r="AJ73" s="350"/>
      <c r="AK73" s="350"/>
      <c r="AL73" s="350"/>
      <c r="AM73" s="350"/>
      <c r="AN73" s="348"/>
      <c r="AO73" s="348"/>
      <c r="AP73" s="348"/>
      <c r="AQ73" s="348"/>
      <c r="AR73" s="351"/>
    </row>
    <row r="74" spans="1:50" ht="16.5">
      <c r="A74" s="1">
        <v>2</v>
      </c>
      <c r="B74" s="340" t="s">
        <v>48</v>
      </c>
      <c r="C74" s="1040">
        <f>6*3+7*38.5</f>
        <v>287.5</v>
      </c>
      <c r="D74" s="1041"/>
      <c r="E74" s="1030">
        <f t="shared" si="74"/>
        <v>41.071428571428569</v>
      </c>
      <c r="F74" s="1031"/>
      <c r="G74" s="341"/>
      <c r="H74" s="341"/>
      <c r="I74" s="1032">
        <f t="shared" si="75"/>
        <v>5.1339285714285712</v>
      </c>
      <c r="J74" s="1033"/>
      <c r="K74" s="1034">
        <f t="shared" si="76"/>
        <v>1232.1428571428571</v>
      </c>
      <c r="L74" s="1034"/>
      <c r="M74" s="6"/>
      <c r="N74" s="1035">
        <f t="shared" si="77"/>
        <v>5.989583333333333</v>
      </c>
      <c r="O74" s="1035"/>
      <c r="P74" s="6"/>
      <c r="Q74" s="1036">
        <f>+$I$71-I74</f>
        <v>9.7321428571429003E-2</v>
      </c>
      <c r="R74" s="1037"/>
      <c r="U74" s="342">
        <f t="shared" si="78"/>
        <v>68</v>
      </c>
      <c r="V74" s="343">
        <v>48</v>
      </c>
      <c r="W74" s="344">
        <f t="shared" si="79"/>
        <v>-20</v>
      </c>
      <c r="X74" s="345">
        <f t="shared" si="80"/>
        <v>0</v>
      </c>
      <c r="Y74" s="1038">
        <f>+X74*Q74</f>
        <v>0</v>
      </c>
      <c r="Z74" s="1039"/>
      <c r="AA74" s="352"/>
      <c r="AB74" s="353" t="s">
        <v>49</v>
      </c>
      <c r="AC74" s="354"/>
      <c r="AD74" s="354"/>
      <c r="AE74" s="354"/>
      <c r="AF74" s="355"/>
      <c r="AG74" s="355"/>
      <c r="AH74" s="354"/>
      <c r="AI74" s="354"/>
      <c r="AJ74" s="354"/>
      <c r="AK74" s="354"/>
      <c r="AL74" s="354"/>
      <c r="AM74" s="354"/>
      <c r="AN74" s="354"/>
      <c r="AO74" s="356"/>
      <c r="AP74" s="356"/>
      <c r="AQ74" s="357"/>
      <c r="AR74" s="358"/>
    </row>
    <row r="75" spans="1:50" ht="16.5">
      <c r="A75" s="1">
        <v>5</v>
      </c>
      <c r="B75" s="340" t="s">
        <v>52</v>
      </c>
      <c r="C75" s="1028">
        <f>6*3+7*38.5</f>
        <v>287.5</v>
      </c>
      <c r="D75" s="1029"/>
      <c r="E75" s="1030">
        <f t="shared" si="74"/>
        <v>41.071428571428569</v>
      </c>
      <c r="F75" s="1031"/>
      <c r="G75" s="341"/>
      <c r="H75" s="341"/>
      <c r="I75" s="1032">
        <f t="shared" si="75"/>
        <v>5.1339285714285712</v>
      </c>
      <c r="J75" s="1033"/>
      <c r="K75" s="1034">
        <f t="shared" si="76"/>
        <v>1232.1428571428571</v>
      </c>
      <c r="L75" s="1034"/>
      <c r="M75" s="6"/>
      <c r="N75" s="1035">
        <f t="shared" si="77"/>
        <v>5.989583333333333</v>
      </c>
      <c r="O75" s="1035"/>
      <c r="P75" s="6"/>
      <c r="Q75" s="1036">
        <f>+$I$71-I75</f>
        <v>9.7321428571429003E-2</v>
      </c>
      <c r="R75" s="1037"/>
      <c r="U75" s="342">
        <f t="shared" si="78"/>
        <v>48</v>
      </c>
      <c r="V75" s="343">
        <v>48</v>
      </c>
      <c r="W75" s="344">
        <f t="shared" si="79"/>
        <v>0</v>
      </c>
      <c r="X75" s="345">
        <f t="shared" si="80"/>
        <v>0</v>
      </c>
    </row>
    <row r="76" spans="1:50" ht="16.5">
      <c r="A76" s="1">
        <v>7</v>
      </c>
      <c r="B76" s="365" t="s">
        <v>53</v>
      </c>
      <c r="C76" s="1042">
        <f>6*3+7*(38.5)</f>
        <v>287.5</v>
      </c>
      <c r="D76" s="1043"/>
      <c r="E76" s="1030">
        <f t="shared" si="74"/>
        <v>41.071428571428569</v>
      </c>
      <c r="F76" s="1031"/>
      <c r="G76" s="1046"/>
      <c r="H76" s="1047"/>
      <c r="I76" s="1032">
        <f t="shared" si="75"/>
        <v>5.1339285714285712</v>
      </c>
      <c r="J76" s="1033"/>
      <c r="K76" s="1034">
        <f t="shared" si="76"/>
        <v>1232.1428571428571</v>
      </c>
      <c r="L76" s="1034"/>
      <c r="M76" s="6"/>
      <c r="N76" s="1035">
        <f>+I76/6*7</f>
        <v>5.989583333333333</v>
      </c>
      <c r="O76" s="1035"/>
      <c r="P76" s="6"/>
      <c r="Q76" s="1036">
        <f>+$I$71-I76</f>
        <v>9.7321428571429003E-2</v>
      </c>
      <c r="R76" s="1037"/>
      <c r="U76" s="342">
        <f t="shared" si="78"/>
        <v>24</v>
      </c>
      <c r="V76" s="343">
        <v>48</v>
      </c>
      <c r="W76" s="344">
        <f>+V76-U76</f>
        <v>24</v>
      </c>
      <c r="X76" s="345">
        <f t="shared" si="80"/>
        <v>0</v>
      </c>
      <c r="AD76"/>
    </row>
    <row r="77" spans="1:50" ht="16.5">
      <c r="A77" s="1">
        <v>2</v>
      </c>
      <c r="B77" s="359" t="s">
        <v>62</v>
      </c>
      <c r="C77" s="1042">
        <f>6*3+7*(28.4286)</f>
        <v>217.00020000000001</v>
      </c>
      <c r="D77" s="1043"/>
      <c r="E77" s="1030">
        <f>+C77/7</f>
        <v>31.000028571428572</v>
      </c>
      <c r="F77" s="1031"/>
      <c r="G77" s="1044"/>
      <c r="H77" s="1045"/>
      <c r="I77" s="1032">
        <f>+E77/8</f>
        <v>3.8750035714285715</v>
      </c>
      <c r="J77" s="1033"/>
      <c r="K77" s="1034">
        <f>+E77*30</f>
        <v>930.00085714285717</v>
      </c>
      <c r="L77" s="1034"/>
      <c r="M77" s="6"/>
      <c r="N77" s="1035">
        <f>+I77/6*7</f>
        <v>4.5208375000000007</v>
      </c>
      <c r="O77" s="1035"/>
      <c r="P77" s="6"/>
      <c r="Q77" s="1036">
        <f>+$I$71-I77</f>
        <v>1.3562464285714286</v>
      </c>
      <c r="R77" s="1037"/>
      <c r="U77" s="342">
        <f t="shared" si="78"/>
        <v>24</v>
      </c>
      <c r="V77" s="343">
        <v>48</v>
      </c>
      <c r="W77" s="344">
        <f>+V77-U77</f>
        <v>24</v>
      </c>
      <c r="X77" s="345">
        <f t="shared" si="80"/>
        <v>0</v>
      </c>
    </row>
    <row r="78" spans="1:50" ht="16.5">
      <c r="B78" s="359" t="s">
        <v>55</v>
      </c>
      <c r="C78" s="1042">
        <f t="shared" ref="C78:C83" si="81">6*3+7*(28.4286)</f>
        <v>217.00020000000001</v>
      </c>
      <c r="D78" s="1043"/>
      <c r="E78" s="1030">
        <f t="shared" si="74"/>
        <v>31.000028571428572</v>
      </c>
      <c r="F78" s="1031"/>
      <c r="G78" s="1044"/>
      <c r="H78" s="1045"/>
      <c r="I78" s="1032">
        <f t="shared" si="75"/>
        <v>3.8750035714285715</v>
      </c>
      <c r="J78" s="1033"/>
      <c r="K78" s="1034">
        <f t="shared" si="76"/>
        <v>930.00085714285717</v>
      </c>
      <c r="L78" s="1034"/>
      <c r="M78" s="6"/>
      <c r="N78" s="1050">
        <f t="shared" si="77"/>
        <v>4.5208375000000007</v>
      </c>
      <c r="O78" s="1051"/>
      <c r="P78" s="6"/>
      <c r="Q78" s="1048">
        <f t="shared" ref="Q78:Q89" si="82">+$I$71-I78</f>
        <v>1.3562464285714286</v>
      </c>
      <c r="R78" s="1049"/>
      <c r="U78" s="342">
        <f t="shared" si="78"/>
        <v>64</v>
      </c>
      <c r="V78" s="343">
        <v>48</v>
      </c>
      <c r="W78" s="344">
        <f t="shared" si="79"/>
        <v>-16</v>
      </c>
      <c r="X78" s="345">
        <f t="shared" si="80"/>
        <v>0</v>
      </c>
      <c r="Y78" s="1038">
        <f>+X78*Q78</f>
        <v>0</v>
      </c>
      <c r="Z78" s="1039"/>
      <c r="AA78" s="372"/>
      <c r="AB78" s="700"/>
      <c r="AC78" s="700"/>
      <c r="AD78" s="700"/>
      <c r="AE78" s="296"/>
      <c r="AF78" s="296"/>
      <c r="AG78" s="701"/>
      <c r="AH78" s="701"/>
      <c r="AI78" s="701"/>
      <c r="AJ78" s="701"/>
      <c r="AK78" s="701"/>
      <c r="AL78" s="701"/>
      <c r="AM78" s="701"/>
      <c r="AN78" s="701"/>
      <c r="AO78" s="701"/>
      <c r="AP78" s="701"/>
      <c r="AQ78" s="701"/>
      <c r="AR78" s="701"/>
      <c r="AS78" s="296"/>
      <c r="AT78" s="296"/>
    </row>
    <row r="79" spans="1:50" ht="16.5">
      <c r="B79" s="359" t="s">
        <v>56</v>
      </c>
      <c r="C79" s="1042">
        <f t="shared" si="81"/>
        <v>217.00020000000001</v>
      </c>
      <c r="D79" s="1043"/>
      <c r="E79" s="1030">
        <f t="shared" si="74"/>
        <v>31.000028571428572</v>
      </c>
      <c r="F79" s="1031"/>
      <c r="G79" s="1044"/>
      <c r="H79" s="1045"/>
      <c r="I79" s="1032">
        <f t="shared" si="75"/>
        <v>3.8750035714285715</v>
      </c>
      <c r="J79" s="1033"/>
      <c r="K79" s="1034">
        <f t="shared" si="76"/>
        <v>930.00085714285717</v>
      </c>
      <c r="L79" s="1034"/>
      <c r="M79" s="6"/>
      <c r="N79" s="1050">
        <f t="shared" si="77"/>
        <v>4.5208375000000007</v>
      </c>
      <c r="O79" s="1051"/>
      <c r="P79" s="6"/>
      <c r="Q79" s="1048">
        <f t="shared" si="82"/>
        <v>1.3562464285714286</v>
      </c>
      <c r="R79" s="1049"/>
      <c r="U79" s="342">
        <f t="shared" si="78"/>
        <v>48</v>
      </c>
      <c r="V79" s="343">
        <v>48</v>
      </c>
      <c r="W79" s="344">
        <f t="shared" si="79"/>
        <v>0</v>
      </c>
      <c r="X79" s="345">
        <f t="shared" si="80"/>
        <v>0</v>
      </c>
      <c r="Y79" s="1038">
        <f>+X79*Q79</f>
        <v>0</v>
      </c>
      <c r="Z79" s="1039"/>
      <c r="AA79" s="372"/>
      <c r="AB79" s="700"/>
      <c r="AC79" s="700"/>
      <c r="AD79" s="700"/>
      <c r="AE79" s="296"/>
      <c r="AF79" s="296"/>
      <c r="AG79" s="701"/>
      <c r="AH79" s="701"/>
      <c r="AI79" s="701"/>
      <c r="AJ79" s="701"/>
      <c r="AK79" s="701"/>
      <c r="AL79" s="701"/>
      <c r="AM79" s="701"/>
      <c r="AN79" s="701"/>
      <c r="AO79" s="701"/>
      <c r="AP79" s="701"/>
      <c r="AQ79" s="701"/>
      <c r="AR79" s="701"/>
      <c r="AS79" s="296"/>
      <c r="AT79" s="296"/>
    </row>
    <row r="80" spans="1:50" ht="16.5">
      <c r="A80" s="366"/>
      <c r="B80" s="359" t="s">
        <v>57</v>
      </c>
      <c r="C80" s="1042">
        <f t="shared" si="81"/>
        <v>217.00020000000001</v>
      </c>
      <c r="D80" s="1043"/>
      <c r="E80" s="1030">
        <f>+C80/7</f>
        <v>31.000028571428572</v>
      </c>
      <c r="F80" s="1031"/>
      <c r="G80" s="1044"/>
      <c r="H80" s="1045"/>
      <c r="I80" s="1032">
        <f t="shared" si="75"/>
        <v>3.8750035714285715</v>
      </c>
      <c r="J80" s="1033"/>
      <c r="K80" s="1034">
        <f t="shared" si="76"/>
        <v>930.00085714285717</v>
      </c>
      <c r="L80" s="1034"/>
      <c r="M80" s="6"/>
      <c r="N80" s="1050">
        <f>+I80/6*7</f>
        <v>4.5208375000000007</v>
      </c>
      <c r="O80" s="1051"/>
      <c r="P80" s="6"/>
      <c r="Q80" s="1048">
        <f t="shared" si="82"/>
        <v>1.3562464285714286</v>
      </c>
      <c r="R80" s="1049"/>
      <c r="U80" s="342">
        <f t="shared" si="78"/>
        <v>48</v>
      </c>
      <c r="V80" s="343">
        <v>48</v>
      </c>
      <c r="W80" s="344">
        <f>+V80-U80</f>
        <v>0</v>
      </c>
      <c r="X80" s="345">
        <f t="shared" si="80"/>
        <v>0</v>
      </c>
      <c r="Y80" s="1038">
        <f>+X80*Q80</f>
        <v>0</v>
      </c>
      <c r="Z80" s="1039"/>
      <c r="AA80" s="372"/>
      <c r="AB80" s="700"/>
      <c r="AC80" s="700"/>
      <c r="AD80" s="700"/>
      <c r="AE80" s="296"/>
      <c r="AF80" s="296"/>
      <c r="AG80" s="701"/>
      <c r="AH80" s="701"/>
      <c r="AI80" s="701"/>
      <c r="AJ80" s="701"/>
      <c r="AK80" s="686"/>
      <c r="AL80" s="686"/>
      <c r="AM80" s="686"/>
      <c r="AN80" s="686"/>
      <c r="AO80" s="686"/>
      <c r="AP80" s="686"/>
      <c r="AQ80" s="686"/>
      <c r="AR80" s="686"/>
      <c r="AS80" s="296"/>
      <c r="AT80" s="296"/>
    </row>
    <row r="81" spans="1:46" ht="16.5">
      <c r="A81" s="366"/>
      <c r="B81" s="359" t="s">
        <v>58</v>
      </c>
      <c r="C81" s="1042">
        <f t="shared" si="81"/>
        <v>217.00020000000001</v>
      </c>
      <c r="D81" s="1043"/>
      <c r="E81" s="1030">
        <f>+C81/7</f>
        <v>31.000028571428572</v>
      </c>
      <c r="F81" s="1031"/>
      <c r="G81" s="1044"/>
      <c r="H81" s="1045"/>
      <c r="I81" s="1032">
        <f t="shared" si="75"/>
        <v>3.8750035714285715</v>
      </c>
      <c r="J81" s="1033"/>
      <c r="K81" s="1034">
        <f t="shared" si="76"/>
        <v>930.00085714285717</v>
      </c>
      <c r="L81" s="1034"/>
      <c r="M81" s="6"/>
      <c r="N81" s="1050">
        <f>+I81/6*7</f>
        <v>4.5208375000000007</v>
      </c>
      <c r="O81" s="1051"/>
      <c r="P81" s="6"/>
      <c r="Q81" s="1048">
        <f t="shared" si="82"/>
        <v>1.3562464285714286</v>
      </c>
      <c r="R81" s="1049"/>
      <c r="U81" s="342">
        <f t="shared" si="78"/>
        <v>66</v>
      </c>
      <c r="V81" s="343">
        <v>48</v>
      </c>
      <c r="W81" s="344">
        <f>+V81-U81</f>
        <v>-18</v>
      </c>
      <c r="X81" s="345">
        <f t="shared" si="80"/>
        <v>0</v>
      </c>
      <c r="Z81" s="372"/>
      <c r="AA81" s="372"/>
      <c r="AB81" s="700"/>
      <c r="AC81" s="700"/>
      <c r="AD81" s="700"/>
      <c r="AE81" s="296"/>
      <c r="AF81" s="296"/>
      <c r="AG81" s="701"/>
      <c r="AH81" s="701"/>
      <c r="AI81" s="701"/>
      <c r="AJ81" s="701"/>
      <c r="AK81" s="686"/>
      <c r="AL81" s="686"/>
      <c r="AM81" s="686"/>
      <c r="AN81" s="686"/>
      <c r="AO81" s="686"/>
      <c r="AP81" s="686"/>
      <c r="AQ81" s="686"/>
      <c r="AR81" s="686"/>
      <c r="AS81" s="296"/>
      <c r="AT81" s="296"/>
    </row>
    <row r="82" spans="1:46" ht="16.5">
      <c r="A82" s="366"/>
      <c r="B82" s="359" t="s">
        <v>63</v>
      </c>
      <c r="C82" s="1042">
        <f>6*3+7*(28.4286)</f>
        <v>217.00020000000001</v>
      </c>
      <c r="D82" s="1043"/>
      <c r="E82" s="1030">
        <f>+C82/7</f>
        <v>31.000028571428572</v>
      </c>
      <c r="F82" s="1031"/>
      <c r="G82" s="1044"/>
      <c r="H82" s="1045"/>
      <c r="I82" s="1032">
        <f>+E82/8</f>
        <v>3.8750035714285715</v>
      </c>
      <c r="J82" s="1033"/>
      <c r="K82" s="1034">
        <f>+E82*30</f>
        <v>930.00085714285717</v>
      </c>
      <c r="L82" s="1034"/>
      <c r="M82" s="6"/>
      <c r="N82" s="1050">
        <f>+I82/6*7</f>
        <v>4.5208375000000007</v>
      </c>
      <c r="O82" s="1051"/>
      <c r="P82" s="6"/>
      <c r="Q82" s="1048">
        <f>+$I$71-I82</f>
        <v>1.3562464285714286</v>
      </c>
      <c r="R82" s="1049"/>
      <c r="U82" s="342">
        <f t="shared" si="78"/>
        <v>48</v>
      </c>
      <c r="V82" s="343">
        <v>48</v>
      </c>
      <c r="W82" s="344">
        <f>+V82-U82</f>
        <v>0</v>
      </c>
      <c r="X82" s="345">
        <f t="shared" si="80"/>
        <v>0</v>
      </c>
      <c r="Z82" s="372"/>
      <c r="AA82" s="372"/>
      <c r="AB82" s="700"/>
      <c r="AC82" s="700"/>
      <c r="AD82" s="700"/>
      <c r="AE82" s="296"/>
      <c r="AF82" s="296"/>
      <c r="AG82" s="701"/>
      <c r="AH82" s="701"/>
      <c r="AI82" s="701"/>
      <c r="AJ82" s="701"/>
      <c r="AK82" s="686"/>
      <c r="AL82" s="686"/>
      <c r="AM82" s="686"/>
      <c r="AN82" s="686"/>
      <c r="AO82" s="686"/>
      <c r="AP82" s="686"/>
      <c r="AQ82" s="686"/>
      <c r="AR82" s="686"/>
      <c r="AS82" s="296"/>
      <c r="AT82" s="296"/>
    </row>
    <row r="83" spans="1:46" ht="16.5">
      <c r="A83" s="366"/>
      <c r="B83" s="359" t="s">
        <v>59</v>
      </c>
      <c r="C83" s="1042">
        <f t="shared" si="81"/>
        <v>217.00020000000001</v>
      </c>
      <c r="D83" s="1043"/>
      <c r="E83" s="1030">
        <f>+C83/7</f>
        <v>31.000028571428572</v>
      </c>
      <c r="F83" s="1031"/>
      <c r="G83" s="1044"/>
      <c r="H83" s="1045"/>
      <c r="I83" s="1032">
        <f t="shared" si="75"/>
        <v>3.8750035714285715</v>
      </c>
      <c r="J83" s="1033"/>
      <c r="K83" s="1034">
        <f t="shared" si="76"/>
        <v>930.00085714285717</v>
      </c>
      <c r="L83" s="1034"/>
      <c r="M83" s="6"/>
      <c r="N83" s="1050">
        <f>+I83/6*7</f>
        <v>4.5208375000000007</v>
      </c>
      <c r="O83" s="1051"/>
      <c r="P83" s="6"/>
      <c r="Q83" s="1048">
        <f t="shared" si="82"/>
        <v>1.3562464285714286</v>
      </c>
      <c r="R83" s="1049"/>
      <c r="U83" s="342">
        <f t="shared" si="78"/>
        <v>40</v>
      </c>
      <c r="V83" s="343">
        <v>48</v>
      </c>
      <c r="W83" s="344">
        <f>+V83-U83</f>
        <v>8</v>
      </c>
      <c r="X83" s="345">
        <f t="shared" si="80"/>
        <v>0</v>
      </c>
      <c r="Z83" s="372"/>
      <c r="AA83" s="372"/>
      <c r="AB83" s="700"/>
      <c r="AC83" s="700"/>
      <c r="AD83" s="700"/>
      <c r="AE83" s="296"/>
      <c r="AF83" s="296"/>
      <c r="AG83" s="701"/>
      <c r="AH83" s="701"/>
      <c r="AI83" s="701"/>
      <c r="AJ83" s="701"/>
      <c r="AK83" s="701"/>
      <c r="AL83" s="701"/>
      <c r="AM83" s="701"/>
      <c r="AN83" s="701"/>
      <c r="AO83" s="701"/>
      <c r="AP83" s="701"/>
      <c r="AQ83" s="701"/>
      <c r="AR83" s="701"/>
      <c r="AS83" s="296"/>
      <c r="AT83" s="296"/>
    </row>
    <row r="84" spans="1:46" ht="16.5">
      <c r="A84" s="1">
        <v>2</v>
      </c>
      <c r="B84" s="340" t="s">
        <v>61</v>
      </c>
      <c r="C84" s="1040">
        <v>304.26666666666665</v>
      </c>
      <c r="D84" s="1041"/>
      <c r="E84" s="1030">
        <f>+C84/7</f>
        <v>43.466666666666661</v>
      </c>
      <c r="F84" s="1031"/>
      <c r="G84" s="341"/>
      <c r="H84" s="341"/>
      <c r="I84" s="1032">
        <f t="shared" si="75"/>
        <v>5.4333333333333327</v>
      </c>
      <c r="J84" s="1033"/>
      <c r="K84" s="1034">
        <f t="shared" si="76"/>
        <v>1303.9999999999998</v>
      </c>
      <c r="L84" s="1034"/>
      <c r="M84" s="6"/>
      <c r="N84" s="1035">
        <f t="shared" si="77"/>
        <v>6.3388888888888886</v>
      </c>
      <c r="O84" s="1035"/>
      <c r="P84" s="6"/>
      <c r="Q84" s="1036">
        <f t="shared" si="82"/>
        <v>-0.2020833333333325</v>
      </c>
      <c r="R84" s="1037"/>
      <c r="U84" s="342">
        <f t="shared" si="78"/>
        <v>48</v>
      </c>
      <c r="V84" s="343">
        <v>48</v>
      </c>
      <c r="W84" s="344">
        <f t="shared" si="79"/>
        <v>0</v>
      </c>
      <c r="X84" s="345">
        <f t="shared" si="80"/>
        <v>0</v>
      </c>
    </row>
    <row r="85" spans="1:46" ht="16.5">
      <c r="A85" s="366"/>
      <c r="B85" s="359" t="s">
        <v>64</v>
      </c>
      <c r="C85" s="1042">
        <f>6*3+7*(28.4286)</f>
        <v>217.00020000000001</v>
      </c>
      <c r="D85" s="1043"/>
      <c r="E85" s="1030">
        <f t="shared" ref="E85:E89" si="83">+C85/7</f>
        <v>31.000028571428572</v>
      </c>
      <c r="F85" s="1031"/>
      <c r="G85" s="1044"/>
      <c r="H85" s="1045"/>
      <c r="I85" s="1032">
        <f t="shared" si="75"/>
        <v>3.8750035714285715</v>
      </c>
      <c r="J85" s="1033"/>
      <c r="K85" s="1034">
        <f t="shared" si="76"/>
        <v>930.00085714285717</v>
      </c>
      <c r="L85" s="1034"/>
      <c r="M85" s="6"/>
      <c r="N85" s="1050">
        <f t="shared" si="77"/>
        <v>4.5208375000000007</v>
      </c>
      <c r="O85" s="1051"/>
      <c r="P85" s="6"/>
      <c r="Q85" s="1048">
        <f t="shared" si="82"/>
        <v>1.3562464285714286</v>
      </c>
      <c r="R85" s="1049"/>
      <c r="U85" s="342">
        <f t="shared" si="78"/>
        <v>48</v>
      </c>
      <c r="V85" s="343">
        <v>48</v>
      </c>
      <c r="W85" s="344">
        <f t="shared" si="79"/>
        <v>0</v>
      </c>
      <c r="X85" s="345">
        <f t="shared" si="80"/>
        <v>0</v>
      </c>
      <c r="Z85" s="372"/>
      <c r="AA85" s="372"/>
      <c r="AB85" s="700"/>
      <c r="AC85" s="700"/>
      <c r="AD85" s="700"/>
      <c r="AE85" s="296"/>
      <c r="AF85" s="296"/>
      <c r="AG85" s="701"/>
      <c r="AH85" s="701"/>
      <c r="AI85" s="701"/>
      <c r="AJ85" s="701"/>
      <c r="AK85" s="686"/>
      <c r="AL85" s="686"/>
      <c r="AM85" s="686"/>
      <c r="AN85" s="686"/>
      <c r="AO85" s="686"/>
      <c r="AP85" s="686"/>
      <c r="AQ85" s="686"/>
      <c r="AR85" s="686"/>
      <c r="AS85" s="296"/>
      <c r="AT85" s="296"/>
    </row>
    <row r="86" spans="1:46" ht="16.5">
      <c r="A86" s="366"/>
      <c r="B86" s="359" t="s">
        <v>143</v>
      </c>
      <c r="C86" s="1028">
        <f>+G86*6</f>
        <v>198</v>
      </c>
      <c r="D86" s="1029"/>
      <c r="E86" s="1030">
        <f t="shared" si="83"/>
        <v>28.285714285714285</v>
      </c>
      <c r="F86" s="1031"/>
      <c r="G86" s="1044">
        <v>33</v>
      </c>
      <c r="H86" s="1045"/>
      <c r="I86" s="1032">
        <f>+G86/8</f>
        <v>4.125</v>
      </c>
      <c r="J86" s="1033"/>
      <c r="K86" s="1034">
        <f>+G86*30</f>
        <v>990</v>
      </c>
      <c r="L86" s="1034"/>
      <c r="M86" s="6"/>
      <c r="N86" s="1050">
        <f t="shared" si="77"/>
        <v>4.8125</v>
      </c>
      <c r="O86" s="1051"/>
      <c r="P86" s="6"/>
      <c r="Q86" s="1048">
        <f t="shared" si="82"/>
        <v>1.1062500000000002</v>
      </c>
      <c r="R86" s="1049"/>
      <c r="U86" s="342">
        <f>+AE47+U47+K47+AO25+AE25+U25+K25</f>
        <v>0</v>
      </c>
      <c r="V86" s="343">
        <v>48</v>
      </c>
      <c r="W86" s="344">
        <f t="shared" si="79"/>
        <v>48</v>
      </c>
      <c r="X86" s="345">
        <f>+J25+T25+AD25+J47+T47+AD47</f>
        <v>0</v>
      </c>
      <c r="Z86" s="372"/>
      <c r="AA86" s="372"/>
      <c r="AB86" s="700"/>
      <c r="AC86" s="700"/>
      <c r="AD86" s="700"/>
      <c r="AE86" s="296"/>
      <c r="AF86" s="296"/>
      <c r="AG86" s="701"/>
      <c r="AH86" s="701"/>
      <c r="AI86" s="701"/>
      <c r="AJ86" s="701"/>
      <c r="AK86" s="686"/>
      <c r="AL86" s="686"/>
      <c r="AM86" s="686"/>
      <c r="AN86" s="686"/>
      <c r="AO86" s="686"/>
      <c r="AP86" s="686"/>
      <c r="AQ86" s="686"/>
      <c r="AR86" s="686"/>
      <c r="AS86" s="296"/>
      <c r="AT86" s="296"/>
    </row>
    <row r="87" spans="1:46" ht="16.5">
      <c r="A87" s="366"/>
      <c r="B87" s="359"/>
      <c r="C87" s="691"/>
      <c r="D87" s="692"/>
      <c r="E87" s="693"/>
      <c r="F87" s="694"/>
      <c r="G87" s="695"/>
      <c r="H87" s="696"/>
      <c r="I87" s="697"/>
      <c r="J87" s="698"/>
      <c r="K87" s="699"/>
      <c r="L87" s="699"/>
      <c r="M87" s="6"/>
      <c r="N87" s="689"/>
      <c r="O87" s="690"/>
      <c r="P87" s="6"/>
      <c r="Q87" s="687"/>
      <c r="R87" s="688"/>
      <c r="U87" s="342"/>
      <c r="V87" s="343"/>
      <c r="W87" s="344"/>
      <c r="X87" s="345"/>
      <c r="Z87" s="372"/>
      <c r="AA87" s="372"/>
      <c r="AB87" s="700"/>
      <c r="AC87" s="700"/>
      <c r="AD87" s="700"/>
      <c r="AE87" s="296"/>
      <c r="AF87" s="296"/>
      <c r="AG87" s="701"/>
      <c r="AH87" s="701"/>
      <c r="AI87" s="701"/>
      <c r="AJ87" s="701"/>
      <c r="AK87" s="686"/>
      <c r="AL87" s="686"/>
      <c r="AM87" s="686"/>
      <c r="AN87" s="686"/>
      <c r="AO87" s="686"/>
      <c r="AP87" s="686"/>
      <c r="AQ87" s="686"/>
      <c r="AR87" s="686"/>
      <c r="AS87" s="296"/>
      <c r="AT87" s="296"/>
    </row>
    <row r="88" spans="1:46" s="371" customFormat="1" ht="16.5">
      <c r="A88" s="366">
        <v>6</v>
      </c>
      <c r="B88" s="365" t="s">
        <v>142</v>
      </c>
      <c r="C88" s="1028">
        <f>+G88*6</f>
        <v>186</v>
      </c>
      <c r="D88" s="1029"/>
      <c r="E88" s="1030">
        <f t="shared" si="83"/>
        <v>26.571428571428573</v>
      </c>
      <c r="F88" s="1031"/>
      <c r="G88" s="1044">
        <v>31</v>
      </c>
      <c r="H88" s="1045"/>
      <c r="I88" s="1032">
        <f>+G88/8</f>
        <v>3.875</v>
      </c>
      <c r="J88" s="1033"/>
      <c r="K88" s="1034">
        <f>+G88*30</f>
        <v>930</v>
      </c>
      <c r="L88" s="1034"/>
      <c r="M88" s="374"/>
      <c r="N88" s="1035">
        <f t="shared" si="77"/>
        <v>4.5208333333333339</v>
      </c>
      <c r="O88" s="1035"/>
      <c r="P88" s="6"/>
      <c r="Q88" s="1036">
        <f t="shared" ref="Q88" si="84">+$I$71-I88</f>
        <v>1.3562500000000002</v>
      </c>
      <c r="R88" s="1037"/>
      <c r="S88" s="3"/>
      <c r="T88" s="3"/>
      <c r="U88" s="342">
        <f>+AE48+U48+K48+AO26+AE26+U26+K26</f>
        <v>0</v>
      </c>
      <c r="V88" s="343">
        <v>48</v>
      </c>
      <c r="W88" s="344">
        <f t="shared" si="79"/>
        <v>48</v>
      </c>
      <c r="X88" s="345">
        <f>+J26+T26+AD26+J48+T48+AD48</f>
        <v>0</v>
      </c>
      <c r="Y88" s="367"/>
      <c r="Z88" s="700"/>
      <c r="AA88" s="700"/>
      <c r="AB88" s="700"/>
      <c r="AC88" s="700"/>
      <c r="AD88" s="700"/>
      <c r="AE88" s="296"/>
      <c r="AF88" s="296"/>
      <c r="AG88" s="701"/>
      <c r="AH88" s="701"/>
      <c r="AI88" s="370"/>
      <c r="AJ88" s="370"/>
      <c r="AK88" s="370"/>
      <c r="AL88" s="370"/>
      <c r="AM88" s="701"/>
      <c r="AN88" s="701"/>
      <c r="AO88" s="701"/>
      <c r="AP88" s="701"/>
      <c r="AQ88" s="701"/>
      <c r="AR88" s="701"/>
      <c r="AS88" s="296"/>
      <c r="AT88" s="296"/>
    </row>
    <row r="89" spans="1:46" ht="16.5">
      <c r="B89" s="375" t="s">
        <v>65</v>
      </c>
      <c r="C89" s="1054">
        <f>6*3+7*(G89)</f>
        <v>548.33330000000001</v>
      </c>
      <c r="D89" s="1055"/>
      <c r="E89" s="1056">
        <f t="shared" si="83"/>
        <v>78.333328571428567</v>
      </c>
      <c r="F89" s="1057"/>
      <c r="G89" s="1058">
        <v>75.761899999999997</v>
      </c>
      <c r="H89" s="1059"/>
      <c r="I89" s="1060">
        <f>+E89/8</f>
        <v>9.7916660714285708</v>
      </c>
      <c r="J89" s="1061"/>
      <c r="K89" s="1062">
        <f>+E89*30</f>
        <v>2349.9998571428569</v>
      </c>
      <c r="L89" s="1063"/>
      <c r="M89" s="6"/>
      <c r="N89" s="1035">
        <f t="shared" si="77"/>
        <v>11.423610416666666</v>
      </c>
      <c r="O89" s="1035"/>
      <c r="P89" s="6"/>
      <c r="Q89" s="1048">
        <f t="shared" si="82"/>
        <v>-4.5604160714285706</v>
      </c>
      <c r="R89" s="1049"/>
      <c r="U89" s="342">
        <f>+AE48+U48+K48+AO26+AE26+U26+K26</f>
        <v>0</v>
      </c>
      <c r="V89" s="343">
        <v>48</v>
      </c>
      <c r="W89" s="344">
        <f t="shared" si="79"/>
        <v>48</v>
      </c>
      <c r="X89" s="345">
        <f>+J26+T26+AD26+J48+T48+AD48</f>
        <v>0</v>
      </c>
      <c r="Z89" s="372"/>
      <c r="AA89" s="372"/>
      <c r="AB89" s="700"/>
      <c r="AC89" s="700"/>
      <c r="AD89" s="700"/>
      <c r="AE89" s="296"/>
      <c r="AF89" s="296"/>
      <c r="AG89" s="701"/>
      <c r="AH89" s="701"/>
      <c r="AI89" s="701"/>
      <c r="AJ89" s="701"/>
      <c r="AK89" s="701"/>
      <c r="AL89" s="701"/>
      <c r="AM89" s="701"/>
      <c r="AN89" s="701"/>
      <c r="AO89" s="701"/>
      <c r="AP89" s="701"/>
      <c r="AQ89" s="296"/>
      <c r="AR89" s="296"/>
      <c r="AS89" s="296"/>
      <c r="AT89" s="296"/>
    </row>
    <row r="90" spans="1:46">
      <c r="AE90" s="376"/>
      <c r="AF90" s="376"/>
      <c r="AJ90" s="376"/>
      <c r="AK90" s="376"/>
    </row>
    <row r="91" spans="1:46" ht="26.25" thickBot="1">
      <c r="B91" s="377" t="s">
        <v>66</v>
      </c>
      <c r="H91" s="1052">
        <v>43191</v>
      </c>
      <c r="I91" s="1052"/>
      <c r="J91" s="1052"/>
      <c r="K91" s="1052"/>
      <c r="L91" s="1052"/>
      <c r="M91" s="1052"/>
      <c r="N91" s="1052"/>
      <c r="AD91" s="378"/>
      <c r="AE91" s="378"/>
      <c r="AF91" s="378"/>
      <c r="AG91" s="167"/>
      <c r="AH91" s="167"/>
      <c r="AI91" s="167"/>
      <c r="AJ91" s="376"/>
      <c r="AK91" s="376"/>
    </row>
    <row r="92" spans="1:46" ht="16.5" thickBot="1">
      <c r="B92" s="379">
        <v>1100</v>
      </c>
      <c r="C92" s="240" t="s">
        <v>67</v>
      </c>
      <c r="AD92" s="296"/>
      <c r="AE92" s="296"/>
      <c r="AF92" s="296"/>
      <c r="AG92" s="296"/>
      <c r="AH92" s="296"/>
      <c r="AI92" s="296"/>
      <c r="AJ92" s="296"/>
      <c r="AK92" s="296"/>
      <c r="AL92" s="296"/>
      <c r="AM92" s="296"/>
      <c r="AN92" s="296"/>
      <c r="AO92" s="296"/>
      <c r="AP92" s="267"/>
      <c r="AQ92" s="267"/>
      <c r="AR92" s="267"/>
      <c r="AS92" s="267"/>
      <c r="AT92" s="267"/>
    </row>
    <row r="93" spans="1:46" ht="15.75">
      <c r="B93" s="168">
        <f>+B92/30*7</f>
        <v>256.66666666666663</v>
      </c>
      <c r="C93" s="240" t="s">
        <v>68</v>
      </c>
      <c r="D93" s="380"/>
      <c r="O93" s="1053" t="s">
        <v>69</v>
      </c>
      <c r="P93" s="1053"/>
      <c r="Q93" s="1053"/>
      <c r="R93" s="1053"/>
      <c r="S93" s="1053"/>
      <c r="T93" s="1053"/>
      <c r="U93" s="1053"/>
      <c r="V93" s="1053"/>
      <c r="W93" s="1053"/>
      <c r="X93" s="1053"/>
      <c r="Y93" s="1053"/>
      <c r="Z93" s="1053"/>
      <c r="AD93" s="296"/>
      <c r="AE93" s="701"/>
      <c r="AF93" s="701"/>
      <c r="AG93" s="296"/>
      <c r="AH93" s="296"/>
      <c r="AI93" s="296"/>
      <c r="AJ93" s="701"/>
      <c r="AK93" s="701"/>
      <c r="AL93" s="296"/>
      <c r="AM93" s="296"/>
      <c r="AN93" s="296"/>
      <c r="AO93" s="296"/>
      <c r="AP93" s="267"/>
      <c r="AQ93" s="267"/>
      <c r="AR93" s="267"/>
      <c r="AS93" s="267"/>
      <c r="AT93" s="267"/>
    </row>
    <row r="94" spans="1:46">
      <c r="B94" s="168">
        <f>+B93-18</f>
        <v>238.66666666666663</v>
      </c>
      <c r="C94" s="240" t="s">
        <v>70</v>
      </c>
      <c r="O94" s="1053">
        <f>+B92</f>
        <v>1100</v>
      </c>
      <c r="P94" s="1053"/>
      <c r="Q94" s="1053" t="s">
        <v>71</v>
      </c>
      <c r="R94" s="1053"/>
      <c r="S94" s="1053"/>
      <c r="T94" s="1053"/>
      <c r="U94" s="1053"/>
      <c r="V94" s="1053"/>
      <c r="W94" s="1053"/>
      <c r="X94" s="1053"/>
      <c r="Y94" s="1053"/>
      <c r="Z94" s="1053"/>
      <c r="AA94" s="7" t="s">
        <v>72</v>
      </c>
      <c r="AD94" s="296"/>
      <c r="AE94" s="701"/>
      <c r="AF94" s="701"/>
      <c r="AG94" s="296"/>
      <c r="AH94" s="296"/>
      <c r="AI94" s="296"/>
      <c r="AJ94" s="701"/>
      <c r="AK94" s="701"/>
      <c r="AL94" s="296"/>
      <c r="AM94" s="296"/>
      <c r="AN94" s="296"/>
      <c r="AO94" s="296"/>
      <c r="AP94" s="267"/>
      <c r="AQ94" s="267"/>
      <c r="AR94" s="267"/>
      <c r="AS94" s="267"/>
      <c r="AT94" s="267"/>
    </row>
    <row r="95" spans="1:46">
      <c r="B95" s="381">
        <f>+B94/7+0</f>
        <v>34.095238095238088</v>
      </c>
      <c r="C95" s="382" t="s">
        <v>73</v>
      </c>
      <c r="D95" s="383"/>
      <c r="O95" s="1053">
        <f>+O94/30*7</f>
        <v>256.66666666666663</v>
      </c>
      <c r="P95" s="1053"/>
      <c r="Q95" s="1053" t="s">
        <v>74</v>
      </c>
      <c r="R95" s="1053"/>
      <c r="S95" s="1053"/>
      <c r="T95" s="1053"/>
      <c r="U95" s="1053"/>
      <c r="V95" s="1053"/>
      <c r="W95" s="1053"/>
      <c r="X95" s="1053"/>
      <c r="Y95" s="1053"/>
      <c r="Z95" s="1053"/>
      <c r="AA95" s="1064">
        <f>+O95*0.87</f>
        <v>223.29999999999995</v>
      </c>
      <c r="AB95" s="1064"/>
      <c r="AD95" s="296"/>
      <c r="AE95" s="384"/>
      <c r="AF95" s="384"/>
      <c r="AG95" s="296"/>
      <c r="AH95" s="296"/>
      <c r="AI95" s="296"/>
      <c r="AJ95" s="384"/>
      <c r="AK95" s="384"/>
      <c r="AL95" s="385"/>
      <c r="AM95" s="385"/>
      <c r="AN95" s="385"/>
      <c r="AO95" s="385"/>
      <c r="AP95" s="386"/>
      <c r="AQ95" s="386"/>
      <c r="AR95" s="267"/>
      <c r="AS95" s="267"/>
      <c r="AT95" s="267"/>
    </row>
    <row r="96" spans="1:46">
      <c r="O96" s="1053">
        <f>+O95/7</f>
        <v>36.666666666666664</v>
      </c>
      <c r="P96" s="1053"/>
      <c r="Q96" s="1053" t="s">
        <v>75</v>
      </c>
      <c r="R96" s="1053"/>
      <c r="S96" s="1053"/>
      <c r="T96" s="1053"/>
      <c r="U96" s="1053"/>
      <c r="V96" s="1053"/>
      <c r="W96" s="1053"/>
      <c r="X96" s="1053"/>
      <c r="Y96" s="1053"/>
      <c r="Z96" s="1053"/>
      <c r="AD96" s="296"/>
      <c r="AE96" s="701"/>
      <c r="AF96" s="701"/>
      <c r="AG96" s="296"/>
      <c r="AH96" s="296"/>
      <c r="AI96" s="296"/>
      <c r="AJ96" s="701"/>
      <c r="AK96" s="701"/>
      <c r="AL96" s="387"/>
      <c r="AM96" s="387"/>
      <c r="AN96" s="385"/>
      <c r="AO96" s="385"/>
      <c r="AP96" s="386"/>
      <c r="AQ96" s="386"/>
      <c r="AR96" s="267"/>
      <c r="AS96" s="267"/>
      <c r="AT96" s="267"/>
    </row>
    <row r="97" spans="2:46" ht="15.75">
      <c r="B97" s="388">
        <f>+B95</f>
        <v>34.095238095238088</v>
      </c>
      <c r="C97" s="389" t="s">
        <v>76</v>
      </c>
      <c r="D97" s="390"/>
      <c r="E97" s="390"/>
      <c r="F97" s="390"/>
      <c r="O97" s="1065">
        <f>(O95-18)/7</f>
        <v>34.095238095238088</v>
      </c>
      <c r="P97" s="1065"/>
      <c r="Q97" s="1065" t="s">
        <v>77</v>
      </c>
      <c r="R97" s="1065"/>
      <c r="S97" s="1065"/>
      <c r="T97" s="1065"/>
      <c r="U97" s="1065"/>
      <c r="V97" s="1065"/>
      <c r="W97" s="1065"/>
      <c r="X97" s="1065"/>
      <c r="Y97" s="1065"/>
      <c r="Z97" s="1065"/>
      <c r="AD97" s="296"/>
      <c r="AE97" s="391"/>
      <c r="AF97" s="391"/>
      <c r="AG97" s="392"/>
      <c r="AH97" s="392"/>
      <c r="AI97" s="392"/>
      <c r="AJ97" s="391"/>
      <c r="AK97" s="391"/>
      <c r="AL97" s="385"/>
      <c r="AM97" s="385"/>
      <c r="AN97" s="385"/>
      <c r="AO97" s="385"/>
      <c r="AP97" s="386"/>
      <c r="AQ97" s="386"/>
      <c r="AR97" s="267"/>
      <c r="AS97" s="267"/>
      <c r="AT97" s="267"/>
    </row>
    <row r="98" spans="2:46">
      <c r="B98" s="168">
        <v>3</v>
      </c>
      <c r="C98" s="240" t="s">
        <v>78</v>
      </c>
      <c r="O98" s="1053">
        <v>3</v>
      </c>
      <c r="P98" s="1053"/>
      <c r="Q98" s="1053" t="s">
        <v>79</v>
      </c>
      <c r="R98" s="1053"/>
      <c r="S98" s="1053"/>
      <c r="T98" s="1053"/>
      <c r="U98" s="1053"/>
      <c r="V98" s="1053"/>
      <c r="W98" s="1053"/>
      <c r="X98" s="1053"/>
      <c r="Y98" s="1053"/>
      <c r="Z98" s="1053"/>
      <c r="AD98" s="296"/>
      <c r="AE98" s="296"/>
      <c r="AF98" s="391"/>
      <c r="AG98" s="392"/>
      <c r="AH98" s="392"/>
      <c r="AI98" s="392"/>
      <c r="AJ98" s="391"/>
      <c r="AK98" s="296"/>
      <c r="AL98" s="385"/>
      <c r="AM98" s="385"/>
      <c r="AN98" s="385"/>
      <c r="AO98" s="385"/>
      <c r="AP98" s="386"/>
      <c r="AQ98" s="386"/>
      <c r="AR98" s="267"/>
      <c r="AS98" s="267"/>
      <c r="AT98" s="267"/>
    </row>
    <row r="99" spans="2:46">
      <c r="B99" s="381">
        <f>+B98+B97</f>
        <v>37.095238095238088</v>
      </c>
      <c r="C99" s="382" t="s">
        <v>80</v>
      </c>
      <c r="D99" s="393"/>
      <c r="E99" s="394"/>
      <c r="F99" s="395"/>
      <c r="G99" s="393"/>
      <c r="H99" s="393"/>
      <c r="I99" s="395"/>
      <c r="J99" s="393"/>
      <c r="K99" s="396"/>
      <c r="L99" s="396"/>
      <c r="M99" s="383"/>
      <c r="O99" s="1053">
        <f>+O98+O97</f>
        <v>37.095238095238088</v>
      </c>
      <c r="P99" s="1053"/>
      <c r="AD99" s="296"/>
      <c r="AE99" s="701"/>
      <c r="AF99" s="701"/>
      <c r="AG99" s="296"/>
      <c r="AH99" s="296"/>
      <c r="AI99" s="296"/>
      <c r="AJ99" s="701"/>
      <c r="AK99" s="701"/>
      <c r="AL99" s="387"/>
      <c r="AM99" s="387"/>
      <c r="AN99" s="387"/>
      <c r="AO99" s="387"/>
      <c r="AP99" s="397"/>
      <c r="AQ99" s="267"/>
      <c r="AR99" s="267"/>
      <c r="AS99" s="267"/>
      <c r="AT99" s="267"/>
    </row>
    <row r="100" spans="2:46">
      <c r="B100" s="168"/>
      <c r="AD100" s="296"/>
      <c r="AE100" s="398"/>
      <c r="AF100" s="398"/>
      <c r="AG100" s="398"/>
      <c r="AH100" s="296"/>
      <c r="AI100" s="296"/>
      <c r="AJ100" s="398"/>
      <c r="AK100" s="398"/>
      <c r="AL100" s="385"/>
      <c r="AM100" s="296"/>
      <c r="AN100" s="296"/>
      <c r="AO100" s="296"/>
      <c r="AP100" s="267"/>
      <c r="AQ100" s="267"/>
      <c r="AR100" s="267"/>
      <c r="AS100" s="267"/>
      <c r="AT100" s="267"/>
    </row>
    <row r="101" spans="2:46">
      <c r="B101" s="168">
        <f>+B99*6</f>
        <v>222.57142857142853</v>
      </c>
      <c r="C101" s="240" t="s">
        <v>81</v>
      </c>
      <c r="O101" s="1053" t="s">
        <v>82</v>
      </c>
      <c r="P101" s="1053"/>
      <c r="Q101" s="1053"/>
      <c r="R101" s="1053"/>
      <c r="S101" s="1053"/>
      <c r="T101" s="1053"/>
      <c r="U101" s="1053"/>
      <c r="V101" s="1053"/>
      <c r="W101" s="1053"/>
      <c r="X101" s="1053"/>
      <c r="Y101" s="1053"/>
      <c r="Z101" s="1053"/>
      <c r="AD101" s="296"/>
      <c r="AE101" s="296"/>
      <c r="AF101" s="296"/>
      <c r="AG101" s="296"/>
      <c r="AH101" s="296"/>
      <c r="AI101" s="385"/>
      <c r="AJ101" s="385"/>
      <c r="AK101" s="387"/>
      <c r="AL101" s="686"/>
      <c r="AM101" s="701"/>
      <c r="AN101" s="686"/>
      <c r="AO101" s="296"/>
      <c r="AP101" s="267"/>
      <c r="AQ101" s="267"/>
      <c r="AR101" s="267"/>
      <c r="AS101" s="267"/>
      <c r="AT101" s="267"/>
    </row>
    <row r="102" spans="2:46">
      <c r="B102" s="399">
        <f>+B97</f>
        <v>34.095238095238088</v>
      </c>
      <c r="C102" s="400" t="s">
        <v>83</v>
      </c>
      <c r="D102" s="401"/>
      <c r="E102" s="402"/>
      <c r="F102" s="403"/>
      <c r="G102" s="401"/>
      <c r="H102" s="401"/>
      <c r="I102" s="403"/>
      <c r="J102" s="401"/>
      <c r="K102" s="404"/>
      <c r="L102" s="405"/>
      <c r="O102" s="1053">
        <f>+O94*1.1</f>
        <v>1210</v>
      </c>
      <c r="P102" s="1053"/>
      <c r="Q102" s="1053" t="s">
        <v>71</v>
      </c>
      <c r="R102" s="1053"/>
      <c r="S102" s="1053"/>
      <c r="T102" s="1053"/>
      <c r="U102" s="1053"/>
      <c r="V102" s="1053"/>
      <c r="W102" s="1053"/>
      <c r="X102" s="1053"/>
      <c r="Y102" s="1053"/>
      <c r="Z102" s="1053"/>
      <c r="AA102" s="7" t="s">
        <v>84</v>
      </c>
      <c r="AG102" s="267"/>
      <c r="AH102" s="267"/>
      <c r="AI102" s="386"/>
      <c r="AJ102" s="386"/>
      <c r="AK102" s="386"/>
      <c r="AL102" s="267"/>
      <c r="AM102" s="267"/>
      <c r="AN102" s="267"/>
      <c r="AO102" s="267"/>
    </row>
    <row r="103" spans="2:46">
      <c r="B103" s="381">
        <f>+B102+B101</f>
        <v>256.66666666666663</v>
      </c>
      <c r="C103" s="382" t="s">
        <v>85</v>
      </c>
      <c r="D103" s="393"/>
      <c r="E103" s="394"/>
      <c r="F103" s="395"/>
      <c r="G103" s="393"/>
      <c r="H103" s="393"/>
      <c r="I103" s="395"/>
      <c r="J103" s="393"/>
      <c r="K103" s="406"/>
      <c r="L103" s="405"/>
      <c r="O103" s="1053">
        <f>+O102/30*7</f>
        <v>282.33333333333337</v>
      </c>
      <c r="P103" s="1053"/>
      <c r="Q103" s="1053" t="s">
        <v>74</v>
      </c>
      <c r="R103" s="1053"/>
      <c r="S103" s="1053"/>
      <c r="T103" s="1053"/>
      <c r="U103" s="1053"/>
      <c r="V103" s="1053"/>
      <c r="W103" s="1053"/>
      <c r="X103" s="1053"/>
      <c r="Y103" s="1053"/>
      <c r="Z103" s="1053"/>
      <c r="AA103" s="1064">
        <f>+O103*0.87</f>
        <v>245.63000000000002</v>
      </c>
      <c r="AB103" s="1064"/>
      <c r="AG103" s="267"/>
      <c r="AH103" s="267"/>
      <c r="AI103" s="386"/>
      <c r="AJ103" s="386"/>
      <c r="AK103" s="407"/>
      <c r="AL103" s="267"/>
      <c r="AM103" s="267"/>
      <c r="AN103" s="267"/>
      <c r="AO103" s="267"/>
    </row>
    <row r="104" spans="2:46">
      <c r="B104" s="408"/>
      <c r="C104" s="409"/>
      <c r="D104" s="333"/>
      <c r="E104" s="410"/>
      <c r="F104" s="411"/>
      <c r="G104" s="333"/>
      <c r="H104" s="333"/>
      <c r="I104" s="411"/>
      <c r="J104" s="333"/>
      <c r="K104" s="405"/>
      <c r="L104" s="405"/>
      <c r="O104" s="1053">
        <f>+O103/7</f>
        <v>40.333333333333336</v>
      </c>
      <c r="P104" s="1053"/>
      <c r="Q104" s="1053" t="s">
        <v>75</v>
      </c>
      <c r="R104" s="1053"/>
      <c r="S104" s="1053"/>
      <c r="T104" s="1053"/>
      <c r="U104" s="1053"/>
      <c r="V104" s="1053"/>
      <c r="W104" s="1053"/>
      <c r="X104" s="1053"/>
      <c r="Y104" s="1053"/>
      <c r="Z104" s="1053"/>
      <c r="AG104" s="267"/>
      <c r="AH104" s="267"/>
      <c r="AI104" s="412"/>
      <c r="AJ104" s="413"/>
      <c r="AK104" s="407"/>
      <c r="AL104" s="267"/>
      <c r="AM104" s="267"/>
      <c r="AN104" s="267"/>
      <c r="AO104" s="267"/>
    </row>
    <row r="105" spans="2:46" ht="15.75">
      <c r="B105" s="414">
        <f>+B103/7</f>
        <v>36.666666666666664</v>
      </c>
      <c r="C105" s="415" t="s">
        <v>86</v>
      </c>
      <c r="D105" s="416"/>
      <c r="E105" s="417"/>
      <c r="F105" s="418"/>
      <c r="G105" s="419"/>
      <c r="H105" s="419"/>
      <c r="I105" s="411"/>
      <c r="J105" s="333"/>
      <c r="K105" s="405"/>
      <c r="L105" s="405"/>
      <c r="O105" s="1065">
        <f>(O103-18)/7</f>
        <v>37.761904761904766</v>
      </c>
      <c r="P105" s="1065"/>
      <c r="Q105" s="1065" t="s">
        <v>77</v>
      </c>
      <c r="R105" s="1065"/>
      <c r="S105" s="1065"/>
      <c r="T105" s="1065"/>
      <c r="U105" s="1065"/>
      <c r="V105" s="1065"/>
      <c r="W105" s="1065"/>
      <c r="X105" s="1065"/>
      <c r="Y105" s="1065"/>
      <c r="Z105" s="1065"/>
      <c r="AG105" s="267"/>
      <c r="AH105" s="267"/>
      <c r="AI105" s="267"/>
      <c r="AJ105" s="267"/>
      <c r="AK105" s="407"/>
      <c r="AL105" s="267"/>
      <c r="AM105" s="267"/>
      <c r="AN105" s="267"/>
      <c r="AO105" s="267"/>
    </row>
    <row r="106" spans="2:46">
      <c r="B106" s="408"/>
      <c r="C106" s="409"/>
      <c r="D106" s="333"/>
      <c r="E106" s="410"/>
      <c r="F106" s="411"/>
      <c r="G106" s="333"/>
      <c r="H106" s="333"/>
      <c r="I106" s="411"/>
      <c r="J106" s="333"/>
      <c r="K106" s="405"/>
      <c r="L106" s="405"/>
      <c r="O106" s="1053">
        <v>3</v>
      </c>
      <c r="P106" s="1053"/>
      <c r="Q106" s="1053" t="s">
        <v>79</v>
      </c>
      <c r="R106" s="1053"/>
      <c r="S106" s="1053"/>
      <c r="T106" s="1053"/>
      <c r="U106" s="1053"/>
      <c r="V106" s="1053"/>
      <c r="W106" s="1053"/>
      <c r="X106" s="1053"/>
      <c r="Y106" s="1053"/>
      <c r="Z106" s="1053"/>
      <c r="AG106" s="267"/>
      <c r="AH106" s="267"/>
      <c r="AI106" s="267"/>
      <c r="AJ106" s="267"/>
      <c r="AK106" s="267"/>
      <c r="AL106" s="267"/>
      <c r="AM106" s="267"/>
      <c r="AN106" s="267"/>
      <c r="AO106" s="267"/>
    </row>
    <row r="107" spans="2:46">
      <c r="B107" s="408"/>
      <c r="C107" s="409"/>
      <c r="D107" s="333"/>
      <c r="E107" s="410"/>
      <c r="F107" s="411"/>
      <c r="G107" s="333"/>
      <c r="H107" s="333"/>
      <c r="I107" s="411"/>
      <c r="J107" s="333"/>
      <c r="K107" s="405"/>
      <c r="L107" s="405"/>
      <c r="O107" s="1053">
        <f>+O106+O105</f>
        <v>40.761904761904766</v>
      </c>
      <c r="P107" s="1053"/>
      <c r="AG107" s="267"/>
      <c r="AH107" s="267"/>
      <c r="AI107" s="267"/>
      <c r="AJ107" s="267"/>
      <c r="AK107" s="267"/>
      <c r="AL107" s="267"/>
      <c r="AM107" s="267"/>
      <c r="AN107" s="267"/>
      <c r="AO107" s="267"/>
    </row>
    <row r="108" spans="2:46">
      <c r="AG108" s="267"/>
      <c r="AH108" s="267"/>
      <c r="AI108" s="267"/>
      <c r="AJ108" s="267"/>
      <c r="AK108" s="267"/>
      <c r="AL108" s="267"/>
      <c r="AM108" s="267"/>
      <c r="AN108" s="267"/>
      <c r="AO108" s="267"/>
    </row>
    <row r="109" spans="2:46" ht="26.25" thickBot="1">
      <c r="B109" s="377" t="s">
        <v>87</v>
      </c>
      <c r="H109" s="1052">
        <v>43167</v>
      </c>
      <c r="I109" s="1052"/>
      <c r="J109" s="1052"/>
      <c r="K109" s="1052"/>
      <c r="L109" s="1052"/>
      <c r="M109" s="1052"/>
      <c r="N109" s="1052"/>
      <c r="O109" s="420" t="s">
        <v>88</v>
      </c>
      <c r="P109" s="421"/>
      <c r="Q109" s="422"/>
      <c r="AG109" s="267"/>
      <c r="AH109" s="267"/>
      <c r="AI109" s="267"/>
      <c r="AJ109" s="267"/>
      <c r="AK109" s="267"/>
      <c r="AL109" s="267"/>
      <c r="AM109" s="267"/>
      <c r="AN109" s="267"/>
      <c r="AO109" s="267"/>
    </row>
    <row r="110" spans="2:46" ht="16.5" thickBot="1">
      <c r="B110" s="379">
        <v>850</v>
      </c>
      <c r="C110" s="240" t="s">
        <v>67</v>
      </c>
      <c r="AD110" s="296"/>
      <c r="AE110" s="296"/>
      <c r="AF110" s="296"/>
      <c r="AG110" s="296"/>
      <c r="AH110" s="296"/>
      <c r="AI110" s="296"/>
      <c r="AJ110" s="296"/>
      <c r="AK110" s="296"/>
      <c r="AL110" s="296"/>
      <c r="AM110" s="296"/>
      <c r="AN110" s="296"/>
      <c r="AO110" s="296"/>
      <c r="AP110" s="267"/>
      <c r="AQ110" s="267"/>
      <c r="AR110" s="267"/>
      <c r="AS110" s="267"/>
      <c r="AT110" s="267"/>
    </row>
    <row r="111" spans="2:46" ht="15.75">
      <c r="B111" s="423">
        <f>+B110/30*7</f>
        <v>198.33333333333331</v>
      </c>
      <c r="C111" s="240" t="s">
        <v>68</v>
      </c>
      <c r="D111" s="380"/>
      <c r="O111" s="1053" t="s">
        <v>69</v>
      </c>
      <c r="P111" s="1053"/>
      <c r="Q111" s="1053"/>
      <c r="R111" s="1053"/>
      <c r="S111" s="1053"/>
      <c r="T111" s="1053"/>
      <c r="U111" s="1053"/>
      <c r="V111" s="1053"/>
      <c r="W111" s="1053"/>
      <c r="X111" s="1053"/>
      <c r="Y111" s="1053"/>
      <c r="Z111" s="1053"/>
      <c r="AD111" s="296"/>
      <c r="AE111" s="701"/>
      <c r="AF111" s="701"/>
      <c r="AG111" s="296"/>
      <c r="AH111" s="296"/>
      <c r="AI111" s="296"/>
      <c r="AJ111" s="701"/>
      <c r="AK111" s="701"/>
      <c r="AL111" s="296"/>
      <c r="AM111" s="296"/>
      <c r="AN111" s="296"/>
      <c r="AO111" s="296"/>
      <c r="AP111" s="267"/>
      <c r="AQ111" s="267"/>
      <c r="AR111" s="267"/>
      <c r="AS111" s="267"/>
      <c r="AT111" s="267"/>
    </row>
    <row r="112" spans="2:46">
      <c r="B112" s="423">
        <f>+B111-18</f>
        <v>180.33333333333331</v>
      </c>
      <c r="C112" s="240" t="s">
        <v>70</v>
      </c>
      <c r="O112" s="1053">
        <f>+B110</f>
        <v>850</v>
      </c>
      <c r="P112" s="1053"/>
      <c r="Q112" s="1053" t="s">
        <v>71</v>
      </c>
      <c r="R112" s="1053"/>
      <c r="S112" s="1053"/>
      <c r="T112" s="1053"/>
      <c r="U112" s="1053"/>
      <c r="V112" s="1053"/>
      <c r="W112" s="1053"/>
      <c r="X112" s="1053"/>
      <c r="Y112" s="1053"/>
      <c r="Z112" s="1053"/>
      <c r="AA112" s="7" t="s">
        <v>72</v>
      </c>
      <c r="AD112" s="296"/>
      <c r="AE112" s="996">
        <v>198.32</v>
      </c>
      <c r="AF112" s="996"/>
      <c r="AG112" s="996"/>
      <c r="AH112" s="296"/>
      <c r="AI112" s="996"/>
      <c r="AJ112" s="996"/>
      <c r="AK112" s="996"/>
      <c r="AL112" s="1068">
        <f>+AL113+AL114</f>
        <v>192.18149689334777</v>
      </c>
      <c r="AM112" s="1068"/>
      <c r="AN112" s="1068"/>
      <c r="AO112" s="1068">
        <f>+AL112-18</f>
        <v>174.18149689334777</v>
      </c>
      <c r="AP112" s="1068"/>
      <c r="AQ112" s="1068"/>
      <c r="AR112" s="267"/>
      <c r="AS112" s="267"/>
      <c r="AT112" s="267"/>
    </row>
    <row r="113" spans="2:46">
      <c r="B113" s="424">
        <f>+B112/7</f>
        <v>25.761904761904759</v>
      </c>
      <c r="C113" s="382" t="s">
        <v>73</v>
      </c>
      <c r="D113" s="383"/>
      <c r="O113" s="1053">
        <f>+O112/30*7</f>
        <v>198.33333333333331</v>
      </c>
      <c r="P113" s="1053"/>
      <c r="Q113" s="1053" t="s">
        <v>74</v>
      </c>
      <c r="R113" s="1053"/>
      <c r="S113" s="1053"/>
      <c r="T113" s="1053"/>
      <c r="U113" s="1053"/>
      <c r="V113" s="1053"/>
      <c r="W113" s="1053"/>
      <c r="X113" s="1053"/>
      <c r="Y113" s="1053"/>
      <c r="Z113" s="1053"/>
      <c r="AA113" s="1064">
        <f>+O113*0.87</f>
        <v>172.54999999999998</v>
      </c>
      <c r="AB113" s="1064"/>
      <c r="AD113" s="296"/>
      <c r="AE113" s="996">
        <v>22.89</v>
      </c>
      <c r="AF113" s="996"/>
      <c r="AG113" s="996"/>
      <c r="AH113" s="296"/>
      <c r="AI113" s="1069">
        <f>+AE113/AE112</f>
        <v>0.11541952400161357</v>
      </c>
      <c r="AJ113" s="1069"/>
      <c r="AK113" s="1069"/>
      <c r="AL113" s="1068">
        <f>+AI113*AL114/AI114</f>
        <v>22.181496893347781</v>
      </c>
      <c r="AM113" s="1068"/>
      <c r="AN113" s="1068"/>
      <c r="AO113" s="1070">
        <f>+AO112/7</f>
        <v>24.883070984763968</v>
      </c>
      <c r="AP113" s="1071"/>
      <c r="AQ113" s="1072"/>
      <c r="AR113" s="267"/>
      <c r="AS113" s="267"/>
      <c r="AT113" s="267"/>
    </row>
    <row r="114" spans="2:46">
      <c r="O114" s="1053">
        <f>+O113/7</f>
        <v>28.333333333333332</v>
      </c>
      <c r="P114" s="1053"/>
      <c r="Q114" s="1053" t="s">
        <v>75</v>
      </c>
      <c r="R114" s="1053"/>
      <c r="S114" s="1053"/>
      <c r="T114" s="1053"/>
      <c r="U114" s="1053"/>
      <c r="V114" s="1053"/>
      <c r="W114" s="1053"/>
      <c r="X114" s="1053"/>
      <c r="Y114" s="1053"/>
      <c r="Z114" s="1053"/>
      <c r="AD114" s="296"/>
      <c r="AE114" s="996">
        <v>175.43</v>
      </c>
      <c r="AF114" s="996"/>
      <c r="AG114" s="996"/>
      <c r="AH114" s="296"/>
      <c r="AI114" s="1066">
        <f>1-AI113</f>
        <v>0.88458047599838641</v>
      </c>
      <c r="AJ114" s="1067"/>
      <c r="AK114" s="1067"/>
      <c r="AL114" s="1068">
        <v>170</v>
      </c>
      <c r="AM114" s="1068"/>
      <c r="AN114" s="1068"/>
      <c r="AO114" s="996"/>
      <c r="AP114" s="996"/>
      <c r="AQ114" s="996"/>
      <c r="AR114" s="267"/>
      <c r="AS114" s="267"/>
      <c r="AT114" s="267"/>
    </row>
    <row r="115" spans="2:46" ht="15.75">
      <c r="B115" s="388">
        <f>+B113</f>
        <v>25.761904761904759</v>
      </c>
      <c r="C115" s="389" t="s">
        <v>76</v>
      </c>
      <c r="D115" s="390"/>
      <c r="E115" s="390"/>
      <c r="F115" s="390"/>
      <c r="O115" s="1065">
        <f>(O113-18)/7</f>
        <v>25.761904761904759</v>
      </c>
      <c r="P115" s="1065"/>
      <c r="Q115" s="1065" t="s">
        <v>77</v>
      </c>
      <c r="R115" s="1065"/>
      <c r="S115" s="1065"/>
      <c r="T115" s="1065"/>
      <c r="U115" s="1065"/>
      <c r="V115" s="1065"/>
      <c r="W115" s="1065"/>
      <c r="X115" s="1065"/>
      <c r="Y115" s="1065"/>
      <c r="Z115" s="1065"/>
      <c r="AD115" s="296"/>
      <c r="AE115" s="996"/>
      <c r="AF115" s="996"/>
      <c r="AG115" s="996"/>
      <c r="AH115" s="296"/>
      <c r="AI115" s="1067"/>
      <c r="AJ115" s="1067"/>
      <c r="AK115" s="1067"/>
      <c r="AL115" s="296"/>
      <c r="AM115" s="385"/>
      <c r="AN115" s="385"/>
      <c r="AO115" s="385"/>
      <c r="AP115" s="386"/>
      <c r="AQ115" s="386"/>
      <c r="AR115" s="267"/>
      <c r="AS115" s="267"/>
      <c r="AT115" s="267"/>
    </row>
    <row r="116" spans="2:46">
      <c r="B116" s="168">
        <v>3</v>
      </c>
      <c r="C116" s="240" t="s">
        <v>78</v>
      </c>
      <c r="O116" s="1053">
        <v>3</v>
      </c>
      <c r="P116" s="1053"/>
      <c r="Q116" s="1053" t="s">
        <v>79</v>
      </c>
      <c r="R116" s="1053"/>
      <c r="S116" s="1053"/>
      <c r="T116" s="1053"/>
      <c r="U116" s="1053"/>
      <c r="V116" s="1053"/>
      <c r="W116" s="1053"/>
      <c r="X116" s="1053"/>
      <c r="Y116" s="1053"/>
      <c r="Z116" s="1053"/>
      <c r="AD116" s="296"/>
      <c r="AE116" s="996">
        <v>198.39</v>
      </c>
      <c r="AF116" s="996"/>
      <c r="AG116" s="996"/>
      <c r="AH116" s="296"/>
      <c r="AI116" s="1067">
        <v>198.32</v>
      </c>
      <c r="AJ116" s="1067"/>
      <c r="AK116" s="1067"/>
      <c r="AL116" s="296"/>
      <c r="AM116" s="385"/>
      <c r="AN116" s="385"/>
      <c r="AO116" s="385"/>
      <c r="AP116" s="386"/>
      <c r="AQ116" s="386"/>
      <c r="AR116" s="267"/>
      <c r="AS116" s="267"/>
      <c r="AT116" s="267"/>
    </row>
    <row r="117" spans="2:46">
      <c r="B117" s="381">
        <f>+B116+B115</f>
        <v>28.761904761904759</v>
      </c>
      <c r="C117" s="382" t="s">
        <v>80</v>
      </c>
      <c r="D117" s="393"/>
      <c r="E117" s="394"/>
      <c r="F117" s="395"/>
      <c r="G117" s="393"/>
      <c r="H117" s="393"/>
      <c r="I117" s="395"/>
      <c r="J117" s="393"/>
      <c r="K117" s="396"/>
      <c r="L117" s="396"/>
      <c r="M117" s="383"/>
      <c r="O117" s="1053">
        <f>+O116+O115</f>
        <v>28.761904761904759</v>
      </c>
      <c r="P117" s="1053"/>
      <c r="AD117" s="296"/>
      <c r="AE117" s="1073">
        <f>+AE116/7*30</f>
        <v>850.24285714285702</v>
      </c>
      <c r="AF117" s="1073"/>
      <c r="AG117" s="1073"/>
      <c r="AH117" s="296"/>
      <c r="AI117" s="1074">
        <f>+AI116/7*30</f>
        <v>849.94285714285718</v>
      </c>
      <c r="AJ117" s="1074"/>
      <c r="AK117" s="1074"/>
      <c r="AL117" s="296"/>
      <c r="AM117" s="387"/>
      <c r="AN117" s="387"/>
      <c r="AO117" s="387"/>
      <c r="AP117" s="397"/>
      <c r="AQ117" s="267"/>
      <c r="AR117" s="267"/>
      <c r="AS117" s="267"/>
      <c r="AT117" s="267"/>
    </row>
    <row r="118" spans="2:46">
      <c r="B118" s="168"/>
      <c r="AD118" s="296"/>
      <c r="AE118" s="296"/>
      <c r="AF118" s="296"/>
      <c r="AG118" s="296"/>
      <c r="AH118" s="296"/>
      <c r="AI118" s="296"/>
      <c r="AJ118" s="296"/>
      <c r="AK118" s="296"/>
      <c r="AL118" s="296"/>
      <c r="AM118" s="296"/>
      <c r="AN118" s="296"/>
      <c r="AO118" s="296"/>
      <c r="AP118" s="267"/>
      <c r="AQ118" s="267"/>
      <c r="AR118" s="267"/>
      <c r="AS118" s="267"/>
      <c r="AT118" s="267"/>
    </row>
    <row r="119" spans="2:46">
      <c r="B119" s="168">
        <f>+B117*6</f>
        <v>172.57142857142856</v>
      </c>
      <c r="C119" s="240" t="s">
        <v>81</v>
      </c>
      <c r="O119" s="1053" t="s">
        <v>82</v>
      </c>
      <c r="P119" s="1053"/>
      <c r="Q119" s="1053"/>
      <c r="R119" s="1053"/>
      <c r="S119" s="1053"/>
      <c r="T119" s="1053"/>
      <c r="U119" s="1053"/>
      <c r="V119" s="1053"/>
      <c r="W119" s="1053"/>
      <c r="X119" s="1053"/>
      <c r="Y119" s="1053"/>
      <c r="Z119" s="1053"/>
      <c r="AD119" s="296"/>
      <c r="AE119" s="296"/>
      <c r="AF119" s="296"/>
      <c r="AG119" s="296"/>
      <c r="AH119" s="296"/>
      <c r="AI119" s="385"/>
      <c r="AJ119" s="385"/>
      <c r="AK119" s="387"/>
      <c r="AL119" s="686"/>
      <c r="AM119" s="701"/>
      <c r="AN119" s="686"/>
      <c r="AO119" s="296"/>
      <c r="AP119" s="267"/>
      <c r="AQ119" s="267"/>
      <c r="AR119" s="267"/>
      <c r="AS119" s="267"/>
      <c r="AT119" s="267"/>
    </row>
    <row r="120" spans="2:46">
      <c r="B120" s="399">
        <f>+B115</f>
        <v>25.761904761904759</v>
      </c>
      <c r="C120" s="400" t="s">
        <v>83</v>
      </c>
      <c r="D120" s="401"/>
      <c r="E120" s="402"/>
      <c r="F120" s="403"/>
      <c r="G120" s="401"/>
      <c r="H120" s="401"/>
      <c r="I120" s="403"/>
      <c r="J120" s="401"/>
      <c r="K120" s="404"/>
      <c r="L120" s="405"/>
      <c r="O120" s="1053">
        <f>+O112*1.1</f>
        <v>935.00000000000011</v>
      </c>
      <c r="P120" s="1053"/>
      <c r="Q120" s="1053" t="s">
        <v>71</v>
      </c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7" t="s">
        <v>84</v>
      </c>
      <c r="AG120" s="267"/>
      <c r="AH120" s="267"/>
      <c r="AI120" s="386"/>
      <c r="AJ120" s="386"/>
      <c r="AK120" s="386"/>
      <c r="AL120" s="267"/>
      <c r="AM120" s="267"/>
      <c r="AN120" s="267"/>
      <c r="AO120" s="267"/>
    </row>
    <row r="121" spans="2:46">
      <c r="B121" s="381">
        <f>+B120+B119</f>
        <v>198.33333333333331</v>
      </c>
      <c r="C121" s="382" t="s">
        <v>85</v>
      </c>
      <c r="D121" s="393"/>
      <c r="E121" s="394"/>
      <c r="F121" s="395"/>
      <c r="G121" s="393"/>
      <c r="H121" s="393"/>
      <c r="I121" s="395"/>
      <c r="J121" s="393"/>
      <c r="K121" s="406"/>
      <c r="L121" s="405"/>
      <c r="O121" s="1053">
        <f>+O120/30*7</f>
        <v>218.16666666666669</v>
      </c>
      <c r="P121" s="1053"/>
      <c r="Q121" s="1053" t="s">
        <v>74</v>
      </c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64">
        <f>+O121*0.87</f>
        <v>189.80500000000001</v>
      </c>
      <c r="AB121" s="1064"/>
      <c r="AG121" s="267"/>
      <c r="AH121" s="267"/>
      <c r="AI121" s="386"/>
      <c r="AJ121" s="386"/>
      <c r="AK121" s="407"/>
      <c r="AL121" s="267"/>
      <c r="AM121" s="267"/>
      <c r="AN121" s="267"/>
      <c r="AO121" s="267"/>
    </row>
    <row r="122" spans="2:46">
      <c r="B122" s="408"/>
      <c r="C122" s="409"/>
      <c r="D122" s="333"/>
      <c r="E122" s="410"/>
      <c r="F122" s="411"/>
      <c r="G122" s="333"/>
      <c r="H122" s="333"/>
      <c r="I122" s="411"/>
      <c r="J122" s="333"/>
      <c r="K122" s="405"/>
      <c r="L122" s="405"/>
      <c r="O122" s="1053">
        <f>+O121/7</f>
        <v>31.166666666666668</v>
      </c>
      <c r="P122" s="1053"/>
      <c r="Q122" s="1053" t="s">
        <v>75</v>
      </c>
      <c r="R122" s="1053"/>
      <c r="S122" s="1053"/>
      <c r="T122" s="1053"/>
      <c r="U122" s="1053"/>
      <c r="V122" s="1053"/>
      <c r="W122" s="1053"/>
      <c r="X122" s="1053"/>
      <c r="Y122" s="1053"/>
      <c r="Z122" s="1053"/>
      <c r="AG122" s="267"/>
      <c r="AH122" s="267"/>
      <c r="AI122" s="412"/>
      <c r="AJ122" s="413"/>
      <c r="AK122" s="407"/>
      <c r="AL122" s="267"/>
      <c r="AM122" s="267"/>
      <c r="AN122" s="267"/>
      <c r="AO122" s="267"/>
    </row>
    <row r="123" spans="2:46" ht="15.75">
      <c r="B123" s="426">
        <f>+B121/7</f>
        <v>28.333333333333332</v>
      </c>
      <c r="C123" s="415" t="s">
        <v>86</v>
      </c>
      <c r="D123" s="416"/>
      <c r="E123" s="417"/>
      <c r="F123" s="411"/>
      <c r="G123" s="333"/>
      <c r="H123" s="333"/>
      <c r="I123" s="411"/>
      <c r="J123" s="333"/>
      <c r="K123" s="405"/>
      <c r="L123" s="405"/>
      <c r="O123" s="1065">
        <f>(O121-18)/7</f>
        <v>28.595238095238098</v>
      </c>
      <c r="P123" s="1065"/>
      <c r="Q123" s="1065" t="s">
        <v>77</v>
      </c>
      <c r="R123" s="1065"/>
      <c r="S123" s="1065"/>
      <c r="T123" s="1065"/>
      <c r="U123" s="1065"/>
      <c r="V123" s="1065"/>
      <c r="W123" s="1065"/>
      <c r="X123" s="1065"/>
      <c r="Y123" s="1065"/>
      <c r="Z123" s="1065"/>
      <c r="AG123" s="267"/>
      <c r="AH123" s="267"/>
      <c r="AI123" s="267"/>
      <c r="AJ123" s="267"/>
      <c r="AK123" s="407"/>
      <c r="AL123" s="267"/>
      <c r="AM123" s="267"/>
      <c r="AN123" s="267"/>
      <c r="AO123" s="267"/>
    </row>
    <row r="124" spans="2:46">
      <c r="B124" s="408"/>
      <c r="C124" s="409"/>
      <c r="D124" s="333"/>
      <c r="E124" s="410"/>
      <c r="F124" s="411"/>
      <c r="G124" s="333"/>
      <c r="H124" s="333"/>
      <c r="I124" s="411"/>
      <c r="J124" s="333"/>
      <c r="K124" s="405"/>
      <c r="L124" s="405"/>
      <c r="O124" s="1053">
        <v>3</v>
      </c>
      <c r="P124" s="1053"/>
      <c r="Q124" s="1053" t="s">
        <v>79</v>
      </c>
      <c r="R124" s="1053"/>
      <c r="S124" s="1053"/>
      <c r="T124" s="1053"/>
      <c r="U124" s="1053"/>
      <c r="V124" s="1053"/>
      <c r="W124" s="1053"/>
      <c r="X124" s="1053"/>
      <c r="Y124" s="1053"/>
      <c r="Z124" s="1053"/>
      <c r="AG124" s="267"/>
      <c r="AH124" s="267"/>
      <c r="AI124" s="267"/>
      <c r="AJ124" s="267"/>
      <c r="AK124" s="267"/>
      <c r="AL124" s="267"/>
      <c r="AM124" s="267"/>
      <c r="AN124" s="267"/>
      <c r="AO124" s="267"/>
    </row>
    <row r="125" spans="2:46">
      <c r="B125" s="408">
        <v>28.333333333333332</v>
      </c>
      <c r="C125" s="409"/>
      <c r="D125" s="333"/>
      <c r="E125" s="410"/>
      <c r="F125" s="411"/>
      <c r="G125" s="333"/>
      <c r="H125" s="333"/>
      <c r="I125" s="411"/>
      <c r="J125" s="333"/>
      <c r="K125" s="405"/>
      <c r="L125" s="405"/>
      <c r="O125" s="1053">
        <f>+O124+O123</f>
        <v>31.595238095238098</v>
      </c>
      <c r="P125" s="1053"/>
      <c r="AG125" s="267"/>
      <c r="AH125" s="267"/>
      <c r="AI125" s="267"/>
      <c r="AJ125" s="267"/>
      <c r="AK125" s="267"/>
      <c r="AL125" s="267"/>
      <c r="AM125" s="267"/>
      <c r="AN125" s="267"/>
      <c r="AO125" s="267"/>
    </row>
    <row r="126" spans="2:46">
      <c r="B126" s="168"/>
      <c r="AG126" s="267"/>
      <c r="AH126" s="267"/>
      <c r="AI126" s="267"/>
      <c r="AJ126" s="267"/>
      <c r="AK126" s="267"/>
      <c r="AL126" s="267"/>
      <c r="AM126" s="267"/>
      <c r="AN126" s="267"/>
      <c r="AO126" s="267"/>
    </row>
    <row r="127" spans="2:46">
      <c r="B127" s="168"/>
      <c r="AG127" s="267"/>
      <c r="AH127" s="267"/>
      <c r="AI127" s="267"/>
      <c r="AJ127" s="267"/>
      <c r="AK127" s="267"/>
      <c r="AL127" s="267"/>
      <c r="AM127" s="267"/>
      <c r="AN127" s="267"/>
      <c r="AO127" s="267"/>
    </row>
    <row r="128" spans="2:46" ht="26.25" thickBot="1">
      <c r="B128" s="377" t="s">
        <v>89</v>
      </c>
      <c r="H128" s="1052">
        <v>42922</v>
      </c>
      <c r="I128" s="1052"/>
      <c r="J128" s="1052"/>
      <c r="K128" s="1052"/>
      <c r="L128" s="1052"/>
      <c r="M128" s="1052"/>
      <c r="N128" s="1052"/>
      <c r="AD128" s="378"/>
      <c r="AE128" s="378"/>
      <c r="AF128" s="378"/>
      <c r="AG128" s="167"/>
      <c r="AH128" s="167"/>
      <c r="AI128" s="167"/>
      <c r="AJ128" s="376"/>
      <c r="AK128" s="376"/>
    </row>
    <row r="129" spans="2:46" ht="16.5" thickBot="1">
      <c r="B129" s="379">
        <v>1231.53</v>
      </c>
      <c r="C129" s="240" t="s">
        <v>67</v>
      </c>
      <c r="AD129" s="296"/>
      <c r="AE129" s="296"/>
      <c r="AF129" s="296"/>
      <c r="AG129" s="296"/>
      <c r="AH129" s="296"/>
      <c r="AI129" s="296"/>
      <c r="AJ129" s="296"/>
      <c r="AK129" s="296"/>
      <c r="AL129" s="296"/>
      <c r="AM129" s="296"/>
      <c r="AN129" s="296"/>
      <c r="AO129" s="296"/>
      <c r="AP129" s="267"/>
      <c r="AQ129" s="267"/>
      <c r="AR129" s="267"/>
      <c r="AS129" s="267"/>
      <c r="AT129" s="267"/>
    </row>
    <row r="130" spans="2:46" ht="15.75">
      <c r="B130" s="168">
        <f>+B129/30*7</f>
        <v>287.35700000000003</v>
      </c>
      <c r="C130" s="240" t="s">
        <v>68</v>
      </c>
      <c r="D130" s="380"/>
      <c r="O130" s="1053" t="s">
        <v>69</v>
      </c>
      <c r="P130" s="1053"/>
      <c r="Q130" s="1053"/>
      <c r="R130" s="1053"/>
      <c r="S130" s="1053"/>
      <c r="T130" s="1053"/>
      <c r="U130" s="1053"/>
      <c r="V130" s="1053"/>
      <c r="W130" s="1053"/>
      <c r="X130" s="1053"/>
      <c r="Y130" s="1053"/>
      <c r="Z130" s="1053"/>
      <c r="AD130" s="296"/>
      <c r="AE130" s="701"/>
      <c r="AF130" s="701"/>
      <c r="AG130" s="296"/>
      <c r="AH130" s="296"/>
      <c r="AI130" s="296"/>
      <c r="AJ130" s="701"/>
      <c r="AK130" s="701"/>
      <c r="AL130" s="296"/>
      <c r="AM130" s="296"/>
      <c r="AN130" s="296"/>
      <c r="AO130" s="296"/>
      <c r="AP130" s="267"/>
      <c r="AQ130" s="267"/>
      <c r="AR130" s="267"/>
      <c r="AS130" s="267"/>
      <c r="AT130" s="267"/>
    </row>
    <row r="131" spans="2:46">
      <c r="B131" s="168">
        <f>+B130-18</f>
        <v>269.35700000000003</v>
      </c>
      <c r="C131" s="240" t="s">
        <v>70</v>
      </c>
      <c r="O131" s="1053">
        <f>+B129</f>
        <v>1231.53</v>
      </c>
      <c r="P131" s="1053"/>
      <c r="Q131" s="1053" t="s">
        <v>71</v>
      </c>
      <c r="R131" s="1053"/>
      <c r="S131" s="1053"/>
      <c r="T131" s="1053"/>
      <c r="U131" s="1053"/>
      <c r="V131" s="1053"/>
      <c r="W131" s="1053"/>
      <c r="X131" s="1053"/>
      <c r="Y131" s="1053"/>
      <c r="Z131" s="1053"/>
      <c r="AA131" s="7" t="s">
        <v>72</v>
      </c>
      <c r="AD131" s="296"/>
      <c r="AE131" s="701"/>
      <c r="AF131" s="701"/>
      <c r="AG131" s="296"/>
      <c r="AH131" s="296"/>
      <c r="AI131" s="296"/>
      <c r="AJ131" s="701"/>
      <c r="AK131" s="701"/>
      <c r="AL131" s="296"/>
      <c r="AM131" s="296"/>
      <c r="AN131" s="296"/>
      <c r="AO131" s="296"/>
      <c r="AP131" s="267"/>
      <c r="AQ131" s="267"/>
      <c r="AR131" s="267"/>
      <c r="AS131" s="267"/>
      <c r="AT131" s="267"/>
    </row>
    <row r="132" spans="2:46">
      <c r="B132" s="381">
        <f>+B131/7+0</f>
        <v>38.479571428571433</v>
      </c>
      <c r="C132" s="382" t="s">
        <v>73</v>
      </c>
      <c r="D132" s="383"/>
      <c r="O132" s="1053">
        <f>+O131/30*7</f>
        <v>287.35700000000003</v>
      </c>
      <c r="P132" s="1053"/>
      <c r="Q132" s="1053" t="s">
        <v>74</v>
      </c>
      <c r="R132" s="1053"/>
      <c r="S132" s="1053"/>
      <c r="T132" s="1053"/>
      <c r="U132" s="1053"/>
      <c r="V132" s="1053"/>
      <c r="W132" s="1053"/>
      <c r="X132" s="1053"/>
      <c r="Y132" s="1053"/>
      <c r="Z132" s="1053"/>
      <c r="AA132" s="1064">
        <f>+O132*0.87</f>
        <v>250.00059000000002</v>
      </c>
      <c r="AB132" s="1064"/>
      <c r="AD132" s="296"/>
      <c r="AE132" s="384"/>
      <c r="AF132" s="384"/>
      <c r="AG132" s="296"/>
      <c r="AH132" s="296"/>
      <c r="AI132" s="296"/>
      <c r="AJ132" s="384"/>
      <c r="AK132" s="384"/>
      <c r="AL132" s="385"/>
      <c r="AM132" s="385"/>
      <c r="AN132" s="385"/>
      <c r="AO132" s="385"/>
      <c r="AP132" s="386"/>
      <c r="AQ132" s="386"/>
      <c r="AR132" s="267"/>
      <c r="AS132" s="267"/>
      <c r="AT132" s="267"/>
    </row>
    <row r="133" spans="2:46">
      <c r="O133" s="1053">
        <f>+O132/7</f>
        <v>41.051000000000002</v>
      </c>
      <c r="P133" s="1053"/>
      <c r="Q133" s="1053" t="s">
        <v>75</v>
      </c>
      <c r="R133" s="1053"/>
      <c r="S133" s="1053"/>
      <c r="T133" s="1053"/>
      <c r="U133" s="1053"/>
      <c r="V133" s="1053"/>
      <c r="W133" s="1053"/>
      <c r="X133" s="1053"/>
      <c r="Y133" s="1053"/>
      <c r="Z133" s="1053"/>
      <c r="AD133" s="296"/>
      <c r="AE133" s="701"/>
      <c r="AF133" s="701"/>
      <c r="AG133" s="296"/>
      <c r="AH133" s="296"/>
      <c r="AI133" s="296"/>
      <c r="AJ133" s="701"/>
      <c r="AK133" s="701"/>
      <c r="AL133" s="387"/>
      <c r="AM133" s="387"/>
      <c r="AN133" s="385"/>
      <c r="AO133" s="385"/>
      <c r="AP133" s="386"/>
      <c r="AQ133" s="386"/>
      <c r="AR133" s="267"/>
      <c r="AS133" s="267"/>
      <c r="AT133" s="267"/>
    </row>
    <row r="134" spans="2:46" ht="15.75">
      <c r="B134" s="427">
        <f>+B132</f>
        <v>38.479571428571433</v>
      </c>
      <c r="C134" s="389" t="s">
        <v>76</v>
      </c>
      <c r="D134" s="390"/>
      <c r="E134" s="390"/>
      <c r="F134" s="390"/>
      <c r="O134" s="1065">
        <f>(O132-18)/7</f>
        <v>38.479571428571433</v>
      </c>
      <c r="P134" s="1065"/>
      <c r="Q134" s="1065" t="s">
        <v>77</v>
      </c>
      <c r="R134" s="1065"/>
      <c r="S134" s="1065"/>
      <c r="T134" s="1065"/>
      <c r="U134" s="1065"/>
      <c r="V134" s="1065"/>
      <c r="W134" s="1065"/>
      <c r="X134" s="1065"/>
      <c r="Y134" s="1065"/>
      <c r="Z134" s="1065"/>
      <c r="AD134" s="296"/>
      <c r="AE134" s="391"/>
      <c r="AF134" s="391"/>
      <c r="AG134" s="392"/>
      <c r="AH134" s="392"/>
      <c r="AI134" s="392"/>
      <c r="AJ134" s="391"/>
      <c r="AK134" s="391"/>
      <c r="AL134" s="385"/>
      <c r="AM134" s="385"/>
      <c r="AN134" s="385"/>
      <c r="AO134" s="385"/>
      <c r="AP134" s="386"/>
      <c r="AQ134" s="386"/>
      <c r="AR134" s="267"/>
      <c r="AS134" s="267"/>
      <c r="AT134" s="267"/>
    </row>
    <row r="135" spans="2:46">
      <c r="B135" s="168">
        <v>3</v>
      </c>
      <c r="C135" s="240" t="s">
        <v>78</v>
      </c>
      <c r="O135" s="1053">
        <v>3</v>
      </c>
      <c r="P135" s="1053"/>
      <c r="Q135" s="1053" t="s">
        <v>79</v>
      </c>
      <c r="R135" s="1053"/>
      <c r="S135" s="1053"/>
      <c r="T135" s="1053"/>
      <c r="U135" s="1053"/>
      <c r="V135" s="1053"/>
      <c r="W135" s="1053"/>
      <c r="X135" s="1053"/>
      <c r="Y135" s="1053"/>
      <c r="Z135" s="1053"/>
      <c r="AD135" s="296"/>
      <c r="AE135" s="296"/>
      <c r="AF135" s="391"/>
      <c r="AG135" s="392"/>
      <c r="AH135" s="392"/>
      <c r="AI135" s="392"/>
      <c r="AJ135" s="391"/>
      <c r="AK135" s="296"/>
      <c r="AL135" s="385"/>
      <c r="AM135" s="385"/>
      <c r="AN135" s="385"/>
      <c r="AO135" s="385"/>
      <c r="AP135" s="386"/>
      <c r="AQ135" s="386"/>
      <c r="AR135" s="267"/>
      <c r="AS135" s="267"/>
      <c r="AT135" s="267"/>
    </row>
    <row r="136" spans="2:46">
      <c r="B136" s="381">
        <f>+B135+B134</f>
        <v>41.479571428571433</v>
      </c>
      <c r="C136" s="382" t="s">
        <v>80</v>
      </c>
      <c r="D136" s="393"/>
      <c r="E136" s="394"/>
      <c r="F136" s="395"/>
      <c r="G136" s="393"/>
      <c r="H136" s="393"/>
      <c r="I136" s="395"/>
      <c r="J136" s="393"/>
      <c r="K136" s="396"/>
      <c r="L136" s="396"/>
      <c r="M136" s="383"/>
      <c r="O136" s="1053">
        <f>+O135+O134</f>
        <v>41.479571428571433</v>
      </c>
      <c r="P136" s="1053"/>
      <c r="AD136" s="296"/>
      <c r="AE136" s="701"/>
      <c r="AF136" s="701"/>
      <c r="AG136" s="296"/>
      <c r="AH136" s="296"/>
      <c r="AI136" s="296"/>
      <c r="AJ136" s="701"/>
      <c r="AK136" s="701"/>
      <c r="AL136" s="387"/>
      <c r="AM136" s="387"/>
      <c r="AN136" s="387"/>
      <c r="AO136" s="387"/>
      <c r="AP136" s="397"/>
      <c r="AQ136" s="267"/>
      <c r="AR136" s="267"/>
      <c r="AS136" s="267"/>
      <c r="AT136" s="267"/>
    </row>
    <row r="137" spans="2:46">
      <c r="B137" s="168"/>
      <c r="AD137" s="296"/>
      <c r="AE137" s="398"/>
      <c r="AF137" s="398"/>
      <c r="AG137" s="398"/>
      <c r="AH137" s="296"/>
      <c r="AI137" s="296"/>
      <c r="AJ137" s="398"/>
      <c r="AK137" s="398"/>
      <c r="AL137" s="385"/>
      <c r="AM137" s="296"/>
      <c r="AN137" s="296"/>
      <c r="AO137" s="296"/>
      <c r="AP137" s="267"/>
      <c r="AQ137" s="267"/>
      <c r="AR137" s="267"/>
      <c r="AS137" s="267"/>
      <c r="AT137" s="267"/>
    </row>
    <row r="138" spans="2:46">
      <c r="B138" s="168">
        <f>+B136*6</f>
        <v>248.8774285714286</v>
      </c>
      <c r="C138" s="240" t="s">
        <v>81</v>
      </c>
      <c r="O138" s="1053" t="s">
        <v>82</v>
      </c>
      <c r="P138" s="1053"/>
      <c r="Q138" s="1053"/>
      <c r="R138" s="1053"/>
      <c r="S138" s="1053"/>
      <c r="T138" s="1053"/>
      <c r="U138" s="1053"/>
      <c r="V138" s="1053"/>
      <c r="W138" s="1053"/>
      <c r="X138" s="1053"/>
      <c r="Y138" s="1053"/>
      <c r="Z138" s="1053"/>
      <c r="AD138" s="296"/>
      <c r="AE138" s="296"/>
      <c r="AF138" s="296"/>
      <c r="AG138" s="296"/>
      <c r="AH138" s="296"/>
      <c r="AI138" s="385"/>
      <c r="AJ138" s="385"/>
      <c r="AK138" s="387"/>
      <c r="AL138" s="686"/>
      <c r="AM138" s="701"/>
      <c r="AN138" s="686"/>
      <c r="AO138" s="296"/>
      <c r="AP138" s="267"/>
      <c r="AQ138" s="267"/>
      <c r="AR138" s="267"/>
      <c r="AS138" s="267"/>
      <c r="AT138" s="267"/>
    </row>
    <row r="139" spans="2:46">
      <c r="B139" s="399">
        <f>+B134</f>
        <v>38.479571428571433</v>
      </c>
      <c r="C139" s="400" t="s">
        <v>83</v>
      </c>
      <c r="D139" s="401"/>
      <c r="E139" s="402"/>
      <c r="F139" s="403"/>
      <c r="G139" s="401"/>
      <c r="H139" s="401"/>
      <c r="I139" s="403"/>
      <c r="J139" s="401"/>
      <c r="K139" s="404"/>
      <c r="L139" s="405"/>
      <c r="O139" s="1053">
        <f>+O131*1.1</f>
        <v>1354.683</v>
      </c>
      <c r="P139" s="1053"/>
      <c r="Q139" s="1053" t="s">
        <v>71</v>
      </c>
      <c r="R139" s="1053"/>
      <c r="S139" s="1053"/>
      <c r="T139" s="1053"/>
      <c r="U139" s="1053"/>
      <c r="V139" s="1053"/>
      <c r="W139" s="1053"/>
      <c r="X139" s="1053"/>
      <c r="Y139" s="1053"/>
      <c r="Z139" s="1053"/>
      <c r="AA139" s="7" t="s">
        <v>84</v>
      </c>
      <c r="AG139" s="267"/>
      <c r="AH139" s="267"/>
      <c r="AI139" s="386"/>
      <c r="AJ139" s="386"/>
      <c r="AK139" s="386"/>
      <c r="AL139" s="267"/>
      <c r="AM139" s="267"/>
      <c r="AN139" s="267"/>
      <c r="AO139" s="267"/>
    </row>
    <row r="140" spans="2:46">
      <c r="B140" s="381">
        <f>+B139+B138</f>
        <v>287.35700000000003</v>
      </c>
      <c r="C140" s="382" t="s">
        <v>85</v>
      </c>
      <c r="D140" s="393"/>
      <c r="E140" s="394"/>
      <c r="F140" s="395"/>
      <c r="G140" s="393"/>
      <c r="H140" s="393"/>
      <c r="I140" s="395"/>
      <c r="J140" s="393"/>
      <c r="K140" s="406"/>
      <c r="L140" s="405"/>
      <c r="O140" s="1053">
        <f>+O139/30*7</f>
        <v>316.09270000000004</v>
      </c>
      <c r="P140" s="1053"/>
      <c r="Q140" s="1053" t="s">
        <v>74</v>
      </c>
      <c r="R140" s="1053"/>
      <c r="S140" s="1053"/>
      <c r="T140" s="1053"/>
      <c r="U140" s="1053"/>
      <c r="V140" s="1053"/>
      <c r="W140" s="1053"/>
      <c r="X140" s="1053"/>
      <c r="Y140" s="1053"/>
      <c r="Z140" s="1053"/>
      <c r="AA140" s="1064">
        <f>+O140*0.87</f>
        <v>275.00064900000001</v>
      </c>
      <c r="AB140" s="1064"/>
      <c r="AG140" s="267"/>
      <c r="AH140" s="267"/>
      <c r="AI140" s="386"/>
      <c r="AJ140" s="386"/>
      <c r="AK140" s="407"/>
      <c r="AL140" s="267"/>
      <c r="AM140" s="267"/>
      <c r="AN140" s="267"/>
      <c r="AO140" s="267"/>
    </row>
    <row r="141" spans="2:46">
      <c r="B141" s="408"/>
      <c r="C141" s="409"/>
      <c r="D141" s="333"/>
      <c r="E141" s="410"/>
      <c r="F141" s="411"/>
      <c r="G141" s="333"/>
      <c r="H141" s="333"/>
      <c r="I141" s="411"/>
      <c r="J141" s="333"/>
      <c r="K141" s="405"/>
      <c r="L141" s="405"/>
      <c r="O141" s="1053">
        <f>+O140/7</f>
        <v>45.156100000000002</v>
      </c>
      <c r="P141" s="1053"/>
      <c r="Q141" s="1053" t="s">
        <v>75</v>
      </c>
      <c r="R141" s="1053"/>
      <c r="S141" s="1053"/>
      <c r="T141" s="1053"/>
      <c r="U141" s="1053"/>
      <c r="V141" s="1053"/>
      <c r="W141" s="1053"/>
      <c r="X141" s="1053"/>
      <c r="Y141" s="1053"/>
      <c r="Z141" s="1053"/>
      <c r="AG141" s="267"/>
      <c r="AH141" s="267"/>
      <c r="AI141" s="412"/>
      <c r="AJ141" s="413"/>
      <c r="AK141" s="407"/>
      <c r="AL141" s="267"/>
      <c r="AM141" s="267"/>
      <c r="AN141" s="267"/>
      <c r="AO141" s="267"/>
    </row>
    <row r="142" spans="2:46" ht="15.75">
      <c r="B142" s="426">
        <f>+B140/7</f>
        <v>41.051000000000002</v>
      </c>
      <c r="C142" s="415" t="s">
        <v>86</v>
      </c>
      <c r="D142" s="416"/>
      <c r="E142" s="417"/>
      <c r="F142" s="418"/>
      <c r="G142" s="419"/>
      <c r="H142" s="419"/>
      <c r="I142" s="411"/>
      <c r="J142" s="333"/>
      <c r="K142" s="405"/>
      <c r="L142" s="405"/>
      <c r="O142" s="1065">
        <f>(O140-18)/7</f>
        <v>42.584671428571433</v>
      </c>
      <c r="P142" s="1065"/>
      <c r="Q142" s="1065" t="s">
        <v>77</v>
      </c>
      <c r="R142" s="1065"/>
      <c r="S142" s="1065"/>
      <c r="T142" s="1065"/>
      <c r="U142" s="1065"/>
      <c r="V142" s="1065"/>
      <c r="W142" s="1065"/>
      <c r="X142" s="1065"/>
      <c r="Y142" s="1065"/>
      <c r="Z142" s="1065"/>
      <c r="AG142" s="267"/>
      <c r="AH142" s="267"/>
      <c r="AI142" s="267"/>
      <c r="AJ142" s="267"/>
      <c r="AK142" s="407"/>
      <c r="AL142" s="267"/>
      <c r="AM142" s="267"/>
      <c r="AN142" s="267"/>
      <c r="AO142" s="267"/>
    </row>
    <row r="143" spans="2:46">
      <c r="B143" s="408"/>
      <c r="C143" s="409"/>
      <c r="D143" s="333"/>
      <c r="E143" s="410"/>
      <c r="F143" s="411"/>
      <c r="G143" s="333"/>
      <c r="H143" s="333"/>
      <c r="I143" s="411"/>
      <c r="J143" s="333"/>
      <c r="K143" s="405"/>
      <c r="L143" s="405"/>
      <c r="O143" s="1053">
        <v>3</v>
      </c>
      <c r="P143" s="1053"/>
      <c r="Q143" s="1053" t="s">
        <v>79</v>
      </c>
      <c r="R143" s="1053"/>
      <c r="S143" s="1053"/>
      <c r="T143" s="1053"/>
      <c r="U143" s="1053"/>
      <c r="V143" s="1053"/>
      <c r="W143" s="1053"/>
      <c r="X143" s="1053"/>
      <c r="Y143" s="1053"/>
      <c r="Z143" s="1053"/>
      <c r="AG143" s="267"/>
      <c r="AH143" s="267"/>
      <c r="AI143" s="267"/>
      <c r="AJ143" s="267"/>
      <c r="AK143" s="267"/>
      <c r="AL143" s="267"/>
      <c r="AM143" s="267"/>
      <c r="AN143" s="267"/>
      <c r="AO143" s="267"/>
    </row>
    <row r="144" spans="2:46">
      <c r="B144" s="408"/>
      <c r="C144" s="409"/>
      <c r="D144" s="333"/>
      <c r="E144" s="410"/>
      <c r="F144" s="411"/>
      <c r="G144" s="333"/>
      <c r="H144" s="333"/>
      <c r="I144" s="411"/>
      <c r="J144" s="333"/>
      <c r="K144" s="405"/>
      <c r="L144" s="405"/>
      <c r="O144" s="1053">
        <f>+O143+O142</f>
        <v>45.584671428571433</v>
      </c>
      <c r="P144" s="1053"/>
      <c r="AG144" s="267"/>
      <c r="AH144" s="267"/>
      <c r="AI144" s="267"/>
      <c r="AJ144" s="267"/>
      <c r="AK144" s="267"/>
      <c r="AL144" s="267"/>
      <c r="AM144" s="267"/>
      <c r="AN144" s="267"/>
      <c r="AO144" s="267"/>
    </row>
    <row r="145" spans="2:46">
      <c r="B145" s="168"/>
      <c r="AG145" s="267"/>
      <c r="AH145" s="267"/>
      <c r="AI145" s="267"/>
      <c r="AJ145" s="267"/>
      <c r="AK145" s="267"/>
      <c r="AL145" s="267"/>
      <c r="AM145" s="267"/>
      <c r="AN145" s="267"/>
      <c r="AO145" s="267"/>
    </row>
    <row r="146" spans="2:46" ht="26.25" thickBot="1">
      <c r="B146" s="377" t="s">
        <v>53</v>
      </c>
      <c r="H146" s="1052">
        <v>42744</v>
      </c>
      <c r="I146" s="1052"/>
      <c r="J146" s="1052"/>
      <c r="K146" s="1052"/>
      <c r="L146" s="1052"/>
      <c r="M146" s="1052"/>
      <c r="N146" s="1052"/>
      <c r="AD146" s="378"/>
      <c r="AE146" s="378"/>
      <c r="AF146" s="378"/>
      <c r="AG146" s="167"/>
      <c r="AH146" s="167"/>
      <c r="AI146" s="167"/>
      <c r="AJ146" s="376"/>
      <c r="AK146" s="376"/>
    </row>
    <row r="147" spans="2:46" ht="16.5" thickBot="1">
      <c r="B147" s="379">
        <v>1232.1400000000001</v>
      </c>
      <c r="C147" s="240" t="s">
        <v>67</v>
      </c>
      <c r="AD147" s="296"/>
      <c r="AE147" s="296"/>
      <c r="AF147" s="296"/>
      <c r="AG147" s="296"/>
      <c r="AH147" s="296"/>
      <c r="AI147" s="296"/>
      <c r="AJ147" s="296"/>
      <c r="AK147" s="296"/>
      <c r="AL147" s="296"/>
      <c r="AM147" s="296"/>
      <c r="AN147" s="296"/>
      <c r="AO147" s="296"/>
      <c r="AP147" s="267"/>
      <c r="AQ147" s="267"/>
      <c r="AR147" s="267"/>
      <c r="AS147" s="267"/>
      <c r="AT147" s="267"/>
    </row>
    <row r="148" spans="2:46" ht="15.75">
      <c r="B148" s="168">
        <f>+B147/30*7</f>
        <v>287.49933333333337</v>
      </c>
      <c r="C148" s="240" t="s">
        <v>68</v>
      </c>
      <c r="D148" s="380"/>
      <c r="O148" s="1053" t="s">
        <v>69</v>
      </c>
      <c r="P148" s="1053"/>
      <c r="Q148" s="1053"/>
      <c r="R148" s="1053"/>
      <c r="S148" s="1053"/>
      <c r="T148" s="1053"/>
      <c r="U148" s="1053"/>
      <c r="V148" s="1053"/>
      <c r="W148" s="1053"/>
      <c r="X148" s="1053"/>
      <c r="Y148" s="1053"/>
      <c r="Z148" s="1053"/>
      <c r="AD148" s="296"/>
      <c r="AE148" s="701"/>
      <c r="AF148" s="701"/>
      <c r="AG148" s="296"/>
      <c r="AH148" s="296"/>
      <c r="AI148" s="296"/>
      <c r="AJ148" s="701"/>
      <c r="AK148" s="701"/>
      <c r="AL148" s="296"/>
      <c r="AM148" s="296"/>
      <c r="AN148" s="296"/>
      <c r="AO148" s="296"/>
      <c r="AP148" s="267"/>
      <c r="AQ148" s="267"/>
      <c r="AR148" s="267"/>
      <c r="AS148" s="267"/>
      <c r="AT148" s="267"/>
    </row>
    <row r="149" spans="2:46">
      <c r="B149" s="168">
        <f>+B148-18</f>
        <v>269.49933333333337</v>
      </c>
      <c r="C149" s="240" t="s">
        <v>70</v>
      </c>
      <c r="O149" s="1053">
        <f>+B147</f>
        <v>1232.1400000000001</v>
      </c>
      <c r="P149" s="1053"/>
      <c r="Q149" s="1053" t="s">
        <v>71</v>
      </c>
      <c r="R149" s="1053"/>
      <c r="S149" s="1053"/>
      <c r="T149" s="1053"/>
      <c r="U149" s="1053"/>
      <c r="V149" s="1053"/>
      <c r="W149" s="1053"/>
      <c r="X149" s="1053"/>
      <c r="Y149" s="1053"/>
      <c r="Z149" s="1053"/>
      <c r="AA149" s="7" t="s">
        <v>72</v>
      </c>
      <c r="AD149" s="296"/>
      <c r="AE149" s="701"/>
      <c r="AF149" s="701"/>
      <c r="AG149" s="296"/>
      <c r="AH149" s="296"/>
      <c r="AI149" s="296"/>
      <c r="AJ149" s="701"/>
      <c r="AK149" s="701"/>
      <c r="AL149" s="296"/>
      <c r="AM149" s="296"/>
      <c r="AN149" s="296"/>
      <c r="AO149" s="296"/>
      <c r="AP149" s="267"/>
      <c r="AQ149" s="267"/>
      <c r="AR149" s="267"/>
      <c r="AS149" s="267"/>
      <c r="AT149" s="267"/>
    </row>
    <row r="150" spans="2:46">
      <c r="B150" s="381">
        <f>+B149/7+0</f>
        <v>38.499904761904766</v>
      </c>
      <c r="C150" s="382" t="s">
        <v>73</v>
      </c>
      <c r="D150" s="383"/>
      <c r="O150" s="1053">
        <f>+O149/30*7</f>
        <v>287.49933333333337</v>
      </c>
      <c r="P150" s="1053"/>
      <c r="Q150" s="1053" t="s">
        <v>74</v>
      </c>
      <c r="R150" s="1053"/>
      <c r="S150" s="1053"/>
      <c r="T150" s="1053"/>
      <c r="U150" s="1053"/>
      <c r="V150" s="1053"/>
      <c r="W150" s="1053"/>
      <c r="X150" s="1053"/>
      <c r="Y150" s="1053"/>
      <c r="Z150" s="1053"/>
      <c r="AA150" s="1064">
        <f>+O150*0.87</f>
        <v>250.12442000000001</v>
      </c>
      <c r="AB150" s="1064"/>
      <c r="AD150" s="296"/>
      <c r="AE150" s="384"/>
      <c r="AF150" s="384"/>
      <c r="AG150" s="296"/>
      <c r="AH150" s="296"/>
      <c r="AI150" s="296"/>
      <c r="AJ150" s="384"/>
      <c r="AK150" s="384"/>
      <c r="AL150" s="385"/>
      <c r="AM150" s="385"/>
      <c r="AN150" s="385"/>
      <c r="AO150" s="385"/>
      <c r="AP150" s="386"/>
      <c r="AQ150" s="386"/>
      <c r="AR150" s="267"/>
      <c r="AS150" s="267"/>
      <c r="AT150" s="267"/>
    </row>
    <row r="151" spans="2:46">
      <c r="O151" s="1053">
        <f>+O150/7</f>
        <v>41.071333333333335</v>
      </c>
      <c r="P151" s="1053"/>
      <c r="Q151" s="1053" t="s">
        <v>75</v>
      </c>
      <c r="R151" s="1053"/>
      <c r="S151" s="1053"/>
      <c r="T151" s="1053"/>
      <c r="U151" s="1053"/>
      <c r="V151" s="1053"/>
      <c r="W151" s="1053"/>
      <c r="X151" s="1053"/>
      <c r="Y151" s="1053"/>
      <c r="Z151" s="1053"/>
      <c r="AD151" s="296"/>
      <c r="AE151" s="701"/>
      <c r="AF151" s="701"/>
      <c r="AG151" s="296"/>
      <c r="AH151" s="296"/>
      <c r="AI151" s="296"/>
      <c r="AJ151" s="701"/>
      <c r="AK151" s="701"/>
      <c r="AL151" s="387"/>
      <c r="AM151" s="387"/>
      <c r="AN151" s="385"/>
      <c r="AO151" s="385"/>
      <c r="AP151" s="386"/>
      <c r="AQ151" s="386"/>
      <c r="AR151" s="267"/>
      <c r="AS151" s="267"/>
      <c r="AT151" s="267"/>
    </row>
    <row r="152" spans="2:46" ht="15.75">
      <c r="B152" s="427">
        <f>+B150</f>
        <v>38.499904761904766</v>
      </c>
      <c r="C152" s="389" t="s">
        <v>76</v>
      </c>
      <c r="D152" s="390"/>
      <c r="E152" s="390"/>
      <c r="F152" s="390"/>
      <c r="O152" s="1065">
        <f>(O150-18)/7</f>
        <v>38.499904761904766</v>
      </c>
      <c r="P152" s="1065"/>
      <c r="Q152" s="1065" t="s">
        <v>77</v>
      </c>
      <c r="R152" s="1065"/>
      <c r="S152" s="1065"/>
      <c r="T152" s="1065"/>
      <c r="U152" s="1065"/>
      <c r="V152" s="1065"/>
      <c r="W152" s="1065"/>
      <c r="X152" s="1065"/>
      <c r="Y152" s="1065"/>
      <c r="Z152" s="1065"/>
      <c r="AD152" s="296"/>
      <c r="AE152" s="391"/>
      <c r="AF152" s="391"/>
      <c r="AG152" s="392"/>
      <c r="AH152" s="392"/>
      <c r="AI152" s="392"/>
      <c r="AJ152" s="391"/>
      <c r="AK152" s="391"/>
      <c r="AL152" s="385"/>
      <c r="AM152" s="385"/>
      <c r="AN152" s="385"/>
      <c r="AO152" s="385"/>
      <c r="AP152" s="386"/>
      <c r="AQ152" s="386"/>
      <c r="AR152" s="267"/>
      <c r="AS152" s="267"/>
      <c r="AT152" s="267"/>
    </row>
    <row r="153" spans="2:46">
      <c r="B153" s="168">
        <v>3</v>
      </c>
      <c r="C153" s="240" t="s">
        <v>78</v>
      </c>
      <c r="O153" s="1053">
        <v>3</v>
      </c>
      <c r="P153" s="1053"/>
      <c r="Q153" s="1053" t="s">
        <v>79</v>
      </c>
      <c r="R153" s="1053"/>
      <c r="S153" s="1053"/>
      <c r="T153" s="1053"/>
      <c r="U153" s="1053"/>
      <c r="V153" s="1053"/>
      <c r="W153" s="1053"/>
      <c r="X153" s="1053"/>
      <c r="Y153" s="1053"/>
      <c r="Z153" s="1053"/>
      <c r="AD153" s="296"/>
      <c r="AE153" s="296"/>
      <c r="AF153" s="996">
        <v>993814365</v>
      </c>
      <c r="AG153" s="996"/>
      <c r="AH153" s="996"/>
      <c r="AI153" s="996"/>
      <c r="AJ153" s="996"/>
      <c r="AK153" s="296"/>
      <c r="AL153" s="385"/>
      <c r="AM153" s="385"/>
      <c r="AN153" s="385"/>
      <c r="AO153" s="385"/>
      <c r="AP153" s="386"/>
      <c r="AQ153" s="386"/>
      <c r="AR153" s="267"/>
      <c r="AS153" s="267"/>
      <c r="AT153" s="267"/>
    </row>
    <row r="154" spans="2:46">
      <c r="B154" s="381">
        <f>+B153+B152</f>
        <v>41.499904761904766</v>
      </c>
      <c r="C154" s="382" t="s">
        <v>80</v>
      </c>
      <c r="D154" s="393"/>
      <c r="E154" s="394"/>
      <c r="F154" s="395"/>
      <c r="G154" s="393"/>
      <c r="H154" s="393"/>
      <c r="I154" s="395"/>
      <c r="J154" s="393"/>
      <c r="K154" s="396"/>
      <c r="L154" s="396"/>
      <c r="M154" s="383"/>
      <c r="O154" s="1053">
        <f>+O153+O152</f>
        <v>41.499904761904766</v>
      </c>
      <c r="P154" s="1053"/>
      <c r="AD154" s="296"/>
      <c r="AE154" s="701"/>
      <c r="AF154" s="701"/>
      <c r="AG154" s="296"/>
      <c r="AH154" s="296"/>
      <c r="AI154" s="296"/>
      <c r="AJ154" s="701"/>
      <c r="AK154" s="701"/>
      <c r="AL154" s="387"/>
      <c r="AM154" s="387"/>
      <c r="AN154" s="387"/>
      <c r="AO154" s="387"/>
      <c r="AP154" s="397"/>
      <c r="AQ154" s="267"/>
      <c r="AR154" s="267"/>
      <c r="AS154" s="267"/>
      <c r="AT154" s="267"/>
    </row>
    <row r="155" spans="2:46">
      <c r="B155" s="168"/>
      <c r="AD155" s="296"/>
      <c r="AE155" s="398"/>
      <c r="AF155" s="398"/>
      <c r="AG155" s="398"/>
      <c r="AH155" s="296"/>
      <c r="AI155" s="296"/>
      <c r="AJ155" s="398"/>
      <c r="AK155" s="398"/>
      <c r="AL155" s="385"/>
      <c r="AM155" s="296"/>
      <c r="AN155" s="296"/>
      <c r="AO155" s="296"/>
      <c r="AP155" s="267"/>
      <c r="AQ155" s="267"/>
      <c r="AR155" s="267"/>
      <c r="AS155" s="267"/>
      <c r="AT155" s="267"/>
    </row>
    <row r="156" spans="2:46">
      <c r="B156" s="168">
        <f>+B154*6</f>
        <v>248.99942857142861</v>
      </c>
      <c r="C156" s="240" t="s">
        <v>81</v>
      </c>
      <c r="O156" s="1053" t="s">
        <v>82</v>
      </c>
      <c r="P156" s="1053"/>
      <c r="Q156" s="1053"/>
      <c r="R156" s="1053"/>
      <c r="S156" s="1053"/>
      <c r="T156" s="1053"/>
      <c r="U156" s="1053"/>
      <c r="V156" s="1053"/>
      <c r="W156" s="1053"/>
      <c r="X156" s="1053"/>
      <c r="Y156" s="1053"/>
      <c r="Z156" s="1053"/>
      <c r="AD156" s="296"/>
      <c r="AE156" s="296"/>
      <c r="AF156" s="296"/>
      <c r="AG156" s="296"/>
      <c r="AH156" s="296"/>
      <c r="AI156" s="385"/>
      <c r="AJ156" s="385"/>
      <c r="AK156" s="387"/>
      <c r="AL156" s="686"/>
      <c r="AM156" s="701"/>
      <c r="AN156" s="686"/>
      <c r="AO156" s="296"/>
      <c r="AP156" s="267"/>
      <c r="AQ156" s="267"/>
      <c r="AR156" s="267"/>
      <c r="AS156" s="267"/>
      <c r="AT156" s="267"/>
    </row>
    <row r="157" spans="2:46">
      <c r="B157" s="399">
        <f>+B152</f>
        <v>38.499904761904766</v>
      </c>
      <c r="C157" s="400" t="s">
        <v>83</v>
      </c>
      <c r="D157" s="401"/>
      <c r="E157" s="402"/>
      <c r="F157" s="403"/>
      <c r="G157" s="401"/>
      <c r="H157" s="401"/>
      <c r="I157" s="403"/>
      <c r="J157" s="401"/>
      <c r="K157" s="404"/>
      <c r="L157" s="405"/>
      <c r="O157" s="1053">
        <f>+O149*1.1</f>
        <v>1355.3540000000003</v>
      </c>
      <c r="P157" s="1053"/>
      <c r="Q157" s="1053" t="s">
        <v>71</v>
      </c>
      <c r="R157" s="1053"/>
      <c r="S157" s="1053"/>
      <c r="T157" s="1053"/>
      <c r="U157" s="1053"/>
      <c r="V157" s="1053"/>
      <c r="W157" s="1053"/>
      <c r="X157" s="1053"/>
      <c r="Y157" s="1053"/>
      <c r="Z157" s="1053"/>
      <c r="AA157" s="7" t="s">
        <v>84</v>
      </c>
      <c r="AG157" s="267"/>
      <c r="AH157" s="267"/>
      <c r="AI157" s="386"/>
      <c r="AJ157" s="386"/>
      <c r="AK157" s="386"/>
      <c r="AL157" s="267"/>
      <c r="AM157" s="267"/>
      <c r="AN157" s="267"/>
      <c r="AO157" s="267"/>
    </row>
    <row r="158" spans="2:46">
      <c r="B158" s="381">
        <f>+B157+B156</f>
        <v>287.49933333333337</v>
      </c>
      <c r="C158" s="382" t="s">
        <v>85</v>
      </c>
      <c r="D158" s="393"/>
      <c r="E158" s="394"/>
      <c r="F158" s="395"/>
      <c r="G158" s="393"/>
      <c r="H158" s="393"/>
      <c r="I158" s="395"/>
      <c r="J158" s="393"/>
      <c r="K158" s="406"/>
      <c r="L158" s="405"/>
      <c r="O158" s="1053">
        <f>+O157/30*7</f>
        <v>316.2492666666667</v>
      </c>
      <c r="P158" s="1053"/>
      <c r="Q158" s="1053" t="s">
        <v>74</v>
      </c>
      <c r="R158" s="1053"/>
      <c r="S158" s="1053"/>
      <c r="T158" s="1053"/>
      <c r="U158" s="1053"/>
      <c r="V158" s="1053"/>
      <c r="W158" s="1053"/>
      <c r="X158" s="1053"/>
      <c r="Y158" s="1053"/>
      <c r="Z158" s="1053"/>
      <c r="AA158" s="1064">
        <f>+O158*0.87</f>
        <v>275.13686200000001</v>
      </c>
      <c r="AB158" s="1064"/>
      <c r="AG158" s="267"/>
      <c r="AH158" s="267"/>
      <c r="AI158" s="386"/>
      <c r="AJ158" s="386"/>
      <c r="AK158" s="407"/>
      <c r="AL158" s="267"/>
      <c r="AM158" s="267"/>
      <c r="AN158" s="267"/>
      <c r="AO158" s="267"/>
    </row>
    <row r="159" spans="2:46">
      <c r="B159" s="408"/>
      <c r="C159" s="409"/>
      <c r="D159" s="333"/>
      <c r="E159" s="410"/>
      <c r="F159" s="411"/>
      <c r="G159" s="333"/>
      <c r="H159" s="333"/>
      <c r="I159" s="411"/>
      <c r="J159" s="333"/>
      <c r="K159" s="405"/>
      <c r="L159" s="405"/>
      <c r="O159" s="1053">
        <f>+O158/7</f>
        <v>45.178466666666672</v>
      </c>
      <c r="P159" s="1053"/>
      <c r="Q159" s="1053" t="s">
        <v>75</v>
      </c>
      <c r="R159" s="1053"/>
      <c r="S159" s="1053"/>
      <c r="T159" s="1053"/>
      <c r="U159" s="1053"/>
      <c r="V159" s="1053"/>
      <c r="W159" s="1053"/>
      <c r="X159" s="1053"/>
      <c r="Y159" s="1053"/>
      <c r="Z159" s="1053"/>
      <c r="AG159" s="267"/>
      <c r="AH159" s="267"/>
      <c r="AI159" s="412"/>
      <c r="AJ159" s="413"/>
      <c r="AK159" s="407"/>
      <c r="AL159" s="267"/>
      <c r="AM159" s="267"/>
      <c r="AN159" s="267"/>
      <c r="AO159" s="267"/>
    </row>
    <row r="160" spans="2:46" ht="15.75">
      <c r="B160" s="426">
        <f>+B158/7</f>
        <v>41.071333333333335</v>
      </c>
      <c r="C160" s="415" t="s">
        <v>86</v>
      </c>
      <c r="D160" s="416"/>
      <c r="E160" s="417"/>
      <c r="F160" s="418"/>
      <c r="G160" s="419"/>
      <c r="H160" s="419"/>
      <c r="I160" s="411"/>
      <c r="J160" s="333"/>
      <c r="K160" s="405"/>
      <c r="L160" s="405"/>
      <c r="O160" s="1065">
        <f>(O158-18)/7</f>
        <v>42.607038095238103</v>
      </c>
      <c r="P160" s="1065"/>
      <c r="Q160" s="1065" t="s">
        <v>77</v>
      </c>
      <c r="R160" s="1065"/>
      <c r="S160" s="1065"/>
      <c r="T160" s="1065"/>
      <c r="U160" s="1065"/>
      <c r="V160" s="1065"/>
      <c r="W160" s="1065"/>
      <c r="X160" s="1065"/>
      <c r="Y160" s="1065"/>
      <c r="Z160" s="1065"/>
      <c r="AG160" s="267"/>
      <c r="AH160" s="267"/>
      <c r="AI160" s="267"/>
      <c r="AJ160" s="267"/>
      <c r="AK160" s="407"/>
      <c r="AL160" s="267"/>
      <c r="AM160" s="267"/>
      <c r="AN160" s="267"/>
      <c r="AO160" s="267"/>
    </row>
    <row r="161" spans="2:46">
      <c r="B161" s="408"/>
      <c r="C161" s="409"/>
      <c r="D161" s="333"/>
      <c r="E161" s="410"/>
      <c r="F161" s="411"/>
      <c r="G161" s="333"/>
      <c r="H161" s="333"/>
      <c r="I161" s="411"/>
      <c r="J161" s="333"/>
      <c r="K161" s="405"/>
      <c r="L161" s="405"/>
      <c r="O161" s="1053">
        <v>3</v>
      </c>
      <c r="P161" s="1053"/>
      <c r="Q161" s="1053" t="s">
        <v>79</v>
      </c>
      <c r="R161" s="1053"/>
      <c r="S161" s="1053"/>
      <c r="T161" s="1053"/>
      <c r="U161" s="1053"/>
      <c r="V161" s="1053"/>
      <c r="W161" s="1053"/>
      <c r="X161" s="1053"/>
      <c r="Y161" s="1053"/>
      <c r="Z161" s="1053"/>
      <c r="AG161" s="267"/>
      <c r="AH161" s="267"/>
      <c r="AI161" s="267"/>
      <c r="AJ161" s="267"/>
      <c r="AK161" s="267"/>
      <c r="AL161" s="267"/>
      <c r="AM161" s="267"/>
      <c r="AN161" s="267"/>
      <c r="AO161" s="267"/>
    </row>
    <row r="162" spans="2:46">
      <c r="B162" s="408"/>
      <c r="C162" s="409"/>
      <c r="D162" s="333"/>
      <c r="E162" s="410"/>
      <c r="F162" s="411"/>
      <c r="G162" s="333"/>
      <c r="H162" s="333"/>
      <c r="I162" s="411"/>
      <c r="J162" s="333"/>
      <c r="K162" s="405"/>
      <c r="L162" s="405"/>
      <c r="O162" s="1053">
        <f>+O161+O160</f>
        <v>45.607038095238103</v>
      </c>
      <c r="P162" s="1053"/>
      <c r="AG162" s="267"/>
      <c r="AH162" s="267"/>
      <c r="AI162" s="267"/>
      <c r="AJ162" s="267"/>
      <c r="AK162" s="267"/>
      <c r="AL162" s="267"/>
      <c r="AM162" s="267"/>
      <c r="AN162" s="267"/>
      <c r="AO162" s="267"/>
    </row>
    <row r="163" spans="2:46">
      <c r="B163" s="168"/>
      <c r="AG163" s="267"/>
      <c r="AH163" s="267"/>
      <c r="AI163" s="267"/>
      <c r="AJ163" s="267"/>
      <c r="AK163" s="267"/>
      <c r="AL163" s="267"/>
      <c r="AM163" s="267"/>
      <c r="AN163" s="267"/>
      <c r="AO163" s="267"/>
    </row>
    <row r="164" spans="2:46">
      <c r="AG164" s="267"/>
      <c r="AH164" s="267"/>
      <c r="AI164" s="267"/>
      <c r="AJ164" s="267"/>
      <c r="AK164" s="267"/>
      <c r="AL164" s="267"/>
      <c r="AM164" s="267"/>
      <c r="AN164" s="267"/>
      <c r="AO164" s="267"/>
    </row>
    <row r="165" spans="2:46">
      <c r="AG165" s="267"/>
      <c r="AH165" s="267"/>
      <c r="AI165" s="267"/>
      <c r="AJ165" s="267"/>
      <c r="AK165" s="267"/>
      <c r="AL165" s="267"/>
      <c r="AM165" s="267"/>
      <c r="AN165" s="267"/>
      <c r="AO165" s="267"/>
    </row>
    <row r="166" spans="2:46" ht="26.25" thickBot="1">
      <c r="B166" s="377" t="s">
        <v>90</v>
      </c>
      <c r="H166" s="1052">
        <v>42736</v>
      </c>
      <c r="I166" s="1052"/>
      <c r="J166" s="1052"/>
      <c r="K166" s="1052"/>
      <c r="L166" s="1052"/>
      <c r="M166" s="1052"/>
      <c r="N166" s="1052"/>
      <c r="AG166" s="267"/>
      <c r="AH166" s="267"/>
      <c r="AI166" s="267"/>
      <c r="AJ166" s="267"/>
      <c r="AK166" s="267"/>
      <c r="AL166" s="267"/>
      <c r="AM166" s="267"/>
      <c r="AN166" s="267"/>
      <c r="AO166" s="267"/>
    </row>
    <row r="167" spans="2:46" ht="16.5" thickBot="1">
      <c r="B167" s="379">
        <v>850</v>
      </c>
      <c r="C167" s="240" t="s">
        <v>67</v>
      </c>
      <c r="AD167" s="296"/>
      <c r="AE167" s="296"/>
      <c r="AF167" s="296"/>
      <c r="AG167" s="296"/>
      <c r="AH167" s="296"/>
      <c r="AI167" s="296"/>
      <c r="AJ167" s="296"/>
      <c r="AK167" s="296"/>
      <c r="AL167" s="296"/>
      <c r="AM167" s="296"/>
      <c r="AN167" s="296"/>
      <c r="AO167" s="296"/>
      <c r="AP167" s="267"/>
      <c r="AQ167" s="267"/>
      <c r="AR167" s="267"/>
      <c r="AS167" s="267"/>
      <c r="AT167" s="267"/>
    </row>
    <row r="168" spans="2:46" ht="15.75">
      <c r="B168" s="168">
        <f>+B167/30*7</f>
        <v>198.33333333333331</v>
      </c>
      <c r="C168" s="240" t="s">
        <v>68</v>
      </c>
      <c r="D168" s="380"/>
      <c r="O168" s="1053" t="s">
        <v>69</v>
      </c>
      <c r="P168" s="1053"/>
      <c r="Q168" s="1053"/>
      <c r="R168" s="1053"/>
      <c r="S168" s="1053"/>
      <c r="T168" s="1053"/>
      <c r="U168" s="1053"/>
      <c r="V168" s="1053"/>
      <c r="W168" s="1053"/>
      <c r="X168" s="1053"/>
      <c r="Y168" s="1053"/>
      <c r="Z168" s="1053"/>
      <c r="AD168" s="296"/>
      <c r="AE168" s="701"/>
      <c r="AF168" s="701"/>
      <c r="AG168" s="296"/>
      <c r="AH168" s="296"/>
      <c r="AI168" s="296"/>
      <c r="AJ168" s="701"/>
      <c r="AK168" s="701"/>
      <c r="AL168" s="296"/>
      <c r="AM168" s="296"/>
      <c r="AN168" s="296"/>
      <c r="AO168" s="296"/>
      <c r="AP168" s="267"/>
      <c r="AQ168" s="267"/>
      <c r="AR168" s="267"/>
      <c r="AS168" s="267"/>
      <c r="AT168" s="267"/>
    </row>
    <row r="169" spans="2:46">
      <c r="B169" s="168">
        <f>+B168-18</f>
        <v>180.33333333333331</v>
      </c>
      <c r="C169" s="240" t="s">
        <v>70</v>
      </c>
      <c r="O169" s="1053">
        <f>+B167</f>
        <v>850</v>
      </c>
      <c r="P169" s="1053"/>
      <c r="Q169" s="1053" t="s">
        <v>71</v>
      </c>
      <c r="R169" s="1053"/>
      <c r="S169" s="1053"/>
      <c r="T169" s="1053"/>
      <c r="U169" s="1053"/>
      <c r="V169" s="1053"/>
      <c r="W169" s="1053"/>
      <c r="X169" s="1053"/>
      <c r="Y169" s="1053"/>
      <c r="Z169" s="1053"/>
      <c r="AA169" s="7" t="s">
        <v>72</v>
      </c>
      <c r="AD169" s="428" t="s">
        <v>91</v>
      </c>
      <c r="AE169" s="429"/>
      <c r="AF169" s="429"/>
      <c r="AG169" s="1075">
        <v>233.32</v>
      </c>
      <c r="AH169" s="1075"/>
      <c r="AI169" s="430"/>
      <c r="AJ169" s="1076">
        <f>233.32-AG169</f>
        <v>0</v>
      </c>
      <c r="AK169" s="1076"/>
      <c r="AL169" s="431"/>
      <c r="AM169" s="296"/>
      <c r="AN169" s="296"/>
      <c r="AO169" s="296"/>
      <c r="AP169" s="267"/>
      <c r="AQ169" s="267"/>
      <c r="AR169" s="267"/>
      <c r="AS169" s="267"/>
      <c r="AT169" s="267"/>
    </row>
    <row r="170" spans="2:46">
      <c r="B170" s="381">
        <f>+B169/7</f>
        <v>25.761904761904759</v>
      </c>
      <c r="C170" s="382" t="s">
        <v>73</v>
      </c>
      <c r="D170" s="383"/>
      <c r="O170" s="1053">
        <f>+O169/30*7</f>
        <v>198.33333333333331</v>
      </c>
      <c r="P170" s="1053"/>
      <c r="Q170" s="1053" t="s">
        <v>74</v>
      </c>
      <c r="R170" s="1053"/>
      <c r="S170" s="1053"/>
      <c r="T170" s="1053"/>
      <c r="U170" s="1053"/>
      <c r="V170" s="1053"/>
      <c r="W170" s="1053"/>
      <c r="X170" s="1053"/>
      <c r="Y170" s="1053"/>
      <c r="Z170" s="1053"/>
      <c r="AA170" s="1064">
        <f>+O170*0.87</f>
        <v>172.54999999999998</v>
      </c>
      <c r="AB170" s="1064"/>
      <c r="AD170" s="432" t="s">
        <v>92</v>
      </c>
      <c r="AE170" s="433"/>
      <c r="AF170" s="433"/>
      <c r="AG170" s="1077">
        <f>218.15-19.83</f>
        <v>198.32</v>
      </c>
      <c r="AH170" s="1077"/>
      <c r="AI170" s="434"/>
      <c r="AJ170" s="1078">
        <f>233.32-AG170</f>
        <v>35</v>
      </c>
      <c r="AK170" s="1078"/>
      <c r="AL170" s="435"/>
      <c r="AM170" s="385"/>
      <c r="AN170" s="385"/>
      <c r="AO170" s="385"/>
      <c r="AP170" s="386"/>
      <c r="AQ170" s="386"/>
      <c r="AR170" s="267"/>
      <c r="AS170" s="267"/>
      <c r="AT170" s="267"/>
    </row>
    <row r="171" spans="2:46">
      <c r="O171" s="1053">
        <f>+O170/7</f>
        <v>28.333333333333332</v>
      </c>
      <c r="P171" s="1053"/>
      <c r="Q171" s="1053" t="s">
        <v>75</v>
      </c>
      <c r="R171" s="1053"/>
      <c r="S171" s="1053"/>
      <c r="T171" s="1053"/>
      <c r="U171" s="1053"/>
      <c r="V171" s="1053"/>
      <c r="W171" s="1053"/>
      <c r="X171" s="1053"/>
      <c r="Y171" s="1053"/>
      <c r="Z171" s="1053"/>
      <c r="AD171" s="432" t="s">
        <v>93</v>
      </c>
      <c r="AE171" s="436"/>
      <c r="AF171" s="436"/>
      <c r="AG171" s="1077">
        <f>218.15-19.83</f>
        <v>198.32</v>
      </c>
      <c r="AH171" s="1077"/>
      <c r="AI171" s="434"/>
      <c r="AJ171" s="1078">
        <f>233.32-AG171</f>
        <v>35</v>
      </c>
      <c r="AK171" s="1078"/>
      <c r="AL171" s="437"/>
      <c r="AM171" s="387"/>
      <c r="AN171" s="385"/>
      <c r="AO171" s="385"/>
      <c r="AP171" s="386"/>
      <c r="AQ171" s="386"/>
      <c r="AR171" s="267"/>
      <c r="AS171" s="267"/>
      <c r="AT171" s="267"/>
    </row>
    <row r="172" spans="2:46" ht="15.75">
      <c r="B172" s="427">
        <f>+B170</f>
        <v>25.761904761904759</v>
      </c>
      <c r="C172" s="389" t="s">
        <v>76</v>
      </c>
      <c r="D172" s="390"/>
      <c r="E172" s="390"/>
      <c r="F172" s="390"/>
      <c r="O172" s="1065">
        <f>(O170-18)/7</f>
        <v>25.761904761904759</v>
      </c>
      <c r="P172" s="1065"/>
      <c r="Q172" s="1065" t="s">
        <v>77</v>
      </c>
      <c r="R172" s="1065"/>
      <c r="S172" s="1065"/>
      <c r="T172" s="1065"/>
      <c r="U172" s="1065"/>
      <c r="V172" s="1065"/>
      <c r="W172" s="1065"/>
      <c r="X172" s="1065"/>
      <c r="Y172" s="1065"/>
      <c r="Z172" s="1065"/>
      <c r="AD172" s="432" t="s">
        <v>94</v>
      </c>
      <c r="AE172" s="438"/>
      <c r="AF172" s="438"/>
      <c r="AG172" s="1077">
        <f>228.07-29.75</f>
        <v>198.32</v>
      </c>
      <c r="AH172" s="1077"/>
      <c r="AI172" s="439"/>
      <c r="AJ172" s="1078">
        <f>233.32-AG172</f>
        <v>35</v>
      </c>
      <c r="AK172" s="1078"/>
      <c r="AL172" s="435"/>
      <c r="AM172" s="385"/>
      <c r="AN172" s="385"/>
      <c r="AO172" s="385"/>
      <c r="AP172" s="386"/>
      <c r="AQ172" s="386"/>
      <c r="AR172" s="267"/>
      <c r="AS172" s="267"/>
      <c r="AT172" s="267"/>
    </row>
    <row r="173" spans="2:46">
      <c r="B173" s="168">
        <v>3</v>
      </c>
      <c r="C173" s="240" t="s">
        <v>78</v>
      </c>
      <c r="O173" s="1053">
        <v>3</v>
      </c>
      <c r="P173" s="1053"/>
      <c r="Q173" s="1053" t="s">
        <v>79</v>
      </c>
      <c r="R173" s="1053"/>
      <c r="S173" s="1053"/>
      <c r="T173" s="1053"/>
      <c r="U173" s="1053"/>
      <c r="V173" s="1053"/>
      <c r="W173" s="1053"/>
      <c r="X173" s="1053"/>
      <c r="Y173" s="1053"/>
      <c r="Z173" s="1053"/>
      <c r="AD173" s="432" t="s">
        <v>95</v>
      </c>
      <c r="AE173" s="434"/>
      <c r="AF173" s="438"/>
      <c r="AG173" s="1077">
        <f>208.24-9.92</f>
        <v>198.32000000000002</v>
      </c>
      <c r="AH173" s="1077"/>
      <c r="AI173" s="439"/>
      <c r="AJ173" s="1078">
        <f>233.32-AG173</f>
        <v>34.999999999999972</v>
      </c>
      <c r="AK173" s="1078"/>
      <c r="AL173" s="435"/>
      <c r="AM173" s="385"/>
      <c r="AN173" s="385"/>
      <c r="AO173" s="385"/>
      <c r="AP173" s="386"/>
      <c r="AQ173" s="386"/>
      <c r="AR173" s="267"/>
      <c r="AS173" s="267"/>
      <c r="AT173" s="267"/>
    </row>
    <row r="174" spans="2:46">
      <c r="B174" s="381">
        <f>+B173+B172</f>
        <v>28.761904761904759</v>
      </c>
      <c r="C174" s="382" t="s">
        <v>80</v>
      </c>
      <c r="D174" s="393"/>
      <c r="E174" s="394"/>
      <c r="F174" s="395"/>
      <c r="G174" s="393"/>
      <c r="H174" s="393"/>
      <c r="I174" s="395"/>
      <c r="J174" s="393"/>
      <c r="K174" s="396"/>
      <c r="L174" s="396"/>
      <c r="M174" s="383"/>
      <c r="O174" s="1053">
        <f>+O173+O172</f>
        <v>28.761904761904759</v>
      </c>
      <c r="P174" s="1053"/>
      <c r="AD174" s="440"/>
      <c r="AE174" s="436"/>
      <c r="AF174" s="436"/>
      <c r="AG174" s="441" t="s">
        <v>96</v>
      </c>
      <c r="AH174" s="442"/>
      <c r="AI174" s="434"/>
      <c r="AJ174" s="436"/>
      <c r="AK174" s="1079">
        <f>SUM(AJ169:AK173)</f>
        <v>139.99999999999997</v>
      </c>
      <c r="AL174" s="1080"/>
      <c r="AM174" s="387"/>
      <c r="AN174" s="387"/>
      <c r="AO174" s="387"/>
      <c r="AP174" s="397"/>
      <c r="AQ174" s="267"/>
      <c r="AR174" s="267"/>
      <c r="AS174" s="267"/>
      <c r="AT174" s="267"/>
    </row>
    <row r="175" spans="2:46">
      <c r="B175" s="168"/>
      <c r="AD175" s="443"/>
      <c r="AE175" s="444"/>
      <c r="AF175" s="444"/>
      <c r="AG175" s="445"/>
      <c r="AH175" s="446"/>
      <c r="AI175" s="447" t="s">
        <v>97</v>
      </c>
      <c r="AJ175" s="444"/>
      <c r="AK175" s="444"/>
      <c r="AL175" s="448"/>
      <c r="AM175" s="296"/>
      <c r="AN175" s="296"/>
      <c r="AO175" s="296"/>
      <c r="AP175" s="267"/>
      <c r="AQ175" s="267"/>
      <c r="AR175" s="267"/>
      <c r="AS175" s="267"/>
      <c r="AT175" s="267"/>
    </row>
    <row r="176" spans="2:46">
      <c r="B176" s="168">
        <f>+B174*6</f>
        <v>172.57142857142856</v>
      </c>
      <c r="C176" s="240" t="s">
        <v>81</v>
      </c>
      <c r="O176" s="1053" t="s">
        <v>82</v>
      </c>
      <c r="P176" s="1053"/>
      <c r="Q176" s="1053"/>
      <c r="R176" s="1053"/>
      <c r="S176" s="1053"/>
      <c r="T176" s="1053"/>
      <c r="U176" s="1053"/>
      <c r="V176" s="1053"/>
      <c r="W176" s="1053"/>
      <c r="X176" s="1053"/>
      <c r="Y176" s="1053"/>
      <c r="Z176" s="1053"/>
      <c r="AD176" s="296"/>
      <c r="AE176" s="296"/>
      <c r="AF176" s="296"/>
      <c r="AG176" s="296"/>
      <c r="AH176" s="296"/>
      <c r="AI176" s="385"/>
      <c r="AJ176" s="385"/>
      <c r="AK176" s="387"/>
      <c r="AL176" s="686"/>
      <c r="AM176" s="701"/>
      <c r="AN176" s="686"/>
      <c r="AO176" s="296"/>
      <c r="AP176" s="267"/>
      <c r="AQ176" s="267"/>
      <c r="AR176" s="267"/>
      <c r="AS176" s="267"/>
      <c r="AT176" s="267"/>
    </row>
    <row r="177" spans="2:46">
      <c r="B177" s="399">
        <f>+B172</f>
        <v>25.761904761904759</v>
      </c>
      <c r="C177" s="400" t="s">
        <v>83</v>
      </c>
      <c r="D177" s="401"/>
      <c r="E177" s="402"/>
      <c r="F177" s="403"/>
      <c r="G177" s="401"/>
      <c r="H177" s="401"/>
      <c r="I177" s="403"/>
      <c r="J177" s="401"/>
      <c r="K177" s="404"/>
      <c r="L177" s="405"/>
      <c r="O177" s="1053">
        <f>+O169*1.1</f>
        <v>935.00000000000011</v>
      </c>
      <c r="P177" s="1053"/>
      <c r="Q177" s="1053" t="s">
        <v>71</v>
      </c>
      <c r="R177" s="1053"/>
      <c r="S177" s="1053"/>
      <c r="T177" s="1053"/>
      <c r="U177" s="1053"/>
      <c r="V177" s="1053"/>
      <c r="W177" s="1053"/>
      <c r="X177" s="1053"/>
      <c r="Y177" s="1053"/>
      <c r="Z177" s="1053"/>
      <c r="AA177" s="7" t="s">
        <v>84</v>
      </c>
      <c r="AG177" s="267"/>
      <c r="AH177" s="267"/>
      <c r="AI177" s="386"/>
      <c r="AJ177" s="386"/>
      <c r="AK177" s="386"/>
      <c r="AL177" s="267"/>
      <c r="AM177" s="267"/>
      <c r="AN177" s="267"/>
      <c r="AO177" s="267"/>
    </row>
    <row r="178" spans="2:46">
      <c r="B178" s="381">
        <f>+B177+B176</f>
        <v>198.33333333333331</v>
      </c>
      <c r="C178" s="382" t="s">
        <v>85</v>
      </c>
      <c r="D178" s="393"/>
      <c r="E178" s="394"/>
      <c r="F178" s="395"/>
      <c r="G178" s="393"/>
      <c r="H178" s="393"/>
      <c r="I178" s="395"/>
      <c r="J178" s="393"/>
      <c r="K178" s="406"/>
      <c r="L178" s="405"/>
      <c r="O178" s="1053">
        <f>+O177/30*7</f>
        <v>218.16666666666669</v>
      </c>
      <c r="P178" s="1053"/>
      <c r="Q178" s="1053" t="s">
        <v>74</v>
      </c>
      <c r="R178" s="1053"/>
      <c r="S178" s="1053"/>
      <c r="T178" s="1053"/>
      <c r="U178" s="1053"/>
      <c r="V178" s="1053"/>
      <c r="W178" s="1053"/>
      <c r="X178" s="1053"/>
      <c r="Y178" s="1053"/>
      <c r="Z178" s="1053"/>
      <c r="AA178" s="1064">
        <f>+O178*0.87</f>
        <v>189.80500000000001</v>
      </c>
      <c r="AB178" s="1064"/>
      <c r="AG178" s="267"/>
      <c r="AH178" s="267"/>
      <c r="AI178" s="386"/>
      <c r="AJ178" s="386"/>
      <c r="AK178" s="407"/>
      <c r="AL178" s="267"/>
      <c r="AM178" s="267"/>
      <c r="AN178" s="267"/>
      <c r="AO178" s="267"/>
    </row>
    <row r="179" spans="2:46">
      <c r="B179" s="408"/>
      <c r="C179" s="409"/>
      <c r="D179" s="333"/>
      <c r="E179" s="410"/>
      <c r="F179" s="411"/>
      <c r="G179" s="333"/>
      <c r="H179" s="333"/>
      <c r="I179" s="411"/>
      <c r="J179" s="333"/>
      <c r="K179" s="405"/>
      <c r="L179" s="405"/>
      <c r="O179" s="1053">
        <f>+O178/7</f>
        <v>31.166666666666668</v>
      </c>
      <c r="P179" s="1053"/>
      <c r="Q179" s="1053" t="s">
        <v>75</v>
      </c>
      <c r="R179" s="1053"/>
      <c r="S179" s="1053"/>
      <c r="T179" s="1053"/>
      <c r="U179" s="1053"/>
      <c r="V179" s="1053"/>
      <c r="W179" s="1053"/>
      <c r="X179" s="1053"/>
      <c r="Y179" s="1053"/>
      <c r="Z179" s="1053"/>
      <c r="AG179" s="267"/>
      <c r="AH179" s="267"/>
      <c r="AI179" s="412"/>
      <c r="AJ179" s="413"/>
      <c r="AK179" s="407"/>
      <c r="AL179" s="267"/>
      <c r="AM179" s="267"/>
      <c r="AN179" s="267"/>
      <c r="AO179" s="267"/>
    </row>
    <row r="180" spans="2:46">
      <c r="B180" s="449">
        <f>+B178/7</f>
        <v>28.333333333333332</v>
      </c>
      <c r="C180" s="450" t="s">
        <v>86</v>
      </c>
      <c r="F180" s="411"/>
      <c r="G180" s="333"/>
      <c r="H180" s="333"/>
      <c r="I180" s="411"/>
      <c r="J180" s="333"/>
      <c r="K180" s="405"/>
      <c r="L180" s="405"/>
      <c r="O180" s="1065">
        <f>(O178-18)/7</f>
        <v>28.595238095238098</v>
      </c>
      <c r="P180" s="1065"/>
      <c r="Q180" s="1065" t="s">
        <v>77</v>
      </c>
      <c r="R180" s="1065"/>
      <c r="S180" s="1065"/>
      <c r="T180" s="1065"/>
      <c r="U180" s="1065"/>
      <c r="V180" s="1065"/>
      <c r="W180" s="1065"/>
      <c r="X180" s="1065"/>
      <c r="Y180" s="1065"/>
      <c r="Z180" s="1065"/>
      <c r="AG180" s="267"/>
      <c r="AH180" s="267"/>
      <c r="AI180" s="267"/>
      <c r="AJ180" s="267"/>
      <c r="AK180" s="407"/>
      <c r="AL180" s="267"/>
      <c r="AM180" s="267"/>
      <c r="AN180" s="267"/>
      <c r="AO180" s="267"/>
    </row>
    <row r="181" spans="2:46">
      <c r="B181" s="408"/>
      <c r="C181" s="409"/>
      <c r="D181" s="333"/>
      <c r="E181" s="410"/>
      <c r="F181" s="411"/>
      <c r="G181" s="333"/>
      <c r="H181" s="333"/>
      <c r="I181" s="411"/>
      <c r="J181" s="333"/>
      <c r="K181" s="405"/>
      <c r="L181" s="405"/>
      <c r="O181" s="1053">
        <v>3</v>
      </c>
      <c r="P181" s="1053"/>
      <c r="Q181" s="1053" t="s">
        <v>79</v>
      </c>
      <c r="R181" s="1053"/>
      <c r="S181" s="1053"/>
      <c r="T181" s="1053"/>
      <c r="U181" s="1053"/>
      <c r="V181" s="1053"/>
      <c r="W181" s="1053"/>
      <c r="X181" s="1053"/>
      <c r="Y181" s="1053"/>
      <c r="Z181" s="1053"/>
      <c r="AG181" s="267"/>
      <c r="AH181" s="267"/>
      <c r="AI181" s="267"/>
      <c r="AJ181" s="267"/>
      <c r="AK181" s="267"/>
      <c r="AL181" s="267"/>
      <c r="AM181" s="267"/>
      <c r="AN181" s="267"/>
      <c r="AO181" s="267"/>
    </row>
    <row r="182" spans="2:46">
      <c r="B182" s="408"/>
      <c r="C182" s="409"/>
      <c r="D182" s="333"/>
      <c r="E182" s="410"/>
      <c r="F182" s="411"/>
      <c r="G182" s="333"/>
      <c r="H182" s="333"/>
      <c r="I182" s="411"/>
      <c r="J182" s="333"/>
      <c r="K182" s="405"/>
      <c r="L182" s="405"/>
      <c r="O182" s="1053">
        <f>+O181+O180</f>
        <v>31.595238095238098</v>
      </c>
      <c r="P182" s="1053"/>
      <c r="AG182" s="267"/>
      <c r="AH182" s="267"/>
      <c r="AI182" s="267"/>
      <c r="AJ182" s="267"/>
      <c r="AK182" s="267"/>
      <c r="AL182" s="267"/>
      <c r="AM182" s="267"/>
      <c r="AN182" s="267"/>
      <c r="AO182" s="267"/>
    </row>
    <row r="183" spans="2:46">
      <c r="B183" s="168"/>
      <c r="AG183" s="267"/>
      <c r="AH183" s="267"/>
      <c r="AI183" s="267"/>
      <c r="AJ183" s="267"/>
      <c r="AK183" s="267"/>
      <c r="AL183" s="267"/>
      <c r="AM183" s="267"/>
      <c r="AN183" s="267"/>
      <c r="AO183" s="267"/>
    </row>
    <row r="184" spans="2:46">
      <c r="AG184" s="267"/>
      <c r="AH184" s="267"/>
      <c r="AI184" s="267"/>
      <c r="AJ184" s="267"/>
      <c r="AK184" s="267"/>
      <c r="AL184" s="267"/>
      <c r="AM184" s="267"/>
      <c r="AN184" s="267"/>
      <c r="AO184" s="267"/>
    </row>
    <row r="185" spans="2:46" ht="15.75" thickBot="1">
      <c r="AG185" s="267"/>
      <c r="AH185" s="267"/>
      <c r="AI185" s="267"/>
      <c r="AJ185" s="267"/>
      <c r="AK185" s="267"/>
      <c r="AL185" s="267"/>
      <c r="AM185" s="267"/>
      <c r="AN185" s="267"/>
      <c r="AO185" s="267"/>
    </row>
    <row r="186" spans="2:46" ht="17.25" thickTop="1" thickBot="1">
      <c r="B186" s="451">
        <f>850+80</f>
        <v>930</v>
      </c>
      <c r="C186" s="452" t="s">
        <v>67</v>
      </c>
      <c r="D186" s="453"/>
      <c r="E186" s="454" t="s">
        <v>98</v>
      </c>
      <c r="F186" s="455"/>
      <c r="G186" s="453"/>
      <c r="H186" s="453"/>
      <c r="I186" s="455"/>
      <c r="J186" s="453"/>
      <c r="K186" s="456"/>
      <c r="L186" s="456"/>
      <c r="M186" s="453"/>
      <c r="N186" s="453"/>
      <c r="O186" s="453"/>
      <c r="P186" s="453"/>
      <c r="Q186" s="453"/>
      <c r="R186" s="453"/>
      <c r="S186" s="453"/>
      <c r="T186" s="453"/>
      <c r="U186" s="453"/>
      <c r="V186" s="453"/>
      <c r="W186" s="453"/>
      <c r="X186" s="453"/>
      <c r="Y186" s="453"/>
      <c r="Z186" s="453"/>
      <c r="AA186" s="457"/>
      <c r="AB186" s="457"/>
      <c r="AC186" s="458"/>
      <c r="AD186" s="296"/>
      <c r="AE186" s="296"/>
      <c r="AF186" s="296"/>
      <c r="AG186" s="296"/>
      <c r="AH186" s="296"/>
      <c r="AI186" s="296"/>
      <c r="AJ186" s="296"/>
      <c r="AK186" s="296"/>
      <c r="AL186" s="296"/>
      <c r="AM186" s="296"/>
      <c r="AN186" s="296"/>
      <c r="AO186" s="296"/>
      <c r="AP186" s="267"/>
      <c r="AQ186" s="267"/>
      <c r="AR186" s="267"/>
      <c r="AS186" s="267"/>
      <c r="AT186" s="267"/>
    </row>
    <row r="187" spans="2:46" ht="15.75">
      <c r="B187" s="459">
        <f>+B186/30*7</f>
        <v>217</v>
      </c>
      <c r="C187" s="409" t="s">
        <v>68</v>
      </c>
      <c r="D187" s="460"/>
      <c r="E187" s="410"/>
      <c r="F187" s="411"/>
      <c r="G187" s="333"/>
      <c r="H187" s="333"/>
      <c r="I187" s="411"/>
      <c r="J187" s="333"/>
      <c r="K187" s="405"/>
      <c r="L187" s="405"/>
      <c r="M187" s="333"/>
      <c r="N187" s="333"/>
      <c r="O187" s="1053" t="s">
        <v>69</v>
      </c>
      <c r="P187" s="1053"/>
      <c r="Q187" s="1053"/>
      <c r="R187" s="1053"/>
      <c r="S187" s="1053"/>
      <c r="T187" s="1053"/>
      <c r="U187" s="1053"/>
      <c r="V187" s="1053"/>
      <c r="W187" s="1053"/>
      <c r="X187" s="1053"/>
      <c r="Y187" s="1053"/>
      <c r="Z187" s="1053"/>
      <c r="AA187" s="167"/>
      <c r="AB187" s="167"/>
      <c r="AC187" s="461"/>
      <c r="AD187" s="296"/>
      <c r="AE187" s="701"/>
      <c r="AF187" s="701"/>
      <c r="AG187" s="296"/>
      <c r="AH187" s="296"/>
      <c r="AI187" s="296"/>
      <c r="AJ187" s="701"/>
      <c r="AK187" s="701"/>
      <c r="AL187" s="296"/>
      <c r="AM187" s="296"/>
      <c r="AN187" s="296"/>
      <c r="AO187" s="296"/>
      <c r="AP187" s="267"/>
      <c r="AQ187" s="267"/>
      <c r="AR187" s="267"/>
      <c r="AS187" s="267"/>
      <c r="AT187" s="267"/>
    </row>
    <row r="188" spans="2:46">
      <c r="B188" s="459">
        <f>+B187-18</f>
        <v>199</v>
      </c>
      <c r="C188" s="409" t="s">
        <v>70</v>
      </c>
      <c r="D188" s="333"/>
      <c r="E188" s="410"/>
      <c r="F188" s="411"/>
      <c r="G188" s="333"/>
      <c r="H188" s="333"/>
      <c r="I188" s="411"/>
      <c r="J188" s="333"/>
      <c r="K188" s="405"/>
      <c r="L188" s="405"/>
      <c r="M188" s="333"/>
      <c r="N188" s="333"/>
      <c r="O188" s="1053">
        <f>+B186</f>
        <v>930</v>
      </c>
      <c r="P188" s="1053"/>
      <c r="Q188" s="1053" t="s">
        <v>71</v>
      </c>
      <c r="R188" s="1053"/>
      <c r="S188" s="1053"/>
      <c r="T188" s="1053"/>
      <c r="U188" s="1053"/>
      <c r="V188" s="1053"/>
      <c r="W188" s="1053"/>
      <c r="X188" s="1053"/>
      <c r="Y188" s="1053"/>
      <c r="Z188" s="1053"/>
      <c r="AA188" s="167" t="s">
        <v>72</v>
      </c>
      <c r="AB188" s="167"/>
      <c r="AC188" s="461"/>
      <c r="AD188" s="296"/>
      <c r="AE188" s="701"/>
      <c r="AF188" s="701"/>
      <c r="AG188" s="296"/>
      <c r="AH188" s="296"/>
      <c r="AI188" s="296"/>
      <c r="AJ188" s="701"/>
      <c r="AK188" s="701"/>
      <c r="AL188" s="296"/>
      <c r="AM188" s="296"/>
      <c r="AN188" s="296"/>
      <c r="AO188" s="296"/>
      <c r="AP188" s="267"/>
      <c r="AQ188" s="267"/>
      <c r="AR188" s="267"/>
      <c r="AS188" s="267"/>
      <c r="AT188" s="267"/>
    </row>
    <row r="189" spans="2:46">
      <c r="B189" s="462">
        <f>+B188/7</f>
        <v>28.428571428571427</v>
      </c>
      <c r="C189" s="382" t="s">
        <v>73</v>
      </c>
      <c r="D189" s="383"/>
      <c r="E189" s="410"/>
      <c r="F189" s="411"/>
      <c r="G189" s="333"/>
      <c r="H189" s="333"/>
      <c r="I189" s="411"/>
      <c r="J189" s="333"/>
      <c r="K189" s="405"/>
      <c r="L189" s="405"/>
      <c r="M189" s="333"/>
      <c r="N189" s="333"/>
      <c r="O189" s="1053">
        <f>+O188/30*7</f>
        <v>217</v>
      </c>
      <c r="P189" s="1053"/>
      <c r="Q189" s="1053" t="s">
        <v>74</v>
      </c>
      <c r="R189" s="1053"/>
      <c r="S189" s="1053"/>
      <c r="T189" s="1053"/>
      <c r="U189" s="1053"/>
      <c r="V189" s="1053"/>
      <c r="W189" s="1053"/>
      <c r="X189" s="1053"/>
      <c r="Y189" s="1053"/>
      <c r="Z189" s="1053"/>
      <c r="AA189" s="1064">
        <f>+O189*0.87</f>
        <v>188.79</v>
      </c>
      <c r="AB189" s="1064"/>
      <c r="AC189" s="461"/>
      <c r="AD189" s="296"/>
      <c r="AE189" s="384"/>
      <c r="AF189" s="384"/>
      <c r="AG189" s="296"/>
      <c r="AH189" s="296"/>
      <c r="AI189" s="296"/>
      <c r="AJ189" s="384"/>
      <c r="AK189" s="384"/>
      <c r="AL189" s="385"/>
      <c r="AM189" s="385"/>
      <c r="AN189" s="385"/>
      <c r="AO189" s="385"/>
      <c r="AP189" s="386"/>
      <c r="AQ189" s="386"/>
      <c r="AR189" s="267"/>
      <c r="AS189" s="267"/>
      <c r="AT189" s="267"/>
    </row>
    <row r="190" spans="2:46">
      <c r="B190" s="463"/>
      <c r="C190" s="333"/>
      <c r="D190" s="333"/>
      <c r="E190" s="410"/>
      <c r="F190" s="411"/>
      <c r="G190" s="333"/>
      <c r="H190" s="333"/>
      <c r="I190" s="411"/>
      <c r="J190" s="333"/>
      <c r="K190" s="405"/>
      <c r="L190" s="405"/>
      <c r="M190" s="333"/>
      <c r="N190" s="333"/>
      <c r="O190" s="1053">
        <f>+O189/7</f>
        <v>31</v>
      </c>
      <c r="P190" s="1053"/>
      <c r="Q190" s="1053" t="s">
        <v>75</v>
      </c>
      <c r="R190" s="1053"/>
      <c r="S190" s="1053"/>
      <c r="T190" s="1053"/>
      <c r="U190" s="1053"/>
      <c r="V190" s="1053"/>
      <c r="W190" s="1053"/>
      <c r="X190" s="1053"/>
      <c r="Y190" s="1053"/>
      <c r="Z190" s="1053"/>
      <c r="AA190" s="167"/>
      <c r="AB190" s="167"/>
      <c r="AC190" s="461"/>
      <c r="AD190" s="296"/>
      <c r="AE190" s="701"/>
      <c r="AF190" s="701"/>
      <c r="AG190" s="296"/>
      <c r="AH190" s="296"/>
      <c r="AI190" s="296"/>
      <c r="AJ190" s="701"/>
      <c r="AK190" s="701"/>
      <c r="AL190" s="387"/>
      <c r="AM190" s="387"/>
      <c r="AN190" s="385"/>
      <c r="AO190" s="385"/>
      <c r="AP190" s="386"/>
      <c r="AQ190" s="386"/>
      <c r="AR190" s="267"/>
      <c r="AS190" s="267"/>
      <c r="AT190" s="267"/>
    </row>
    <row r="191" spans="2:46" ht="15.75">
      <c r="B191" s="464">
        <f>+B189</f>
        <v>28.428571428571427</v>
      </c>
      <c r="C191" s="465" t="s">
        <v>76</v>
      </c>
      <c r="D191" s="418"/>
      <c r="E191" s="418"/>
      <c r="F191" s="418"/>
      <c r="G191" s="333"/>
      <c r="H191" s="333"/>
      <c r="I191" s="411"/>
      <c r="J191" s="333"/>
      <c r="K191" s="405"/>
      <c r="L191" s="405"/>
      <c r="M191" s="333"/>
      <c r="N191" s="333"/>
      <c r="O191" s="1065">
        <f>(O189-18)/7</f>
        <v>28.428571428571427</v>
      </c>
      <c r="P191" s="1065"/>
      <c r="Q191" s="1065" t="s">
        <v>77</v>
      </c>
      <c r="R191" s="1065"/>
      <c r="S191" s="1065"/>
      <c r="T191" s="1065"/>
      <c r="U191" s="1065"/>
      <c r="V191" s="1065"/>
      <c r="W191" s="1065"/>
      <c r="X191" s="1065"/>
      <c r="Y191" s="1065"/>
      <c r="Z191" s="1065"/>
      <c r="AA191" s="167"/>
      <c r="AB191" s="167"/>
      <c r="AC191" s="461"/>
      <c r="AD191" s="296"/>
      <c r="AE191" s="391"/>
      <c r="AF191" s="391"/>
      <c r="AG191" s="392"/>
      <c r="AH191" s="392"/>
      <c r="AI191" s="392"/>
      <c r="AJ191" s="391"/>
      <c r="AK191" s="391"/>
      <c r="AL191" s="385"/>
      <c r="AM191" s="385"/>
      <c r="AN191" s="385"/>
      <c r="AO191" s="385"/>
      <c r="AP191" s="386"/>
      <c r="AQ191" s="386"/>
      <c r="AR191" s="267"/>
      <c r="AS191" s="267"/>
      <c r="AT191" s="267"/>
    </row>
    <row r="192" spans="2:46">
      <c r="B192" s="459">
        <v>3</v>
      </c>
      <c r="C192" s="409" t="s">
        <v>78</v>
      </c>
      <c r="D192" s="333"/>
      <c r="E192" s="410"/>
      <c r="F192" s="411"/>
      <c r="G192" s="333"/>
      <c r="H192" s="333"/>
      <c r="I192" s="411"/>
      <c r="J192" s="333"/>
      <c r="K192" s="405"/>
      <c r="L192" s="405"/>
      <c r="M192" s="333"/>
      <c r="N192" s="333"/>
      <c r="O192" s="1053">
        <v>3</v>
      </c>
      <c r="P192" s="1053"/>
      <c r="Q192" s="1053" t="s">
        <v>79</v>
      </c>
      <c r="R192" s="1053"/>
      <c r="S192" s="1053"/>
      <c r="T192" s="1053"/>
      <c r="U192" s="1053"/>
      <c r="V192" s="1053"/>
      <c r="W192" s="1053"/>
      <c r="X192" s="1053"/>
      <c r="Y192" s="1053"/>
      <c r="Z192" s="1053"/>
      <c r="AA192" s="167"/>
      <c r="AB192" s="167"/>
      <c r="AC192" s="461"/>
      <c r="AD192" s="296"/>
      <c r="AE192" s="296"/>
      <c r="AF192" s="391"/>
      <c r="AG192" s="392"/>
      <c r="AH192" s="392"/>
      <c r="AI192" s="392"/>
      <c r="AJ192" s="391"/>
      <c r="AK192" s="391"/>
      <c r="AL192" s="385"/>
      <c r="AM192" s="385"/>
      <c r="AN192" s="385"/>
      <c r="AO192" s="385"/>
      <c r="AP192" s="386"/>
      <c r="AQ192" s="386"/>
      <c r="AR192" s="267"/>
      <c r="AS192" s="267"/>
      <c r="AT192" s="267"/>
    </row>
    <row r="193" spans="2:50">
      <c r="B193" s="462">
        <f>+B192+B191</f>
        <v>31.428571428571427</v>
      </c>
      <c r="C193" s="382" t="s">
        <v>80</v>
      </c>
      <c r="D193" s="393"/>
      <c r="E193" s="394"/>
      <c r="F193" s="395"/>
      <c r="G193" s="393"/>
      <c r="H193" s="393"/>
      <c r="I193" s="395"/>
      <c r="J193" s="393"/>
      <c r="K193" s="396"/>
      <c r="L193" s="396"/>
      <c r="M193" s="383"/>
      <c r="N193" s="333"/>
      <c r="O193" s="1053">
        <f>+O192+O191</f>
        <v>31.428571428571427</v>
      </c>
      <c r="P193" s="105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  <c r="AA193" s="167"/>
      <c r="AB193" s="167"/>
      <c r="AC193" s="461"/>
      <c r="AD193" s="296"/>
      <c r="AE193" s="701"/>
      <c r="AF193" s="701"/>
      <c r="AG193" s="296"/>
      <c r="AH193" s="296"/>
      <c r="AI193" s="296"/>
      <c r="AJ193" s="701"/>
      <c r="AK193" s="701"/>
      <c r="AL193" s="387"/>
      <c r="AM193" s="387"/>
      <c r="AN193" s="387"/>
      <c r="AO193" s="387"/>
      <c r="AP193" s="397"/>
      <c r="AQ193" s="267"/>
      <c r="AR193" s="267"/>
      <c r="AS193" s="267"/>
      <c r="AT193" s="267"/>
    </row>
    <row r="194" spans="2:50">
      <c r="B194" s="459"/>
      <c r="C194" s="333"/>
      <c r="D194" s="333"/>
      <c r="E194" s="410"/>
      <c r="F194" s="411"/>
      <c r="G194" s="333"/>
      <c r="H194" s="333"/>
      <c r="I194" s="411"/>
      <c r="J194" s="333"/>
      <c r="K194" s="405"/>
      <c r="L194" s="405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167"/>
      <c r="AB194" s="167"/>
      <c r="AC194" s="461"/>
      <c r="AD194" s="296"/>
      <c r="AE194" s="398"/>
      <c r="AF194" s="398"/>
      <c r="AG194" s="398"/>
      <c r="AH194" s="296"/>
      <c r="AI194" s="296"/>
      <c r="AJ194" s="398"/>
      <c r="AK194" s="398"/>
      <c r="AL194" s="385"/>
      <c r="AM194" s="296"/>
      <c r="AN194" s="296"/>
      <c r="AO194" s="296"/>
      <c r="AP194" s="267"/>
      <c r="AQ194" s="267"/>
      <c r="AR194" s="267"/>
      <c r="AS194" s="267"/>
      <c r="AT194" s="267"/>
    </row>
    <row r="195" spans="2:50">
      <c r="B195" s="459">
        <f>+B193*6</f>
        <v>188.57142857142856</v>
      </c>
      <c r="C195" s="409" t="s">
        <v>81</v>
      </c>
      <c r="D195" s="333"/>
      <c r="E195" s="410"/>
      <c r="F195" s="411"/>
      <c r="G195" s="333"/>
      <c r="H195" s="333"/>
      <c r="I195" s="411"/>
      <c r="J195" s="333"/>
      <c r="K195" s="405"/>
      <c r="L195" s="405"/>
      <c r="M195" s="333"/>
      <c r="N195" s="333"/>
      <c r="O195" s="1053" t="s">
        <v>82</v>
      </c>
      <c r="P195" s="1053"/>
      <c r="Q195" s="1053"/>
      <c r="R195" s="1053"/>
      <c r="S195" s="1053"/>
      <c r="T195" s="1053"/>
      <c r="U195" s="1053"/>
      <c r="V195" s="1053"/>
      <c r="W195" s="1053"/>
      <c r="X195" s="1053"/>
      <c r="Y195" s="1053"/>
      <c r="Z195" s="1053"/>
      <c r="AA195" s="167"/>
      <c r="AB195" s="167"/>
      <c r="AC195" s="461"/>
      <c r="AD195" s="296"/>
      <c r="AE195" s="296"/>
      <c r="AF195" s="296"/>
      <c r="AG195" s="296"/>
      <c r="AH195" s="296"/>
      <c r="AI195" s="385"/>
      <c r="AJ195" s="385"/>
      <c r="AK195" s="387"/>
      <c r="AL195" s="686"/>
      <c r="AM195" s="701"/>
      <c r="AN195" s="686"/>
      <c r="AO195" s="296"/>
      <c r="AP195" s="267"/>
      <c r="AQ195" s="267"/>
      <c r="AR195" s="267"/>
      <c r="AS195" s="267"/>
      <c r="AT195" s="267"/>
    </row>
    <row r="196" spans="2:50">
      <c r="B196" s="466">
        <f>+B191</f>
        <v>28.428571428571427</v>
      </c>
      <c r="C196" s="400" t="s">
        <v>83</v>
      </c>
      <c r="D196" s="401"/>
      <c r="E196" s="402"/>
      <c r="F196" s="403"/>
      <c r="G196" s="401"/>
      <c r="H196" s="401"/>
      <c r="I196" s="403"/>
      <c r="J196" s="401"/>
      <c r="K196" s="404"/>
      <c r="L196" s="405"/>
      <c r="M196" s="333"/>
      <c r="N196" s="333"/>
      <c r="O196" s="1053">
        <f>+O188*1.1</f>
        <v>1023.0000000000001</v>
      </c>
      <c r="P196" s="1053"/>
      <c r="Q196" s="1053" t="s">
        <v>71</v>
      </c>
      <c r="R196" s="1053"/>
      <c r="S196" s="1053"/>
      <c r="T196" s="1053"/>
      <c r="U196" s="1053"/>
      <c r="V196" s="1053"/>
      <c r="W196" s="1053"/>
      <c r="X196" s="1053"/>
      <c r="Y196" s="1053"/>
      <c r="Z196" s="1053"/>
      <c r="AA196" s="167" t="s">
        <v>84</v>
      </c>
      <c r="AB196" s="167"/>
      <c r="AC196" s="461"/>
      <c r="AG196" s="267"/>
      <c r="AH196" s="267"/>
      <c r="AI196" s="386"/>
      <c r="AJ196" s="386"/>
      <c r="AK196" s="386"/>
      <c r="AL196" s="267"/>
      <c r="AM196" s="267"/>
      <c r="AN196" s="267"/>
      <c r="AO196" s="267"/>
    </row>
    <row r="197" spans="2:50">
      <c r="B197" s="462">
        <f>+B196+B195</f>
        <v>216.99999999999997</v>
      </c>
      <c r="C197" s="382" t="s">
        <v>85</v>
      </c>
      <c r="D197" s="393"/>
      <c r="E197" s="394"/>
      <c r="F197" s="395"/>
      <c r="G197" s="393"/>
      <c r="H197" s="393"/>
      <c r="I197" s="395"/>
      <c r="J197" s="393"/>
      <c r="K197" s="406"/>
      <c r="L197" s="405"/>
      <c r="M197" s="333"/>
      <c r="N197" s="333"/>
      <c r="O197" s="1053">
        <f>+O196/30*7</f>
        <v>238.70000000000002</v>
      </c>
      <c r="P197" s="1053"/>
      <c r="Q197" s="1053" t="s">
        <v>74</v>
      </c>
      <c r="R197" s="1053"/>
      <c r="S197" s="1053"/>
      <c r="T197" s="1053"/>
      <c r="U197" s="1053"/>
      <c r="V197" s="1053"/>
      <c r="W197" s="1053"/>
      <c r="X197" s="1053"/>
      <c r="Y197" s="1053"/>
      <c r="Z197" s="1053"/>
      <c r="AA197" s="1064">
        <f>+O197*0.87</f>
        <v>207.66900000000001</v>
      </c>
      <c r="AB197" s="1064"/>
      <c r="AC197" s="461"/>
      <c r="AG197" s="267"/>
      <c r="AH197" s="267"/>
      <c r="AI197" s="386"/>
      <c r="AJ197" s="386"/>
      <c r="AK197" s="407"/>
      <c r="AL197" s="267"/>
      <c r="AM197" s="267"/>
      <c r="AN197" s="267"/>
      <c r="AO197" s="267"/>
    </row>
    <row r="198" spans="2:50">
      <c r="B198" s="459"/>
      <c r="C198" s="409"/>
      <c r="D198" s="333"/>
      <c r="E198" s="410"/>
      <c r="F198" s="411"/>
      <c r="G198" s="333"/>
      <c r="H198" s="333"/>
      <c r="I198" s="411"/>
      <c r="J198" s="333"/>
      <c r="K198" s="405"/>
      <c r="L198" s="405"/>
      <c r="M198" s="333"/>
      <c r="N198" s="333"/>
      <c r="O198" s="1053">
        <f>+O197/7</f>
        <v>34.1</v>
      </c>
      <c r="P198" s="1053"/>
      <c r="Q198" s="1053" t="s">
        <v>75</v>
      </c>
      <c r="R198" s="1053"/>
      <c r="S198" s="1053"/>
      <c r="T198" s="1053"/>
      <c r="U198" s="1053"/>
      <c r="V198" s="1053"/>
      <c r="W198" s="1053"/>
      <c r="X198" s="1053"/>
      <c r="Y198" s="1053"/>
      <c r="Z198" s="1053"/>
      <c r="AA198" s="167"/>
      <c r="AB198" s="167"/>
      <c r="AC198" s="461"/>
      <c r="AG198" s="267"/>
      <c r="AH198" s="267"/>
      <c r="AI198" s="412"/>
      <c r="AJ198" s="413"/>
      <c r="AK198" s="407"/>
      <c r="AL198" s="267"/>
      <c r="AM198" s="267"/>
      <c r="AN198" s="267"/>
      <c r="AO198" s="267"/>
    </row>
    <row r="199" spans="2:50">
      <c r="B199" s="467">
        <f>+B197/7</f>
        <v>30.999999999999996</v>
      </c>
      <c r="C199" s="468" t="s">
        <v>86</v>
      </c>
      <c r="D199" s="333"/>
      <c r="E199" s="410"/>
      <c r="F199" s="411"/>
      <c r="G199" s="333"/>
      <c r="H199" s="333"/>
      <c r="I199" s="411"/>
      <c r="J199" s="333"/>
      <c r="K199" s="405"/>
      <c r="L199" s="405"/>
      <c r="M199" s="333"/>
      <c r="N199" s="333"/>
      <c r="O199" s="1065">
        <f>(O197-18)/7</f>
        <v>31.528571428571432</v>
      </c>
      <c r="P199" s="1065"/>
      <c r="Q199" s="1065" t="s">
        <v>77</v>
      </c>
      <c r="R199" s="1065"/>
      <c r="S199" s="1065"/>
      <c r="T199" s="1065"/>
      <c r="U199" s="1065"/>
      <c r="V199" s="1065"/>
      <c r="W199" s="1065"/>
      <c r="X199" s="1065"/>
      <c r="Y199" s="1065"/>
      <c r="Z199" s="1065"/>
      <c r="AA199" s="167"/>
      <c r="AB199" s="167"/>
      <c r="AC199" s="461"/>
      <c r="AG199" s="267"/>
      <c r="AH199" s="267"/>
      <c r="AI199" s="267"/>
      <c r="AJ199" s="267"/>
      <c r="AK199" s="407"/>
      <c r="AL199" s="267"/>
      <c r="AM199" s="267"/>
      <c r="AN199" s="267"/>
      <c r="AO199" s="267"/>
    </row>
    <row r="200" spans="2:50">
      <c r="B200" s="459"/>
      <c r="C200" s="409"/>
      <c r="D200" s="333"/>
      <c r="E200" s="410"/>
      <c r="F200" s="411"/>
      <c r="G200" s="333"/>
      <c r="H200" s="333"/>
      <c r="I200" s="411"/>
      <c r="J200" s="333"/>
      <c r="K200" s="405"/>
      <c r="L200" s="405"/>
      <c r="M200" s="333"/>
      <c r="N200" s="333"/>
      <c r="O200" s="1053">
        <v>3</v>
      </c>
      <c r="P200" s="1053"/>
      <c r="Q200" s="1053" t="s">
        <v>79</v>
      </c>
      <c r="R200" s="1053"/>
      <c r="S200" s="1053"/>
      <c r="T200" s="1053"/>
      <c r="U200" s="1053"/>
      <c r="V200" s="1053"/>
      <c r="W200" s="1053"/>
      <c r="X200" s="1053"/>
      <c r="Y200" s="1053"/>
      <c r="Z200" s="1053"/>
      <c r="AA200" s="167"/>
      <c r="AB200" s="167"/>
      <c r="AC200" s="461"/>
      <c r="AG200" s="267"/>
      <c r="AH200" s="267"/>
      <c r="AI200" s="267"/>
      <c r="AJ200" s="267"/>
      <c r="AK200" s="267"/>
      <c r="AL200" s="267"/>
      <c r="AM200" s="267"/>
      <c r="AN200" s="267"/>
      <c r="AO200" s="267"/>
    </row>
    <row r="201" spans="2:50" ht="15.75" thickBot="1">
      <c r="B201" s="469"/>
      <c r="C201" s="470"/>
      <c r="D201" s="471"/>
      <c r="E201" s="472"/>
      <c r="F201" s="473"/>
      <c r="G201" s="471"/>
      <c r="H201" s="471"/>
      <c r="I201" s="473"/>
      <c r="J201" s="471"/>
      <c r="K201" s="474"/>
      <c r="L201" s="474"/>
      <c r="M201" s="471"/>
      <c r="N201" s="471"/>
      <c r="O201" s="1081">
        <f>+O200+O199</f>
        <v>34.528571428571432</v>
      </c>
      <c r="P201" s="1081"/>
      <c r="Q201" s="471"/>
      <c r="R201" s="471"/>
      <c r="S201" s="471"/>
      <c r="T201" s="471"/>
      <c r="U201" s="471"/>
      <c r="V201" s="471"/>
      <c r="W201" s="471"/>
      <c r="X201" s="471"/>
      <c r="Y201" s="471"/>
      <c r="Z201" s="471"/>
      <c r="AA201" s="475"/>
      <c r="AB201" s="475"/>
      <c r="AC201" s="476"/>
      <c r="AG201" s="267"/>
      <c r="AH201" s="267"/>
      <c r="AI201" s="267"/>
      <c r="AJ201" s="267"/>
      <c r="AK201" s="267"/>
      <c r="AL201" s="267"/>
      <c r="AM201" s="267"/>
      <c r="AN201" s="267"/>
      <c r="AO201" s="267"/>
    </row>
    <row r="202" spans="2:50" ht="15.75" thickTop="1">
      <c r="B202" s="168"/>
      <c r="AG202" s="267"/>
      <c r="AH202" s="267"/>
      <c r="AI202" s="267"/>
      <c r="AJ202" s="267"/>
      <c r="AK202" s="267"/>
      <c r="AL202" s="267"/>
      <c r="AM202" s="267"/>
      <c r="AN202" s="267"/>
      <c r="AO202" s="267"/>
    </row>
    <row r="203" spans="2:50" ht="3" customHeight="1">
      <c r="Q203" s="308"/>
      <c r="R203" s="309"/>
      <c r="S203" s="310"/>
      <c r="T203" s="311"/>
      <c r="AA203" s="3"/>
      <c r="AB203" s="256"/>
      <c r="AC203" s="256"/>
      <c r="AD203" s="256"/>
      <c r="AE203" s="256"/>
      <c r="AF203" s="256"/>
      <c r="AG203" s="256"/>
      <c r="AH203" s="256"/>
      <c r="AI203" s="256"/>
      <c r="AJ203" s="256"/>
      <c r="AK203" s="256"/>
      <c r="AL203" s="256"/>
      <c r="AM203" s="254"/>
      <c r="AN203" s="254"/>
      <c r="AO203" s="254"/>
      <c r="AP203" s="254"/>
      <c r="AQ203" s="253"/>
      <c r="AS203" s="255"/>
      <c r="AT203" s="255"/>
      <c r="AX203" s="257"/>
    </row>
    <row r="204" spans="2:50" ht="14.1" customHeight="1">
      <c r="B204" s="7" t="s">
        <v>29</v>
      </c>
      <c r="C204" s="997" t="s">
        <v>30</v>
      </c>
      <c r="D204" s="997"/>
      <c r="E204" s="997" t="s">
        <v>31</v>
      </c>
      <c r="F204" s="997"/>
      <c r="G204" s="998" t="s">
        <v>32</v>
      </c>
      <c r="H204" s="999"/>
      <c r="I204" s="1004" t="s">
        <v>33</v>
      </c>
      <c r="J204" s="1005"/>
      <c r="K204" s="1006" t="s">
        <v>34</v>
      </c>
      <c r="L204" s="1006"/>
      <c r="M204" s="6"/>
      <c r="N204" s="1007" t="s">
        <v>35</v>
      </c>
      <c r="O204" s="1007"/>
      <c r="P204" s="6"/>
      <c r="Q204" s="1008" t="s">
        <v>36</v>
      </c>
      <c r="R204" s="1009"/>
      <c r="U204" s="1019" t="s">
        <v>37</v>
      </c>
      <c r="V204" s="1022" t="s">
        <v>38</v>
      </c>
      <c r="W204" s="1025" t="s">
        <v>39</v>
      </c>
      <c r="X204" s="983" t="s">
        <v>40</v>
      </c>
      <c r="AA204" s="3"/>
      <c r="AB204" s="256"/>
      <c r="AC204" s="256"/>
      <c r="AD204" s="256"/>
      <c r="AE204" s="256"/>
      <c r="AF204" s="256"/>
      <c r="AG204" s="256"/>
      <c r="AH204" s="256"/>
      <c r="AI204" s="256"/>
      <c r="AJ204" s="256"/>
      <c r="AK204" s="256"/>
      <c r="AL204" s="256"/>
      <c r="AM204" s="254"/>
      <c r="AN204" s="254"/>
      <c r="AO204" s="254"/>
      <c r="AP204" s="254"/>
      <c r="AQ204" s="253"/>
      <c r="AS204" s="255"/>
      <c r="AT204" s="255"/>
      <c r="AX204" s="257"/>
    </row>
    <row r="205" spans="2:50" ht="14.1" customHeight="1">
      <c r="B205" s="7" t="s">
        <v>41</v>
      </c>
      <c r="C205" s="997"/>
      <c r="D205" s="997"/>
      <c r="E205" s="997"/>
      <c r="F205" s="997"/>
      <c r="G205" s="1000"/>
      <c r="H205" s="1001"/>
      <c r="I205" s="1004"/>
      <c r="J205" s="1005"/>
      <c r="K205" s="1006"/>
      <c r="L205" s="1006"/>
      <c r="M205" s="6"/>
      <c r="N205" s="1007"/>
      <c r="O205" s="1007"/>
      <c r="P205" s="6"/>
      <c r="Q205" s="1010"/>
      <c r="R205" s="1011"/>
      <c r="U205" s="1020"/>
      <c r="V205" s="1023"/>
      <c r="W205" s="1026"/>
      <c r="X205" s="984"/>
      <c r="AA205" s="3"/>
      <c r="AB205" s="256"/>
      <c r="AC205" s="256"/>
      <c r="AD205" s="256"/>
      <c r="AE205" s="256"/>
      <c r="AF205" s="256"/>
      <c r="AG205" s="256"/>
      <c r="AH205" s="256"/>
      <c r="AI205" s="256"/>
      <c r="AJ205" s="256"/>
      <c r="AK205" s="256"/>
      <c r="AL205" s="256"/>
      <c r="AM205" s="254"/>
      <c r="AN205" s="254"/>
      <c r="AO205" s="254"/>
      <c r="AP205" s="254"/>
      <c r="AQ205" s="253"/>
      <c r="AS205" s="255"/>
      <c r="AT205" s="255"/>
      <c r="AX205" s="257"/>
    </row>
    <row r="206" spans="2:50" ht="14.1" customHeight="1">
      <c r="B206" s="7" t="s">
        <v>42</v>
      </c>
      <c r="C206" s="997"/>
      <c r="D206" s="997"/>
      <c r="E206" s="997"/>
      <c r="F206" s="997"/>
      <c r="G206" s="1000"/>
      <c r="H206" s="1001"/>
      <c r="I206" s="1004"/>
      <c r="J206" s="1005"/>
      <c r="K206" s="1006"/>
      <c r="L206" s="1006"/>
      <c r="M206" s="6"/>
      <c r="N206" s="1007"/>
      <c r="O206" s="1007"/>
      <c r="P206" s="6"/>
      <c r="Q206" s="1012"/>
      <c r="R206" s="1013"/>
      <c r="U206" s="1020"/>
      <c r="V206" s="1023"/>
      <c r="W206" s="1026"/>
      <c r="X206" s="984"/>
      <c r="AA206" s="3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254"/>
      <c r="AN206" s="254"/>
      <c r="AO206" s="254"/>
      <c r="AP206" s="254"/>
      <c r="AQ206" s="253"/>
      <c r="AS206" s="255"/>
      <c r="AT206" s="255"/>
      <c r="AV206" s="254"/>
      <c r="AX206" s="257"/>
    </row>
    <row r="207" spans="2:50" ht="26.25">
      <c r="B207" s="325" t="s">
        <v>44</v>
      </c>
      <c r="C207" s="986">
        <f>+E207*7</f>
        <v>198.33333333333331</v>
      </c>
      <c r="D207" s="986"/>
      <c r="E207" s="987">
        <f>+K207/30</f>
        <v>28.333333333333332</v>
      </c>
      <c r="F207" s="987"/>
      <c r="G207" s="1000"/>
      <c r="H207" s="1001"/>
      <c r="I207" s="988">
        <f>+E207/8</f>
        <v>3.5416666666666665</v>
      </c>
      <c r="J207" s="989"/>
      <c r="K207" s="990">
        <v>850</v>
      </c>
      <c r="L207" s="990"/>
      <c r="M207" s="326"/>
      <c r="N207" s="991">
        <f>+I207/6*7</f>
        <v>4.1319444444444446</v>
      </c>
      <c r="O207" s="992"/>
      <c r="P207" s="326"/>
      <c r="Q207" s="993">
        <f>+$I$71-I207</f>
        <v>1.6895833333333337</v>
      </c>
      <c r="R207" s="993"/>
      <c r="U207" s="1020"/>
      <c r="V207" s="1023"/>
      <c r="W207" s="1026"/>
      <c r="X207" s="984"/>
      <c r="AA207" s="3"/>
      <c r="AB207" s="3"/>
      <c r="AC207" s="3"/>
      <c r="AD207" s="3"/>
    </row>
    <row r="208" spans="2:50" ht="24.75">
      <c r="B208" s="332" t="s">
        <v>46</v>
      </c>
      <c r="C208" s="1014">
        <f>+E208*7</f>
        <v>267.75</v>
      </c>
      <c r="D208" s="1014"/>
      <c r="E208" s="1015">
        <f>+K208/30</f>
        <v>38.25</v>
      </c>
      <c r="F208" s="1015"/>
      <c r="G208" s="1002"/>
      <c r="H208" s="1003"/>
      <c r="I208" s="1016">
        <f>+E208/8</f>
        <v>4.78125</v>
      </c>
      <c r="J208" s="1017"/>
      <c r="K208" s="1018">
        <f>+K207*1.35</f>
        <v>1147.5</v>
      </c>
      <c r="L208" s="1018"/>
      <c r="M208" s="326"/>
      <c r="N208" s="991">
        <f>+I208/6*7</f>
        <v>5.578125</v>
      </c>
      <c r="O208" s="992"/>
      <c r="P208" s="326"/>
      <c r="Q208" s="993">
        <f>+$I$71-I208</f>
        <v>0.45000000000000018</v>
      </c>
      <c r="R208" s="993"/>
      <c r="U208" s="1020"/>
      <c r="V208" s="1023"/>
      <c r="W208" s="1026"/>
      <c r="X208" s="984"/>
      <c r="Z208" s="477"/>
      <c r="AA208" s="700"/>
      <c r="AB208" s="700"/>
      <c r="AC208" s="700"/>
      <c r="AD208" s="700"/>
      <c r="AE208" s="296"/>
      <c r="AF208" s="296"/>
      <c r="AG208" s="478"/>
      <c r="AH208" s="296"/>
      <c r="AI208" s="296"/>
      <c r="AJ208" s="296"/>
      <c r="AK208" s="296"/>
      <c r="AL208" s="296"/>
      <c r="AM208" s="296"/>
      <c r="AN208" s="296"/>
      <c r="AO208" s="296"/>
      <c r="AP208" s="296"/>
      <c r="AQ208" s="296"/>
      <c r="AR208" s="296"/>
      <c r="AS208" s="296"/>
      <c r="AT208" s="296"/>
    </row>
    <row r="209" spans="1:46" ht="2.1" customHeight="1">
      <c r="B209" s="334"/>
      <c r="C209" s="258"/>
      <c r="D209" s="258"/>
      <c r="G209" s="335"/>
      <c r="H209" s="335"/>
      <c r="I209" s="336"/>
      <c r="J209" s="336"/>
      <c r="K209" s="337"/>
      <c r="L209" s="337"/>
      <c r="M209" s="6"/>
      <c r="N209" s="338"/>
      <c r="O209" s="338"/>
      <c r="P209" s="6"/>
      <c r="Q209" s="339"/>
      <c r="R209" s="339"/>
      <c r="U209" s="1021"/>
      <c r="V209" s="1024"/>
      <c r="W209" s="1027"/>
      <c r="X209" s="985"/>
      <c r="Z209" s="477"/>
      <c r="AA209" s="700"/>
      <c r="AB209" s="700"/>
      <c r="AC209" s="700"/>
      <c r="AD209" s="700"/>
      <c r="AE209" s="296"/>
      <c r="AF209" s="296"/>
      <c r="AG209" s="478"/>
      <c r="AH209" s="296"/>
      <c r="AI209" s="296"/>
      <c r="AJ209" s="296"/>
      <c r="AK209" s="296"/>
      <c r="AL209" s="296"/>
      <c r="AM209" s="296"/>
      <c r="AN209" s="296"/>
      <c r="AO209" s="296"/>
      <c r="AP209" s="296"/>
      <c r="AQ209" s="296"/>
      <c r="AR209" s="296"/>
      <c r="AS209" s="296"/>
      <c r="AT209" s="296"/>
    </row>
    <row r="210" spans="1:46" ht="16.5">
      <c r="A210" s="1">
        <v>1</v>
      </c>
      <c r="B210" s="340" t="s">
        <v>47</v>
      </c>
      <c r="C210" s="1040">
        <f>6*3+7*33.8</f>
        <v>254.59999999999997</v>
      </c>
      <c r="D210" s="1041"/>
      <c r="E210" s="1030">
        <f t="shared" ref="E210:E217" si="85">+C210/7</f>
        <v>36.371428571428567</v>
      </c>
      <c r="F210" s="1031"/>
      <c r="G210" s="341"/>
      <c r="H210" s="341"/>
      <c r="I210" s="1032">
        <f t="shared" ref="I210:I217" si="86">+E210/8</f>
        <v>4.5464285714285708</v>
      </c>
      <c r="J210" s="1033"/>
      <c r="K210" s="1034">
        <f t="shared" ref="K210:K220" si="87">+E210*30</f>
        <v>1091.1428571428569</v>
      </c>
      <c r="L210" s="1034"/>
      <c r="M210" s="6"/>
      <c r="N210" s="1035">
        <f t="shared" ref="N210:N224" si="88">+I210/6*7</f>
        <v>5.3041666666666654</v>
      </c>
      <c r="O210" s="1035"/>
      <c r="P210" s="6"/>
      <c r="Q210" s="1036">
        <f t="shared" ref="Q210:Q224" si="89">+$I$71-I210</f>
        <v>0.68482142857142936</v>
      </c>
      <c r="R210" s="1037"/>
      <c r="U210" s="342">
        <f t="shared" ref="U210:U216" si="90">+AE171+U171+K171+AO150+AE150+U150+K150</f>
        <v>0</v>
      </c>
      <c r="V210" s="343">
        <v>48</v>
      </c>
      <c r="W210" s="344">
        <f t="shared" ref="W210:W224" si="91">+V210-U210</f>
        <v>48</v>
      </c>
      <c r="X210" s="345" t="e">
        <f t="shared" ref="X210:X216" si="92">+J150+T150+AD150+J171+T171+AD171</f>
        <v>#VALUE!</v>
      </c>
      <c r="Z210" s="477"/>
      <c r="AA210" s="700"/>
      <c r="AB210" s="700"/>
      <c r="AC210" s="700"/>
      <c r="AD210" s="700"/>
      <c r="AE210" s="296"/>
      <c r="AF210" s="296"/>
      <c r="AG210" s="478"/>
      <c r="AH210" s="296"/>
      <c r="AI210" s="296"/>
      <c r="AJ210" s="296"/>
      <c r="AK210" s="296"/>
      <c r="AL210" s="296"/>
      <c r="AM210" s="296"/>
      <c r="AN210" s="296"/>
      <c r="AO210" s="296"/>
      <c r="AP210" s="296"/>
      <c r="AQ210" s="296"/>
      <c r="AR210" s="296"/>
      <c r="AS210" s="296"/>
      <c r="AT210" s="296"/>
    </row>
    <row r="211" spans="1:46" ht="16.5">
      <c r="A211" s="1">
        <v>2</v>
      </c>
      <c r="B211" s="340" t="s">
        <v>48</v>
      </c>
      <c r="C211" s="1040">
        <f>6*3+7*38.5</f>
        <v>287.5</v>
      </c>
      <c r="D211" s="1041"/>
      <c r="E211" s="1030">
        <f t="shared" si="85"/>
        <v>41.071428571428569</v>
      </c>
      <c r="F211" s="1031"/>
      <c r="G211" s="341"/>
      <c r="H211" s="341"/>
      <c r="I211" s="1032">
        <f t="shared" si="86"/>
        <v>5.1339285714285712</v>
      </c>
      <c r="J211" s="1033"/>
      <c r="K211" s="1034">
        <f t="shared" si="87"/>
        <v>1232.1428571428571</v>
      </c>
      <c r="L211" s="1034"/>
      <c r="M211" s="6"/>
      <c r="N211" s="1035">
        <f t="shared" si="88"/>
        <v>5.989583333333333</v>
      </c>
      <c r="O211" s="1035"/>
      <c r="P211" s="6"/>
      <c r="Q211" s="1036">
        <f t="shared" si="89"/>
        <v>9.7321428571429003E-2</v>
      </c>
      <c r="R211" s="1037"/>
      <c r="U211" s="342">
        <f t="shared" si="90"/>
        <v>0</v>
      </c>
      <c r="V211" s="343">
        <v>48</v>
      </c>
      <c r="W211" s="344">
        <f t="shared" si="91"/>
        <v>48</v>
      </c>
      <c r="X211" s="345" t="e">
        <f t="shared" si="92"/>
        <v>#VALUE!</v>
      </c>
      <c r="Z211" s="477"/>
      <c r="AA211" s="700"/>
      <c r="AB211" s="700"/>
      <c r="AC211" s="700"/>
      <c r="AD211" s="700"/>
      <c r="AE211" s="296"/>
      <c r="AF211" s="296"/>
      <c r="AG211" s="478"/>
      <c r="AH211" s="296"/>
      <c r="AI211" s="296"/>
      <c r="AJ211" s="296"/>
      <c r="AK211" s="296"/>
      <c r="AL211" s="296"/>
      <c r="AM211" s="296"/>
      <c r="AN211" s="296"/>
      <c r="AO211" s="296"/>
      <c r="AP211" s="296"/>
      <c r="AQ211" s="296"/>
      <c r="AR211" s="296"/>
      <c r="AS211" s="296"/>
      <c r="AT211" s="296"/>
    </row>
    <row r="212" spans="1:46" ht="16.5">
      <c r="A212" s="1">
        <v>2</v>
      </c>
      <c r="B212" s="340" t="s">
        <v>61</v>
      </c>
      <c r="C212" s="1040">
        <f>6*3+7*38.5</f>
        <v>287.5</v>
      </c>
      <c r="D212" s="1041"/>
      <c r="E212" s="1030">
        <f t="shared" si="85"/>
        <v>41.071428571428569</v>
      </c>
      <c r="F212" s="1031"/>
      <c r="G212" s="341"/>
      <c r="H212" s="341"/>
      <c r="I212" s="1032">
        <f t="shared" si="86"/>
        <v>5.1339285714285712</v>
      </c>
      <c r="J212" s="1033"/>
      <c r="K212" s="1034">
        <f t="shared" si="87"/>
        <v>1232.1428571428571</v>
      </c>
      <c r="L212" s="1034"/>
      <c r="M212" s="6"/>
      <c r="N212" s="1035">
        <f t="shared" si="88"/>
        <v>5.989583333333333</v>
      </c>
      <c r="O212" s="1035"/>
      <c r="P212" s="6"/>
      <c r="Q212" s="1036">
        <f t="shared" si="89"/>
        <v>9.7321428571429003E-2</v>
      </c>
      <c r="R212" s="1037"/>
      <c r="U212" s="342">
        <f t="shared" si="90"/>
        <v>0</v>
      </c>
      <c r="V212" s="343">
        <v>48</v>
      </c>
      <c r="W212" s="344">
        <f t="shared" si="91"/>
        <v>48</v>
      </c>
      <c r="X212" s="345" t="e">
        <f t="shared" si="92"/>
        <v>#VALUE!</v>
      </c>
      <c r="Z212" s="477"/>
      <c r="AA212" s="700"/>
      <c r="AB212" s="700"/>
      <c r="AC212" s="700"/>
      <c r="AD212" s="700"/>
      <c r="AE212" s="296"/>
      <c r="AF212" s="296"/>
      <c r="AG212" s="478"/>
      <c r="AH212" s="296"/>
      <c r="AI212" s="296"/>
      <c r="AJ212" s="296"/>
      <c r="AK212" s="296"/>
      <c r="AL212" s="296"/>
      <c r="AM212" s="296"/>
      <c r="AN212" s="296"/>
      <c r="AO212" s="296"/>
      <c r="AP212" s="296"/>
      <c r="AQ212" s="296"/>
      <c r="AR212" s="296"/>
      <c r="AS212" s="296"/>
      <c r="AT212" s="296"/>
    </row>
    <row r="213" spans="1:46" ht="16.5">
      <c r="A213" s="1">
        <v>4</v>
      </c>
      <c r="B213" s="359" t="s">
        <v>50</v>
      </c>
      <c r="C213" s="1028">
        <f>6*3+7*30.762</f>
        <v>233.334</v>
      </c>
      <c r="D213" s="1029"/>
      <c r="E213" s="1030">
        <f t="shared" si="85"/>
        <v>33.33342857142857</v>
      </c>
      <c r="F213" s="1031"/>
      <c r="G213" s="341"/>
      <c r="H213" s="341"/>
      <c r="I213" s="1032">
        <f t="shared" si="86"/>
        <v>4.1666785714285712</v>
      </c>
      <c r="J213" s="1033"/>
      <c r="K213" s="1034">
        <f t="shared" si="87"/>
        <v>1000.0028571428571</v>
      </c>
      <c r="L213" s="1034"/>
      <c r="M213" s="6"/>
      <c r="N213" s="1035">
        <f t="shared" si="88"/>
        <v>4.8611250000000004</v>
      </c>
      <c r="O213" s="1035"/>
      <c r="P213" s="6"/>
      <c r="Q213" s="1036">
        <f t="shared" si="89"/>
        <v>1.0645714285714289</v>
      </c>
      <c r="R213" s="1037"/>
      <c r="S213" s="1082">
        <f>20*30/180*117</f>
        <v>390</v>
      </c>
      <c r="T213" s="1083"/>
      <c r="U213" s="342">
        <f t="shared" si="90"/>
        <v>0</v>
      </c>
      <c r="V213" s="343">
        <v>48</v>
      </c>
      <c r="W213" s="344">
        <f t="shared" si="91"/>
        <v>48</v>
      </c>
      <c r="X213" s="345">
        <f t="shared" si="92"/>
        <v>0</v>
      </c>
      <c r="Z213" s="1084" t="s">
        <v>99</v>
      </c>
      <c r="AA213" s="1084"/>
      <c r="AB213" s="1084"/>
      <c r="AC213" s="1084"/>
      <c r="AD213" s="477" t="s">
        <v>100</v>
      </c>
      <c r="AE213" s="700"/>
      <c r="AF213" s="296"/>
      <c r="AG213" s="701"/>
      <c r="AH213" s="701"/>
      <c r="AI213" s="296"/>
      <c r="AJ213" s="296"/>
      <c r="AK213" s="686"/>
      <c r="AL213" s="686"/>
      <c r="AM213" s="686"/>
      <c r="AN213" s="686"/>
      <c r="AO213" s="686"/>
      <c r="AP213" s="686"/>
      <c r="AQ213" s="686"/>
      <c r="AR213" s="686"/>
      <c r="AS213" s="296"/>
      <c r="AT213" s="296"/>
    </row>
    <row r="214" spans="1:46" ht="16.5">
      <c r="A214" s="1">
        <v>5</v>
      </c>
      <c r="B214" s="340" t="s">
        <v>52</v>
      </c>
      <c r="C214" s="1028">
        <f>6*3+7*38.5</f>
        <v>287.5</v>
      </c>
      <c r="D214" s="1029"/>
      <c r="E214" s="1030">
        <f t="shared" si="85"/>
        <v>41.071428571428569</v>
      </c>
      <c r="F214" s="1031"/>
      <c r="G214" s="341"/>
      <c r="H214" s="341"/>
      <c r="I214" s="1032">
        <f t="shared" si="86"/>
        <v>5.1339285714285712</v>
      </c>
      <c r="J214" s="1033"/>
      <c r="K214" s="1034">
        <f t="shared" si="87"/>
        <v>1232.1428571428571</v>
      </c>
      <c r="L214" s="1034"/>
      <c r="M214" s="6"/>
      <c r="N214" s="1035">
        <f t="shared" si="88"/>
        <v>5.989583333333333</v>
      </c>
      <c r="O214" s="1035"/>
      <c r="P214" s="6"/>
      <c r="Q214" s="1036">
        <f t="shared" si="89"/>
        <v>9.7321428571429003E-2</v>
      </c>
      <c r="R214" s="1037"/>
      <c r="U214" s="342">
        <f t="shared" si="90"/>
        <v>0</v>
      </c>
      <c r="V214" s="343">
        <v>48</v>
      </c>
      <c r="W214" s="344">
        <f t="shared" si="91"/>
        <v>48</v>
      </c>
      <c r="X214" s="345">
        <f t="shared" si="92"/>
        <v>0</v>
      </c>
      <c r="Z214" s="700"/>
      <c r="AA214" s="700"/>
      <c r="AB214" s="700"/>
      <c r="AC214" s="700"/>
      <c r="AD214" s="700"/>
      <c r="AE214" s="296"/>
      <c r="AF214" s="296"/>
      <c r="AG214" s="479"/>
      <c r="AH214" s="479"/>
      <c r="AI214" s="701"/>
      <c r="AJ214" s="701"/>
      <c r="AK214" s="701"/>
      <c r="AL214" s="701"/>
      <c r="AM214" s="701"/>
      <c r="AN214" s="701"/>
      <c r="AO214" s="701"/>
      <c r="AP214" s="701"/>
      <c r="AQ214" s="701"/>
      <c r="AR214" s="701"/>
      <c r="AS214" s="296"/>
      <c r="AT214" s="296"/>
    </row>
    <row r="215" spans="1:46" ht="16.5">
      <c r="A215" s="1">
        <v>7</v>
      </c>
      <c r="B215" s="365" t="s">
        <v>53</v>
      </c>
      <c r="C215" s="1042">
        <f>6*3+7*(38.5)</f>
        <v>287.5</v>
      </c>
      <c r="D215" s="1043"/>
      <c r="E215" s="1030">
        <f t="shared" si="85"/>
        <v>41.071428571428569</v>
      </c>
      <c r="F215" s="1031"/>
      <c r="G215" s="1046"/>
      <c r="H215" s="1047"/>
      <c r="I215" s="1032">
        <f t="shared" si="86"/>
        <v>5.1339285714285712</v>
      </c>
      <c r="J215" s="1033"/>
      <c r="K215" s="1034">
        <f t="shared" si="87"/>
        <v>1232.1428571428571</v>
      </c>
      <c r="L215" s="1034"/>
      <c r="M215" s="6"/>
      <c r="N215" s="1035">
        <f t="shared" si="88"/>
        <v>5.989583333333333</v>
      </c>
      <c r="O215" s="1035"/>
      <c r="P215" s="6"/>
      <c r="Q215" s="1036">
        <f t="shared" si="89"/>
        <v>9.7321428571429003E-2</v>
      </c>
      <c r="R215" s="1037"/>
      <c r="U215" s="342">
        <f t="shared" si="90"/>
        <v>0</v>
      </c>
      <c r="V215" s="343">
        <v>48</v>
      </c>
      <c r="W215" s="344">
        <f t="shared" si="91"/>
        <v>48</v>
      </c>
      <c r="X215" s="345">
        <f t="shared" si="92"/>
        <v>0</v>
      </c>
      <c r="Z215" s="372"/>
      <c r="AA215" s="372"/>
      <c r="AB215" s="1085" t="s">
        <v>101</v>
      </c>
      <c r="AC215" s="1086"/>
      <c r="AD215" s="1086"/>
      <c r="AE215" s="1086"/>
      <c r="AF215" s="1086"/>
      <c r="AG215" s="1086"/>
      <c r="AH215" s="1086"/>
      <c r="AI215" s="1086"/>
      <c r="AJ215" s="1086"/>
      <c r="AK215" s="1086"/>
      <c r="AL215" s="370"/>
      <c r="AM215" s="701"/>
      <c r="AN215" s="701"/>
      <c r="AO215" s="701"/>
      <c r="AP215" s="701"/>
      <c r="AQ215" s="701"/>
      <c r="AR215" s="701"/>
      <c r="AS215" s="296"/>
      <c r="AT215" s="296"/>
    </row>
    <row r="216" spans="1:46" s="371" customFormat="1" ht="16.5">
      <c r="A216" s="366">
        <v>6</v>
      </c>
      <c r="B216" s="365" t="s">
        <v>102</v>
      </c>
      <c r="C216" s="1042">
        <f>6*3+7*(27)</f>
        <v>207</v>
      </c>
      <c r="D216" s="1043"/>
      <c r="E216" s="1030">
        <f t="shared" si="85"/>
        <v>29.571428571428573</v>
      </c>
      <c r="F216" s="1031"/>
      <c r="G216" s="1087"/>
      <c r="H216" s="1088"/>
      <c r="I216" s="1032">
        <f t="shared" si="86"/>
        <v>3.6964285714285716</v>
      </c>
      <c r="J216" s="1033"/>
      <c r="K216" s="1034">
        <f t="shared" si="87"/>
        <v>887.14285714285722</v>
      </c>
      <c r="L216" s="1034"/>
      <c r="M216" s="6"/>
      <c r="N216" s="1035">
        <f t="shared" si="88"/>
        <v>4.3125</v>
      </c>
      <c r="O216" s="1035"/>
      <c r="P216" s="6"/>
      <c r="Q216" s="1036">
        <f t="shared" si="89"/>
        <v>1.5348214285714286</v>
      </c>
      <c r="R216" s="1037"/>
      <c r="S216" s="1082">
        <f>20*30/180*117</f>
        <v>390</v>
      </c>
      <c r="T216" s="1083"/>
      <c r="U216" s="342">
        <f t="shared" si="90"/>
        <v>0</v>
      </c>
      <c r="V216" s="343">
        <v>48</v>
      </c>
      <c r="W216" s="344">
        <f t="shared" si="91"/>
        <v>48</v>
      </c>
      <c r="X216" s="345">
        <f t="shared" si="92"/>
        <v>0</v>
      </c>
      <c r="Y216" s="367"/>
      <c r="Z216" s="700"/>
      <c r="AA216" s="700"/>
      <c r="AB216" s="700"/>
      <c r="AC216" s="700"/>
      <c r="AD216" s="700"/>
      <c r="AE216" s="296"/>
      <c r="AF216" s="296"/>
      <c r="AG216" s="701"/>
      <c r="AH216" s="701"/>
      <c r="AI216" s="370"/>
      <c r="AJ216" s="370"/>
      <c r="AK216" s="370"/>
      <c r="AL216" s="370"/>
      <c r="AM216" s="701"/>
      <c r="AN216" s="701"/>
      <c r="AO216" s="701"/>
      <c r="AP216" s="701"/>
      <c r="AQ216" s="701"/>
      <c r="AR216" s="701"/>
      <c r="AS216" s="296"/>
      <c r="AT216" s="296"/>
    </row>
    <row r="217" spans="1:46" s="371" customFormat="1" ht="16.5">
      <c r="A217" s="1">
        <v>8</v>
      </c>
      <c r="B217" s="365" t="s">
        <v>87</v>
      </c>
      <c r="C217" s="1042">
        <f>6*3+7*(25.7619)</f>
        <v>198.33330000000001</v>
      </c>
      <c r="D217" s="1043"/>
      <c r="E217" s="1030">
        <f t="shared" si="85"/>
        <v>28.333328571428574</v>
      </c>
      <c r="F217" s="1031"/>
      <c r="G217" s="1044">
        <v>25.761900000000001</v>
      </c>
      <c r="H217" s="1045"/>
      <c r="I217" s="1032">
        <f t="shared" si="86"/>
        <v>3.5416660714285717</v>
      </c>
      <c r="J217" s="1033"/>
      <c r="K217" s="1034">
        <f t="shared" si="87"/>
        <v>849.99985714285719</v>
      </c>
      <c r="L217" s="1034"/>
      <c r="M217" s="6"/>
      <c r="N217" s="1035">
        <f t="shared" si="88"/>
        <v>4.1319437500000005</v>
      </c>
      <c r="O217" s="1035"/>
      <c r="P217" s="6"/>
      <c r="Q217" s="1036">
        <f t="shared" si="89"/>
        <v>1.6895839285714285</v>
      </c>
      <c r="R217" s="1037"/>
      <c r="S217" s="3"/>
      <c r="T217" s="3"/>
      <c r="U217" s="342">
        <f>+AE179+U179+K179+AO158+AE158+U158+K158</f>
        <v>0</v>
      </c>
      <c r="V217" s="343">
        <v>48</v>
      </c>
      <c r="W217" s="344">
        <f t="shared" si="91"/>
        <v>48</v>
      </c>
      <c r="X217" s="345">
        <f>+J158+T158+AD158+J179+T179+AD179</f>
        <v>0</v>
      </c>
      <c r="Y217" s="3"/>
      <c r="Z217" s="700"/>
      <c r="AA217" s="700"/>
      <c r="AB217" s="700"/>
      <c r="AC217" s="700"/>
      <c r="AD217" s="700"/>
      <c r="AE217" s="296"/>
      <c r="AF217" s="296"/>
      <c r="AG217" s="701"/>
      <c r="AH217" s="701"/>
      <c r="AI217" s="370"/>
      <c r="AJ217" s="370"/>
      <c r="AK217" s="370"/>
      <c r="AL217" s="370"/>
      <c r="AM217" s="701"/>
      <c r="AN217" s="701"/>
      <c r="AO217" s="701"/>
      <c r="AP217" s="701"/>
      <c r="AQ217" s="701"/>
      <c r="AR217" s="701"/>
      <c r="AS217" s="296"/>
      <c r="AT217" s="296"/>
    </row>
    <row r="218" spans="1:46" ht="16.5">
      <c r="B218" s="365" t="s">
        <v>54</v>
      </c>
      <c r="C218" s="1042"/>
      <c r="D218" s="1043"/>
      <c r="E218" s="1030"/>
      <c r="F218" s="1031"/>
      <c r="G218" s="1087"/>
      <c r="H218" s="1088"/>
      <c r="I218" s="1032"/>
      <c r="J218" s="1033"/>
      <c r="K218" s="1034">
        <f t="shared" si="87"/>
        <v>0</v>
      </c>
      <c r="L218" s="1034"/>
      <c r="M218" s="6"/>
      <c r="N218" s="1035">
        <f t="shared" si="88"/>
        <v>0</v>
      </c>
      <c r="O218" s="1035"/>
      <c r="P218" s="6"/>
      <c r="Q218" s="1036">
        <f t="shared" si="89"/>
        <v>5.2312500000000002</v>
      </c>
      <c r="R218" s="1037"/>
      <c r="U218" s="342">
        <f>+AE183+U183+K183+AO162+AE162+U162+K162</f>
        <v>0</v>
      </c>
      <c r="V218" s="343">
        <v>48</v>
      </c>
      <c r="W218" s="344">
        <f t="shared" si="91"/>
        <v>48</v>
      </c>
      <c r="X218" s="345" t="e">
        <f>+#REF!+#REF!+#REF!+#REF!+#REF!+#REF!</f>
        <v>#REF!</v>
      </c>
      <c r="Z218" s="372"/>
      <c r="AA218" s="372"/>
      <c r="AB218" s="700"/>
      <c r="AC218" s="700"/>
      <c r="AD218" s="700"/>
      <c r="AE218" s="296"/>
      <c r="AF218" s="296"/>
      <c r="AG218" s="701"/>
      <c r="AH218" s="701"/>
      <c r="AI218" s="701"/>
      <c r="AJ218" s="701"/>
      <c r="AK218" s="701"/>
      <c r="AL218" s="701"/>
      <c r="AM218" s="701"/>
      <c r="AN218" s="701"/>
      <c r="AO218" s="701"/>
      <c r="AP218" s="701"/>
      <c r="AQ218" s="701"/>
      <c r="AR218" s="701"/>
      <c r="AS218" s="296"/>
      <c r="AT218" s="296"/>
    </row>
    <row r="219" spans="1:46" ht="16.5">
      <c r="B219" s="365" t="s">
        <v>54</v>
      </c>
      <c r="C219" s="1028">
        <f>6*3+7*35</f>
        <v>263</v>
      </c>
      <c r="D219" s="1029"/>
      <c r="E219" s="1030">
        <f t="shared" ref="E219:E224" si="93">+C219/7</f>
        <v>37.571428571428569</v>
      </c>
      <c r="F219" s="1031"/>
      <c r="G219" s="341"/>
      <c r="H219" s="341"/>
      <c r="I219" s="1032">
        <f>+E219/8</f>
        <v>4.6964285714285712</v>
      </c>
      <c r="J219" s="1033"/>
      <c r="K219" s="1034">
        <f t="shared" si="87"/>
        <v>1127.1428571428571</v>
      </c>
      <c r="L219" s="1034"/>
      <c r="M219" s="374"/>
      <c r="N219" s="1035">
        <f t="shared" si="88"/>
        <v>5.479166666666667</v>
      </c>
      <c r="O219" s="1035"/>
      <c r="P219" s="6"/>
      <c r="Q219" s="1036">
        <f t="shared" si="89"/>
        <v>0.534821428571429</v>
      </c>
      <c r="R219" s="1037"/>
      <c r="U219" s="342">
        <f>+AE180+U180+K180+AO159+AE159+U159+K159</f>
        <v>0</v>
      </c>
      <c r="V219" s="343">
        <v>48</v>
      </c>
      <c r="W219" s="344">
        <f t="shared" si="91"/>
        <v>48</v>
      </c>
      <c r="X219" s="345">
        <f>+J159+T159+AD159+J180+T180+AD180</f>
        <v>0</v>
      </c>
      <c r="Z219" s="1084">
        <f>+K219/E219</f>
        <v>30</v>
      </c>
      <c r="AA219" s="1084"/>
      <c r="AB219" s="1084"/>
      <c r="AC219" s="1084"/>
      <c r="AD219" s="700"/>
      <c r="AE219" s="296"/>
      <c r="AF219" s="296"/>
      <c r="AG219" s="479"/>
      <c r="AH219" s="479"/>
      <c r="AI219" s="701"/>
      <c r="AJ219" s="701"/>
      <c r="AK219" s="701"/>
      <c r="AL219" s="701"/>
      <c r="AM219" s="701"/>
      <c r="AN219" s="701"/>
      <c r="AO219" s="701"/>
      <c r="AP219" s="701"/>
      <c r="AQ219" s="701"/>
      <c r="AR219" s="701"/>
      <c r="AS219" s="296"/>
      <c r="AT219" s="296"/>
    </row>
    <row r="220" spans="1:46" ht="16.5">
      <c r="A220" s="1">
        <v>3</v>
      </c>
      <c r="B220" s="340" t="s">
        <v>66</v>
      </c>
      <c r="C220" s="1028">
        <f>6*3+7*34.0952</f>
        <v>256.66639999999995</v>
      </c>
      <c r="D220" s="1029"/>
      <c r="E220" s="1030">
        <f t="shared" si="93"/>
        <v>36.666628571428568</v>
      </c>
      <c r="F220" s="1031"/>
      <c r="G220" s="1044">
        <f>(C220-18)/7</f>
        <v>34.095199999999991</v>
      </c>
      <c r="H220" s="1045"/>
      <c r="I220" s="1032">
        <f>+E220/8</f>
        <v>4.583328571428571</v>
      </c>
      <c r="J220" s="1089"/>
      <c r="K220" s="1090">
        <f t="shared" si="87"/>
        <v>1099.9988571428571</v>
      </c>
      <c r="L220" s="1091"/>
      <c r="M220" s="374"/>
      <c r="N220" s="1050">
        <f t="shared" si="88"/>
        <v>5.3472166666666663</v>
      </c>
      <c r="O220" s="1051"/>
      <c r="P220" s="6"/>
      <c r="Q220" s="1036">
        <f t="shared" si="89"/>
        <v>0.6479214285714292</v>
      </c>
      <c r="R220" s="1037"/>
      <c r="U220" s="342">
        <f>+AE181+U181+K181+AO160+AE160+U160+K160</f>
        <v>0</v>
      </c>
      <c r="V220" s="343">
        <v>48</v>
      </c>
      <c r="W220" s="344">
        <f t="shared" si="91"/>
        <v>48</v>
      </c>
      <c r="X220" s="345">
        <f>+J160+T160+AD160+J181+T181+AD181</f>
        <v>0</v>
      </c>
      <c r="Z220" s="481"/>
      <c r="AA220" s="482"/>
      <c r="AB220" s="477"/>
      <c r="AC220" s="700"/>
      <c r="AD220" s="700"/>
      <c r="AE220" s="296"/>
      <c r="AF220" s="296"/>
      <c r="AG220" s="701"/>
      <c r="AH220" s="701"/>
      <c r="AI220" s="370"/>
      <c r="AJ220" s="370"/>
      <c r="AK220" s="370"/>
      <c r="AL220" s="370"/>
      <c r="AM220" s="701"/>
      <c r="AN220" s="701"/>
      <c r="AO220" s="701"/>
      <c r="AP220" s="701"/>
      <c r="AQ220" s="701"/>
      <c r="AR220" s="701"/>
      <c r="AS220" s="296"/>
      <c r="AT220" s="296"/>
    </row>
    <row r="221" spans="1:46" ht="16.5">
      <c r="B221" s="483" t="s">
        <v>55</v>
      </c>
      <c r="C221" s="1104">
        <f>+G221*6</f>
        <v>169.99979999999999</v>
      </c>
      <c r="D221" s="1105"/>
      <c r="E221" s="1106">
        <f t="shared" si="93"/>
        <v>24.285685714285712</v>
      </c>
      <c r="F221" s="1107"/>
      <c r="G221" s="1108">
        <f>28.3333</f>
        <v>28.333300000000001</v>
      </c>
      <c r="H221" s="1109"/>
      <c r="I221" s="1106">
        <f>+G221/8</f>
        <v>3.5416625000000002</v>
      </c>
      <c r="J221" s="1107"/>
      <c r="K221" s="1110">
        <f>+G221*30</f>
        <v>849.99900000000002</v>
      </c>
      <c r="L221" s="1111"/>
      <c r="M221" s="6"/>
      <c r="N221" s="1050">
        <f t="shared" si="88"/>
        <v>4.1319395833333337</v>
      </c>
      <c r="O221" s="1051"/>
      <c r="P221" s="6"/>
      <c r="Q221" s="1048">
        <f t="shared" si="89"/>
        <v>1.6895875</v>
      </c>
      <c r="R221" s="1049"/>
      <c r="U221" s="342">
        <f>+AE183+U183+K183+AO162+AE162+U162+K162</f>
        <v>0</v>
      </c>
      <c r="V221" s="343">
        <v>48</v>
      </c>
      <c r="W221" s="344">
        <f t="shared" si="91"/>
        <v>48</v>
      </c>
      <c r="X221" s="345">
        <f>+J161+T161+AD161+J182+T182+AD182</f>
        <v>0</v>
      </c>
      <c r="Z221" s="481"/>
      <c r="AA221" s="482"/>
      <c r="AB221" s="477"/>
      <c r="AC221" s="700"/>
      <c r="AD221" s="700"/>
      <c r="AE221" s="296"/>
      <c r="AF221" s="296"/>
      <c r="AG221" s="370"/>
      <c r="AH221" s="370"/>
      <c r="AI221" s="701"/>
      <c r="AJ221" s="701"/>
      <c r="AK221" s="701"/>
      <c r="AL221" s="701"/>
      <c r="AM221" s="701"/>
      <c r="AN221" s="701"/>
      <c r="AO221" s="701"/>
      <c r="AP221" s="701"/>
      <c r="AQ221" s="701"/>
      <c r="AR221" s="701"/>
      <c r="AS221" s="296"/>
      <c r="AT221" s="296"/>
    </row>
    <row r="222" spans="1:46" ht="16.5">
      <c r="B222" s="483" t="s">
        <v>103</v>
      </c>
      <c r="C222" s="1104">
        <f>+G222*6</f>
        <v>199.99979999999999</v>
      </c>
      <c r="D222" s="1105"/>
      <c r="E222" s="1106">
        <f t="shared" si="93"/>
        <v>28.571400000000001</v>
      </c>
      <c r="F222" s="1107"/>
      <c r="G222" s="1108">
        <v>33.333300000000001</v>
      </c>
      <c r="H222" s="1109"/>
      <c r="I222" s="1106">
        <f>+G222/8</f>
        <v>4.1666625000000002</v>
      </c>
      <c r="J222" s="1107"/>
      <c r="K222" s="1110">
        <f>+G222*30</f>
        <v>999.99900000000002</v>
      </c>
      <c r="L222" s="1111"/>
      <c r="M222" s="6"/>
      <c r="N222" s="1050">
        <f t="shared" si="88"/>
        <v>4.8611062500000006</v>
      </c>
      <c r="O222" s="1051"/>
      <c r="P222" s="6"/>
      <c r="Q222" s="1048">
        <f t="shared" si="89"/>
        <v>1.0645875</v>
      </c>
      <c r="R222" s="1049"/>
      <c r="U222" s="342">
        <f>+AE184+U184+K184+AO163+AE163+U163+K163</f>
        <v>0</v>
      </c>
      <c r="V222" s="343">
        <v>48</v>
      </c>
      <c r="W222" s="344">
        <f t="shared" si="91"/>
        <v>48</v>
      </c>
      <c r="X222" s="345">
        <f>+J162+T162+AD162+J183+T183+AD183</f>
        <v>0</v>
      </c>
      <c r="Z222" s="372"/>
      <c r="AA222" s="372"/>
      <c r="AB222" s="700"/>
      <c r="AC222" s="700"/>
      <c r="AD222" s="700">
        <v>200</v>
      </c>
      <c r="AE222" s="296"/>
      <c r="AF222" s="1092">
        <f>+AD222/6</f>
        <v>33.333333333333336</v>
      </c>
      <c r="AG222" s="1092"/>
      <c r="AH222" s="1092"/>
      <c r="AI222" s="701"/>
      <c r="AJ222" s="701"/>
      <c r="AK222" s="701"/>
      <c r="AL222" s="701"/>
      <c r="AM222" s="701"/>
      <c r="AN222" s="701"/>
      <c r="AO222" s="701"/>
      <c r="AP222" s="701"/>
      <c r="AQ222" s="701"/>
      <c r="AR222" s="701"/>
      <c r="AS222" s="296"/>
      <c r="AT222" s="296"/>
    </row>
    <row r="223" spans="1:46" ht="16.5">
      <c r="A223" s="366"/>
      <c r="B223" s="483" t="s">
        <v>104</v>
      </c>
      <c r="C223" s="1093">
        <v>100</v>
      </c>
      <c r="D223" s="1094"/>
      <c r="E223" s="1095">
        <f t="shared" si="93"/>
        <v>14.285714285714286</v>
      </c>
      <c r="F223" s="1096"/>
      <c r="G223" s="1097">
        <f>+C223/6</f>
        <v>16.666666666666668</v>
      </c>
      <c r="H223" s="1098"/>
      <c r="I223" s="1099">
        <f>+E223/8/6*7</f>
        <v>2.0833333333333335</v>
      </c>
      <c r="J223" s="1100"/>
      <c r="K223" s="1101">
        <f>+G223*30</f>
        <v>500.00000000000006</v>
      </c>
      <c r="L223" s="1101"/>
      <c r="M223" s="6"/>
      <c r="N223" s="1035">
        <f t="shared" si="88"/>
        <v>2.4305555555555558</v>
      </c>
      <c r="O223" s="1035"/>
      <c r="P223" s="6"/>
      <c r="Q223" s="1102">
        <f t="shared" si="89"/>
        <v>3.1479166666666667</v>
      </c>
      <c r="R223" s="1103"/>
      <c r="U223" s="342">
        <f>+AE183+U183+K183+AO162+AE162+U162+K162</f>
        <v>0</v>
      </c>
      <c r="V223" s="343">
        <v>48</v>
      </c>
      <c r="W223" s="344">
        <f t="shared" si="91"/>
        <v>48</v>
      </c>
      <c r="X223" s="345">
        <f>+J162+T162+AD162+J183+T183+AD183</f>
        <v>0</v>
      </c>
      <c r="Y223" s="367"/>
      <c r="Z223" s="700"/>
      <c r="AA223" s="700"/>
      <c r="AB223" s="700"/>
      <c r="AC223" s="700"/>
      <c r="AG223" s="701"/>
      <c r="AH223" s="701"/>
      <c r="AI223" s="296"/>
      <c r="AJ223" s="296"/>
      <c r="AK223" s="686"/>
      <c r="AL223" s="686"/>
      <c r="AM223" s="686"/>
      <c r="AN223" s="686"/>
      <c r="AO223" s="686"/>
      <c r="AP223" s="686"/>
      <c r="AQ223" s="686"/>
      <c r="AR223" s="686"/>
      <c r="AS223" s="296"/>
      <c r="AT223" s="296"/>
    </row>
    <row r="224" spans="1:46" ht="16.5">
      <c r="B224" s="375" t="s">
        <v>65</v>
      </c>
      <c r="C224" s="1054">
        <f>6*3+7*(G224)</f>
        <v>548.33330000000001</v>
      </c>
      <c r="D224" s="1055"/>
      <c r="E224" s="1056">
        <f t="shared" si="93"/>
        <v>78.333328571428567</v>
      </c>
      <c r="F224" s="1057"/>
      <c r="G224" s="1058">
        <v>75.761899999999997</v>
      </c>
      <c r="H224" s="1059"/>
      <c r="I224" s="1060">
        <f>+E224/8</f>
        <v>9.7916660714285708</v>
      </c>
      <c r="J224" s="1061"/>
      <c r="K224" s="1062">
        <f>+E224*30</f>
        <v>2349.9998571428569</v>
      </c>
      <c r="L224" s="1063"/>
      <c r="M224" s="6"/>
      <c r="N224" s="1035">
        <f t="shared" si="88"/>
        <v>11.423610416666666</v>
      </c>
      <c r="O224" s="1035"/>
      <c r="P224" s="6"/>
      <c r="Q224" s="1048">
        <f t="shared" si="89"/>
        <v>-4.5604160714285706</v>
      </c>
      <c r="R224" s="1049"/>
      <c r="U224" s="342">
        <f>+AE187+U187+K187+AO166+AE166+U166+K166</f>
        <v>0</v>
      </c>
      <c r="V224" s="343">
        <v>48</v>
      </c>
      <c r="W224" s="344">
        <f t="shared" si="91"/>
        <v>48</v>
      </c>
      <c r="X224" s="345">
        <f>+J166+T166+AD166+J187+T187+AD187</f>
        <v>0</v>
      </c>
      <c r="Z224" s="372"/>
      <c r="AA224" s="372"/>
      <c r="AB224" s="700"/>
      <c r="AC224" s="700"/>
      <c r="AD224" s="700"/>
      <c r="AE224" s="296"/>
      <c r="AF224" s="296"/>
      <c r="AG224" s="701"/>
      <c r="AH224" s="701"/>
      <c r="AI224" s="701"/>
      <c r="AJ224" s="701"/>
      <c r="AK224" s="701"/>
      <c r="AL224" s="701"/>
      <c r="AM224" s="701"/>
      <c r="AN224" s="701"/>
      <c r="AO224" s="701"/>
      <c r="AP224" s="701"/>
      <c r="AQ224" s="296"/>
      <c r="AR224" s="296"/>
      <c r="AS224" s="296"/>
      <c r="AT224" s="296"/>
    </row>
    <row r="225" spans="3:37">
      <c r="AE225" s="376"/>
      <c r="AF225" s="376"/>
      <c r="AJ225" s="376"/>
      <c r="AK225" s="376"/>
    </row>
    <row r="226" spans="3:37" ht="15.75" thickBot="1">
      <c r="AE226" s="376"/>
      <c r="AF226" s="376"/>
      <c r="AJ226" s="376"/>
      <c r="AK226" s="376"/>
    </row>
    <row r="227" spans="3:37">
      <c r="C227" s="484"/>
      <c r="D227" s="485"/>
      <c r="E227" s="486"/>
      <c r="F227" s="487"/>
      <c r="G227" s="485"/>
      <c r="H227" s="485"/>
      <c r="I227" s="487"/>
      <c r="J227" s="485"/>
      <c r="K227" s="488"/>
      <c r="L227" s="488"/>
      <c r="M227" s="485"/>
      <c r="N227" s="485"/>
      <c r="O227" s="485"/>
      <c r="P227" s="485"/>
      <c r="Q227" s="485"/>
      <c r="R227" s="485"/>
      <c r="S227" s="485"/>
      <c r="T227" s="485"/>
      <c r="U227" s="485"/>
      <c r="V227" s="485"/>
      <c r="W227" s="485"/>
      <c r="X227" s="485"/>
      <c r="Y227" s="485"/>
      <c r="Z227" s="485"/>
      <c r="AA227" s="489"/>
      <c r="AB227" s="489"/>
      <c r="AC227" s="489"/>
      <c r="AD227" s="489"/>
      <c r="AE227" s="490"/>
      <c r="AF227" s="490"/>
      <c r="AG227" s="491"/>
      <c r="AJ227" s="376"/>
      <c r="AK227" s="376"/>
    </row>
    <row r="228" spans="3:37" ht="18">
      <c r="C228" s="492"/>
      <c r="D228" s="333"/>
      <c r="E228" s="493" t="s">
        <v>105</v>
      </c>
      <c r="F228" s="411"/>
      <c r="G228" s="333"/>
      <c r="H228" s="333"/>
      <c r="I228" s="411"/>
      <c r="J228" s="333"/>
      <c r="K228" s="405"/>
      <c r="L228" s="405"/>
      <c r="M228" s="333"/>
      <c r="N228" s="333"/>
      <c r="O228" s="333"/>
      <c r="P228" s="333"/>
      <c r="Q228" s="333"/>
      <c r="R228" s="333"/>
      <c r="S228" s="333"/>
      <c r="T228" s="333"/>
      <c r="U228" s="333"/>
      <c r="V228" s="333"/>
      <c r="W228" s="333"/>
      <c r="X228" s="333"/>
      <c r="Y228" s="333"/>
      <c r="Z228" s="333"/>
      <c r="AA228" s="167"/>
      <c r="AB228" s="167"/>
      <c r="AC228" s="167"/>
      <c r="AD228" s="167"/>
      <c r="AE228" s="376"/>
      <c r="AF228" s="376"/>
      <c r="AG228" s="494"/>
      <c r="AJ228" s="376"/>
      <c r="AK228" s="376"/>
    </row>
    <row r="229" spans="3:37">
      <c r="C229" s="492"/>
      <c r="D229" s="333"/>
      <c r="E229" s="410"/>
      <c r="F229" s="411"/>
      <c r="G229" s="333"/>
      <c r="H229" s="333"/>
      <c r="I229" s="411"/>
      <c r="J229" s="333"/>
      <c r="K229" s="405"/>
      <c r="L229" s="405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1112" t="s">
        <v>106</v>
      </c>
      <c r="AB229" s="1113"/>
      <c r="AC229" s="1114"/>
      <c r="AD229" s="1115" t="s">
        <v>107</v>
      </c>
      <c r="AE229" s="1116"/>
      <c r="AF229" s="1117"/>
      <c r="AG229" s="494"/>
      <c r="AH229" s="167"/>
      <c r="AI229" s="167"/>
      <c r="AJ229" s="376"/>
      <c r="AK229" s="376"/>
    </row>
    <row r="230" spans="3:37" ht="16.5" thickBot="1">
      <c r="C230" s="492"/>
      <c r="D230" s="1118" t="s">
        <v>108</v>
      </c>
      <c r="E230" s="1118"/>
      <c r="F230" s="1118"/>
      <c r="G230" s="1118"/>
      <c r="H230" s="1118"/>
      <c r="I230" s="1119" t="s">
        <v>109</v>
      </c>
      <c r="J230" s="1119"/>
      <c r="K230" s="1119"/>
      <c r="L230" s="1120" t="s">
        <v>110</v>
      </c>
      <c r="M230" s="1120"/>
      <c r="N230" s="1120"/>
      <c r="O230" s="1120" t="s">
        <v>111</v>
      </c>
      <c r="P230" s="1120"/>
      <c r="Q230" s="1120"/>
      <c r="R230" s="1121" t="s">
        <v>112</v>
      </c>
      <c r="S230" s="1121"/>
      <c r="T230" s="1121"/>
      <c r="U230" s="1120" t="s">
        <v>113</v>
      </c>
      <c r="V230" s="1120"/>
      <c r="W230" s="1122"/>
      <c r="X230" s="1123" t="s">
        <v>114</v>
      </c>
      <c r="Y230" s="1124"/>
      <c r="Z230" s="1125"/>
      <c r="AA230" s="1126" t="s">
        <v>115</v>
      </c>
      <c r="AB230" s="1126"/>
      <c r="AC230" s="1127"/>
      <c r="AD230" s="1128" t="s">
        <v>116</v>
      </c>
      <c r="AE230" s="1129"/>
      <c r="AF230" s="1130"/>
      <c r="AG230" s="494"/>
      <c r="AH230" s="167"/>
      <c r="AI230" s="167"/>
      <c r="AJ230" s="376"/>
      <c r="AK230" s="376"/>
    </row>
    <row r="231" spans="3:37" ht="19.5" thickTop="1">
      <c r="C231" s="495">
        <v>1</v>
      </c>
      <c r="D231" s="1131" t="s">
        <v>50</v>
      </c>
      <c r="E231" s="1131"/>
      <c r="F231" s="1131"/>
      <c r="G231" s="1131"/>
      <c r="H231" s="1131"/>
      <c r="I231" s="1132">
        <v>30.762</v>
      </c>
      <c r="J231" s="1132"/>
      <c r="K231" s="1132"/>
      <c r="L231" s="1133">
        <v>1</v>
      </c>
      <c r="M231" s="1133"/>
      <c r="N231" s="1133"/>
      <c r="O231" s="1133">
        <v>2</v>
      </c>
      <c r="P231" s="1133"/>
      <c r="Q231" s="1133"/>
      <c r="R231" s="1134">
        <f t="shared" ref="R231:R238" si="94">+I231+L231+O231</f>
        <v>33.762</v>
      </c>
      <c r="S231" s="1134"/>
      <c r="T231" s="1134"/>
      <c r="U231" s="1135">
        <f t="shared" ref="U231:U238" si="95">+I231*7+(L231+O231)*6</f>
        <v>233.334</v>
      </c>
      <c r="V231" s="1135"/>
      <c r="W231" s="1136"/>
      <c r="X231" s="1137">
        <f t="shared" ref="X231:X238" si="96">+U231/7*30</f>
        <v>1000.0028571428571</v>
      </c>
      <c r="Y231" s="1138"/>
      <c r="Z231" s="1139"/>
      <c r="AA231" s="1140">
        <v>31</v>
      </c>
      <c r="AB231" s="1141"/>
      <c r="AC231" s="1141"/>
      <c r="AD231" s="1142">
        <f>+AA231-I231</f>
        <v>0.23799999999999955</v>
      </c>
      <c r="AE231" s="1142"/>
      <c r="AF231" s="1142"/>
      <c r="AG231" s="494"/>
      <c r="AH231" s="167"/>
      <c r="AI231" s="1143">
        <f>+AD231+I231</f>
        <v>31</v>
      </c>
      <c r="AJ231" s="1143"/>
      <c r="AK231" s="1143"/>
    </row>
    <row r="232" spans="3:37" ht="18.75">
      <c r="C232" s="495">
        <v>2</v>
      </c>
      <c r="D232" s="1144" t="s">
        <v>117</v>
      </c>
      <c r="E232" s="1144"/>
      <c r="F232" s="1144"/>
      <c r="G232" s="1144"/>
      <c r="H232" s="1144"/>
      <c r="I232" s="1145">
        <v>25.762</v>
      </c>
      <c r="J232" s="1145"/>
      <c r="K232" s="1145"/>
      <c r="L232" s="1146">
        <v>1</v>
      </c>
      <c r="M232" s="1146"/>
      <c r="N232" s="1146"/>
      <c r="O232" s="1146">
        <v>2</v>
      </c>
      <c r="P232" s="1146"/>
      <c r="Q232" s="1146"/>
      <c r="R232" s="1147">
        <f t="shared" si="94"/>
        <v>28.762</v>
      </c>
      <c r="S232" s="1147"/>
      <c r="T232" s="1147"/>
      <c r="U232" s="1148">
        <f t="shared" si="95"/>
        <v>198.334</v>
      </c>
      <c r="V232" s="1148"/>
      <c r="W232" s="1149"/>
      <c r="X232" s="1150">
        <f t="shared" si="96"/>
        <v>850.00285714285724</v>
      </c>
      <c r="Y232" s="1151"/>
      <c r="Z232" s="1152"/>
      <c r="AA232" s="1153">
        <v>31</v>
      </c>
      <c r="AB232" s="1154"/>
      <c r="AC232" s="1154"/>
      <c r="AD232" s="1143">
        <f>+AA232-I232</f>
        <v>5.2379999999999995</v>
      </c>
      <c r="AE232" s="1143"/>
      <c r="AF232" s="1143"/>
      <c r="AG232" s="494"/>
      <c r="AH232" s="167"/>
      <c r="AI232" s="1142">
        <f>+AD232+I232</f>
        <v>31</v>
      </c>
      <c r="AJ232" s="1142"/>
      <c r="AK232" s="1142"/>
    </row>
    <row r="233" spans="3:37" ht="18.75">
      <c r="C233" s="495">
        <v>3</v>
      </c>
      <c r="D233" s="1144" t="s">
        <v>118</v>
      </c>
      <c r="E233" s="1144"/>
      <c r="F233" s="1144"/>
      <c r="G233" s="1144"/>
      <c r="H233" s="1144"/>
      <c r="I233" s="1145">
        <v>38.5</v>
      </c>
      <c r="J233" s="1145"/>
      <c r="K233" s="1145"/>
      <c r="L233" s="1146">
        <v>1</v>
      </c>
      <c r="M233" s="1146"/>
      <c r="N233" s="1146"/>
      <c r="O233" s="1146">
        <v>2</v>
      </c>
      <c r="P233" s="1146"/>
      <c r="Q233" s="1146"/>
      <c r="R233" s="1147">
        <f t="shared" si="94"/>
        <v>41.5</v>
      </c>
      <c r="S233" s="1147"/>
      <c r="T233" s="1147"/>
      <c r="U233" s="1148">
        <f t="shared" si="95"/>
        <v>287.5</v>
      </c>
      <c r="V233" s="1148"/>
      <c r="W233" s="1149"/>
      <c r="X233" s="1150">
        <f t="shared" si="96"/>
        <v>1232.1428571428571</v>
      </c>
      <c r="Y233" s="1151"/>
      <c r="Z233" s="1152"/>
      <c r="AA233" s="1153">
        <v>31</v>
      </c>
      <c r="AB233" s="1154"/>
      <c r="AC233" s="1154"/>
      <c r="AD233" s="1143">
        <v>0</v>
      </c>
      <c r="AE233" s="1143"/>
      <c r="AF233" s="1143"/>
      <c r="AG233" s="494"/>
      <c r="AH233" s="167"/>
      <c r="AI233" s="167"/>
      <c r="AJ233" s="376"/>
      <c r="AK233" s="376"/>
    </row>
    <row r="234" spans="3:37" ht="18.75">
      <c r="C234" s="495">
        <v>4</v>
      </c>
      <c r="D234" s="1144" t="s">
        <v>119</v>
      </c>
      <c r="E234" s="1144"/>
      <c r="F234" s="1144"/>
      <c r="G234" s="1144"/>
      <c r="H234" s="1144"/>
      <c r="I234" s="1145">
        <v>38.5</v>
      </c>
      <c r="J234" s="1145"/>
      <c r="K234" s="1145"/>
      <c r="L234" s="1146">
        <v>1</v>
      </c>
      <c r="M234" s="1146"/>
      <c r="N234" s="1146"/>
      <c r="O234" s="1146">
        <v>2</v>
      </c>
      <c r="P234" s="1146"/>
      <c r="Q234" s="1146"/>
      <c r="R234" s="1147">
        <f t="shared" si="94"/>
        <v>41.5</v>
      </c>
      <c r="S234" s="1147"/>
      <c r="T234" s="1147"/>
      <c r="U234" s="1148">
        <f t="shared" si="95"/>
        <v>287.5</v>
      </c>
      <c r="V234" s="1148"/>
      <c r="W234" s="1149"/>
      <c r="X234" s="1150">
        <f t="shared" si="96"/>
        <v>1232.1428571428571</v>
      </c>
      <c r="Y234" s="1151"/>
      <c r="Z234" s="1152"/>
      <c r="AA234" s="1153">
        <v>31</v>
      </c>
      <c r="AB234" s="1154"/>
      <c r="AC234" s="1154"/>
      <c r="AD234" s="1143">
        <v>0</v>
      </c>
      <c r="AE234" s="1143"/>
      <c r="AF234" s="1143"/>
      <c r="AG234" s="494"/>
      <c r="AH234" s="167"/>
      <c r="AI234" s="167"/>
      <c r="AJ234" s="376"/>
      <c r="AK234" s="376"/>
    </row>
    <row r="235" spans="3:37" ht="18.75">
      <c r="C235" s="495">
        <v>5</v>
      </c>
      <c r="D235" s="1144" t="s">
        <v>120</v>
      </c>
      <c r="E235" s="1144"/>
      <c r="F235" s="1144"/>
      <c r="G235" s="1144"/>
      <c r="H235" s="1144"/>
      <c r="I235" s="1145">
        <v>38.5</v>
      </c>
      <c r="J235" s="1145"/>
      <c r="K235" s="1145"/>
      <c r="L235" s="1146">
        <v>1</v>
      </c>
      <c r="M235" s="1146"/>
      <c r="N235" s="1146"/>
      <c r="O235" s="1146">
        <v>2</v>
      </c>
      <c r="P235" s="1146"/>
      <c r="Q235" s="1146"/>
      <c r="R235" s="1147">
        <f t="shared" si="94"/>
        <v>41.5</v>
      </c>
      <c r="S235" s="1147"/>
      <c r="T235" s="1147"/>
      <c r="U235" s="1148">
        <f t="shared" si="95"/>
        <v>287.5</v>
      </c>
      <c r="V235" s="1148"/>
      <c r="W235" s="1149"/>
      <c r="X235" s="1150">
        <f t="shared" si="96"/>
        <v>1232.1428571428571</v>
      </c>
      <c r="Y235" s="1151"/>
      <c r="Z235" s="1152"/>
      <c r="AA235" s="1153">
        <v>31</v>
      </c>
      <c r="AB235" s="1154"/>
      <c r="AC235" s="1154"/>
      <c r="AD235" s="1143">
        <v>0</v>
      </c>
      <c r="AE235" s="1143"/>
      <c r="AF235" s="1143"/>
      <c r="AG235" s="494"/>
      <c r="AH235" s="167"/>
      <c r="AI235" s="167"/>
      <c r="AJ235" s="376"/>
      <c r="AK235" s="376"/>
    </row>
    <row r="236" spans="3:37" ht="18.75">
      <c r="C236" s="495">
        <v>6</v>
      </c>
      <c r="D236" s="1144" t="s">
        <v>121</v>
      </c>
      <c r="E236" s="1144"/>
      <c r="F236" s="1144"/>
      <c r="G236" s="1144"/>
      <c r="H236" s="1144"/>
      <c r="I236" s="1145">
        <v>33.799999999999997</v>
      </c>
      <c r="J236" s="1145"/>
      <c r="K236" s="1145"/>
      <c r="L236" s="1146">
        <v>1</v>
      </c>
      <c r="M236" s="1146"/>
      <c r="N236" s="1146"/>
      <c r="O236" s="1146">
        <v>2</v>
      </c>
      <c r="P236" s="1146"/>
      <c r="Q236" s="1146"/>
      <c r="R236" s="1147">
        <f t="shared" si="94"/>
        <v>36.799999999999997</v>
      </c>
      <c r="S236" s="1147"/>
      <c r="T236" s="1147"/>
      <c r="U236" s="1148">
        <f t="shared" si="95"/>
        <v>254.59999999999997</v>
      </c>
      <c r="V236" s="1148"/>
      <c r="W236" s="1149"/>
      <c r="X236" s="1150">
        <f t="shared" si="96"/>
        <v>1091.1428571428569</v>
      </c>
      <c r="Y236" s="1151"/>
      <c r="Z236" s="1152"/>
      <c r="AA236" s="1153">
        <v>31</v>
      </c>
      <c r="AB236" s="1154"/>
      <c r="AC236" s="1154"/>
      <c r="AD236" s="1143">
        <v>0</v>
      </c>
      <c r="AE236" s="1143"/>
      <c r="AF236" s="1143"/>
      <c r="AG236" s="494"/>
      <c r="AH236" s="167"/>
      <c r="AI236" s="167"/>
      <c r="AJ236" s="376"/>
      <c r="AK236" s="376"/>
    </row>
    <row r="237" spans="3:37" ht="18.75">
      <c r="C237" s="495">
        <v>7</v>
      </c>
      <c r="D237" s="1144" t="s">
        <v>122</v>
      </c>
      <c r="E237" s="1144"/>
      <c r="F237" s="1144"/>
      <c r="G237" s="1144"/>
      <c r="H237" s="1144"/>
      <c r="I237" s="1145">
        <v>38.5</v>
      </c>
      <c r="J237" s="1145"/>
      <c r="K237" s="1145"/>
      <c r="L237" s="1146">
        <v>1</v>
      </c>
      <c r="M237" s="1146"/>
      <c r="N237" s="1146"/>
      <c r="O237" s="1146">
        <v>2</v>
      </c>
      <c r="P237" s="1146"/>
      <c r="Q237" s="1146"/>
      <c r="R237" s="1147">
        <f t="shared" si="94"/>
        <v>41.5</v>
      </c>
      <c r="S237" s="1147"/>
      <c r="T237" s="1147"/>
      <c r="U237" s="1148">
        <f t="shared" si="95"/>
        <v>287.5</v>
      </c>
      <c r="V237" s="1148"/>
      <c r="W237" s="1149"/>
      <c r="X237" s="1150">
        <f t="shared" si="96"/>
        <v>1232.1428571428571</v>
      </c>
      <c r="Y237" s="1151"/>
      <c r="Z237" s="1152"/>
      <c r="AA237" s="1153">
        <v>31</v>
      </c>
      <c r="AB237" s="1154"/>
      <c r="AC237" s="1154"/>
      <c r="AD237" s="1143">
        <v>0</v>
      </c>
      <c r="AE237" s="1143"/>
      <c r="AF237" s="1143"/>
      <c r="AG237" s="494"/>
      <c r="AH237" s="167"/>
      <c r="AI237" s="167"/>
      <c r="AJ237" s="376"/>
      <c r="AK237" s="376"/>
    </row>
    <row r="238" spans="3:37" ht="18.75">
      <c r="C238" s="495">
        <v>8</v>
      </c>
      <c r="D238" s="1144" t="s">
        <v>66</v>
      </c>
      <c r="E238" s="1144"/>
      <c r="F238" s="1144"/>
      <c r="G238" s="1144"/>
      <c r="H238" s="1144"/>
      <c r="I238" s="1145">
        <v>34.095199999999998</v>
      </c>
      <c r="J238" s="1145"/>
      <c r="K238" s="1145"/>
      <c r="L238" s="1146">
        <v>1</v>
      </c>
      <c r="M238" s="1146"/>
      <c r="N238" s="1146"/>
      <c r="O238" s="1146">
        <v>2</v>
      </c>
      <c r="P238" s="1146"/>
      <c r="Q238" s="1146"/>
      <c r="R238" s="1147">
        <f t="shared" si="94"/>
        <v>37.095199999999998</v>
      </c>
      <c r="S238" s="1147"/>
      <c r="T238" s="1147"/>
      <c r="U238" s="1148">
        <f t="shared" si="95"/>
        <v>256.66639999999995</v>
      </c>
      <c r="V238" s="1148"/>
      <c r="W238" s="1149"/>
      <c r="X238" s="1150">
        <f t="shared" si="96"/>
        <v>1099.9988571428571</v>
      </c>
      <c r="Y238" s="1151"/>
      <c r="Z238" s="1152"/>
      <c r="AA238" s="1153">
        <v>31</v>
      </c>
      <c r="AB238" s="1154"/>
      <c r="AC238" s="1154"/>
      <c r="AD238" s="1143">
        <v>0</v>
      </c>
      <c r="AE238" s="1143"/>
      <c r="AF238" s="1143"/>
      <c r="AG238" s="494"/>
      <c r="AH238" s="167"/>
      <c r="AI238" s="167"/>
      <c r="AJ238" s="376"/>
      <c r="AK238" s="376"/>
    </row>
    <row r="239" spans="3:37" ht="17.25">
      <c r="C239" s="495">
        <v>9</v>
      </c>
      <c r="D239" s="1144"/>
      <c r="E239" s="1144"/>
      <c r="F239" s="1144"/>
      <c r="G239" s="1144"/>
      <c r="H239" s="1144"/>
      <c r="I239" s="1165"/>
      <c r="J239" s="1165"/>
      <c r="K239" s="1165"/>
      <c r="L239" s="1146"/>
      <c r="M239" s="1146"/>
      <c r="N239" s="1146"/>
      <c r="O239" s="1146"/>
      <c r="P239" s="1146"/>
      <c r="Q239" s="1146"/>
      <c r="R239" s="1160"/>
      <c r="S239" s="1160"/>
      <c r="T239" s="1160"/>
      <c r="U239" s="1148"/>
      <c r="V239" s="1148"/>
      <c r="W239" s="1149"/>
      <c r="X239" s="1150"/>
      <c r="Y239" s="1151"/>
      <c r="Z239" s="1152"/>
      <c r="AA239" s="1153"/>
      <c r="AB239" s="1154"/>
      <c r="AC239" s="1154"/>
      <c r="AD239" s="1143"/>
      <c r="AE239" s="1143"/>
      <c r="AF239" s="1143"/>
      <c r="AG239" s="494"/>
      <c r="AH239" s="167"/>
      <c r="AI239" s="167"/>
      <c r="AJ239" s="376"/>
      <c r="AK239" s="376"/>
    </row>
    <row r="240" spans="3:37" ht="17.25">
      <c r="C240" s="492"/>
      <c r="D240" s="409"/>
      <c r="E240" s="410"/>
      <c r="F240" s="411"/>
      <c r="G240" s="333"/>
      <c r="H240" s="333"/>
      <c r="I240" s="411"/>
      <c r="J240" s="333"/>
      <c r="K240" s="405"/>
      <c r="L240" s="405"/>
      <c r="M240" s="333"/>
      <c r="N240" s="333"/>
      <c r="O240" s="333"/>
      <c r="P240" s="333"/>
      <c r="Q240" s="333"/>
      <c r="R240" s="333"/>
      <c r="S240" s="1160" t="s">
        <v>23</v>
      </c>
      <c r="T240" s="1160"/>
      <c r="U240" s="1160"/>
      <c r="V240" s="333"/>
      <c r="W240" s="333"/>
      <c r="X240" s="1161">
        <f>SUM(X231:Z239)</f>
        <v>8969.718857142856</v>
      </c>
      <c r="Y240" s="1162"/>
      <c r="Z240" s="1163"/>
      <c r="AA240" s="496"/>
      <c r="AB240" s="496"/>
      <c r="AC240" s="496"/>
      <c r="AD240" s="1164">
        <f>SUM(AD231:AF239)</f>
        <v>5.4759999999999991</v>
      </c>
      <c r="AE240" s="1164"/>
      <c r="AF240" s="1164"/>
      <c r="AG240" s="494"/>
      <c r="AH240" s="167"/>
      <c r="AI240" s="167"/>
      <c r="AJ240" s="376"/>
      <c r="AK240" s="376"/>
    </row>
    <row r="241" spans="2:46" ht="15.75" thickBot="1">
      <c r="C241" s="492"/>
      <c r="D241" s="1155">
        <v>28.333300000000001</v>
      </c>
      <c r="E241" s="1155"/>
      <c r="F241" s="1155"/>
      <c r="G241" s="497" t="s">
        <v>123</v>
      </c>
      <c r="H241" s="333"/>
      <c r="I241" s="411"/>
      <c r="J241" s="333"/>
      <c r="K241" s="405"/>
      <c r="L241" s="405"/>
      <c r="M241" s="333"/>
      <c r="N241" s="333"/>
      <c r="O241" s="333"/>
      <c r="P241" s="333"/>
      <c r="Q241" s="333"/>
      <c r="R241" s="333"/>
      <c r="S241" s="333"/>
      <c r="T241" s="333"/>
      <c r="U241" s="333"/>
      <c r="V241" s="333"/>
      <c r="W241" s="333"/>
      <c r="X241" s="333"/>
      <c r="Y241" s="333"/>
      <c r="Z241" s="333"/>
      <c r="AA241" s="167"/>
      <c r="AB241" s="167"/>
      <c r="AC241" s="167"/>
      <c r="AD241" s="167"/>
      <c r="AE241" s="376"/>
      <c r="AF241" s="376"/>
      <c r="AG241" s="494"/>
      <c r="AH241" s="167"/>
      <c r="AI241" s="167"/>
      <c r="AJ241" s="376"/>
      <c r="AK241" s="376"/>
    </row>
    <row r="242" spans="2:46" ht="15.75" thickBot="1">
      <c r="C242" s="492"/>
      <c r="D242" s="1155">
        <v>31</v>
      </c>
      <c r="E242" s="1155"/>
      <c r="F242" s="1155"/>
      <c r="G242" s="497" t="s">
        <v>124</v>
      </c>
      <c r="H242" s="333"/>
      <c r="I242" s="411"/>
      <c r="J242" s="333"/>
      <c r="K242" s="405"/>
      <c r="L242" s="405"/>
      <c r="M242" s="1155">
        <f>+D242-D241</f>
        <v>2.6666999999999987</v>
      </c>
      <c r="N242" s="1155"/>
      <c r="O242" s="1155"/>
      <c r="P242" s="498" t="s">
        <v>125</v>
      </c>
      <c r="Q242" s="333"/>
      <c r="R242" s="333"/>
      <c r="S242" s="333"/>
      <c r="T242" s="499"/>
      <c r="U242" s="333"/>
      <c r="V242" s="333"/>
      <c r="W242" s="499" t="s">
        <v>126</v>
      </c>
      <c r="X242" s="333"/>
      <c r="Y242" s="333"/>
      <c r="Z242" s="333"/>
      <c r="AA242" s="167"/>
      <c r="AB242" s="167"/>
      <c r="AC242" s="167"/>
      <c r="AD242" s="1156">
        <f>+AD240</f>
        <v>5.4759999999999991</v>
      </c>
      <c r="AE242" s="1157"/>
      <c r="AF242" s="1158"/>
      <c r="AG242" s="494"/>
      <c r="AH242" s="167"/>
      <c r="AI242" s="167"/>
      <c r="AJ242" s="376"/>
      <c r="AK242" s="376"/>
    </row>
    <row r="243" spans="2:46" ht="15.75" thickBot="1">
      <c r="C243" s="500"/>
      <c r="D243" s="501"/>
      <c r="E243" s="502"/>
      <c r="F243" s="503"/>
      <c r="G243" s="501"/>
      <c r="H243" s="501"/>
      <c r="I243" s="503"/>
      <c r="J243" s="501"/>
      <c r="K243" s="504"/>
      <c r="L243" s="504"/>
      <c r="M243" s="501"/>
      <c r="N243" s="501"/>
      <c r="O243" s="501"/>
      <c r="P243" s="501"/>
      <c r="Q243" s="501"/>
      <c r="R243" s="501"/>
      <c r="S243" s="501"/>
      <c r="T243" s="501"/>
      <c r="U243" s="501"/>
      <c r="V243" s="501"/>
      <c r="W243" s="501"/>
      <c r="X243" s="501"/>
      <c r="Y243" s="501"/>
      <c r="Z243" s="501"/>
      <c r="AA243" s="505"/>
      <c r="AB243" s="505"/>
      <c r="AC243" s="505"/>
      <c r="AD243" s="506"/>
      <c r="AE243" s="506"/>
      <c r="AF243" s="506"/>
      <c r="AG243" s="507"/>
      <c r="AH243" s="167"/>
      <c r="AI243" s="167"/>
      <c r="AJ243" s="376"/>
      <c r="AK243" s="376"/>
    </row>
    <row r="244" spans="2:46">
      <c r="AG244" s="267"/>
      <c r="AH244" s="267"/>
      <c r="AI244" s="267"/>
      <c r="AJ244" s="267"/>
      <c r="AK244" s="267"/>
      <c r="AL244" s="267"/>
      <c r="AM244" s="267"/>
      <c r="AN244" s="267"/>
      <c r="AO244" s="267"/>
    </row>
    <row r="245" spans="2:46" ht="15.75" thickBot="1">
      <c r="AG245" s="267"/>
      <c r="AH245" s="267"/>
      <c r="AI245" s="267"/>
      <c r="AJ245" s="267"/>
      <c r="AK245" s="267"/>
      <c r="AL245" s="267"/>
      <c r="AM245" s="267"/>
      <c r="AN245" s="267"/>
      <c r="AO245" s="267"/>
    </row>
    <row r="246" spans="2:46" ht="16.5" thickBot="1">
      <c r="B246" s="508">
        <v>850</v>
      </c>
      <c r="C246" s="509" t="s">
        <v>67</v>
      </c>
      <c r="D246" s="510"/>
      <c r="E246" s="511" t="s">
        <v>49</v>
      </c>
      <c r="F246" s="512"/>
      <c r="G246" s="510"/>
      <c r="H246" s="510"/>
      <c r="I246" s="512"/>
      <c r="J246" s="510"/>
      <c r="K246" s="512"/>
      <c r="L246" s="512"/>
      <c r="M246" s="510"/>
      <c r="N246" s="510"/>
      <c r="O246" s="510"/>
      <c r="P246" s="510"/>
      <c r="Q246" s="510"/>
      <c r="R246" s="510"/>
      <c r="S246" s="510"/>
      <c r="T246" s="510"/>
      <c r="U246" s="510"/>
      <c r="V246" s="510"/>
      <c r="W246" s="510"/>
      <c r="X246" s="510"/>
      <c r="Y246" s="510"/>
      <c r="Z246" s="510"/>
      <c r="AA246" s="513"/>
      <c r="AB246" s="513"/>
      <c r="AC246" s="514"/>
      <c r="AD246" s="296"/>
      <c r="AE246" s="296"/>
      <c r="AF246" s="296"/>
      <c r="AG246" s="296"/>
      <c r="AH246" s="296"/>
      <c r="AI246" s="296"/>
      <c r="AJ246" s="296"/>
      <c r="AK246" s="296"/>
      <c r="AL246" s="296"/>
      <c r="AM246" s="296"/>
      <c r="AN246" s="296"/>
      <c r="AO246" s="296"/>
      <c r="AP246" s="267"/>
      <c r="AQ246" s="267"/>
      <c r="AR246" s="267"/>
      <c r="AS246" s="267"/>
      <c r="AT246" s="267"/>
    </row>
    <row r="247" spans="2:46" ht="15.75">
      <c r="B247" s="515">
        <f>+B246/30*7</f>
        <v>198.33333333333331</v>
      </c>
      <c r="C247" s="516" t="s">
        <v>68</v>
      </c>
      <c r="D247" s="517"/>
      <c r="E247" s="518"/>
      <c r="F247" s="519"/>
      <c r="G247" s="518"/>
      <c r="H247" s="518"/>
      <c r="I247" s="519"/>
      <c r="J247" s="518"/>
      <c r="K247" s="519"/>
      <c r="L247" s="519"/>
      <c r="M247" s="518"/>
      <c r="N247" s="518"/>
      <c r="O247" s="1159" t="s">
        <v>127</v>
      </c>
      <c r="P247" s="1159"/>
      <c r="Q247" s="1159"/>
      <c r="R247" s="1159"/>
      <c r="S247" s="1159"/>
      <c r="T247" s="1159"/>
      <c r="U247" s="1159"/>
      <c r="V247" s="1159"/>
      <c r="W247" s="1159"/>
      <c r="X247" s="1159"/>
      <c r="Y247" s="1159"/>
      <c r="Z247" s="1159"/>
      <c r="AA247" s="520"/>
      <c r="AB247" s="520"/>
      <c r="AC247" s="521"/>
      <c r="AD247" s="296"/>
      <c r="AE247" s="701"/>
      <c r="AF247" s="701"/>
      <c r="AG247" s="296"/>
      <c r="AH247" s="296"/>
      <c r="AI247" s="296"/>
      <c r="AJ247" s="701"/>
      <c r="AK247" s="701"/>
      <c r="AL247" s="296"/>
      <c r="AM247" s="296"/>
      <c r="AN247" s="296"/>
      <c r="AO247" s="296"/>
      <c r="AP247" s="267"/>
      <c r="AQ247" s="267"/>
      <c r="AR247" s="267"/>
      <c r="AS247" s="267"/>
      <c r="AT247" s="267"/>
    </row>
    <row r="248" spans="2:46">
      <c r="B248" s="515">
        <f>+B247-18</f>
        <v>180.33333333333331</v>
      </c>
      <c r="C248" s="516" t="s">
        <v>70</v>
      </c>
      <c r="D248" s="518"/>
      <c r="E248" s="518"/>
      <c r="F248" s="519"/>
      <c r="G248" s="518"/>
      <c r="H248" s="518"/>
      <c r="I248" s="519"/>
      <c r="J248" s="518"/>
      <c r="K248" s="519"/>
      <c r="L248" s="519"/>
      <c r="M248" s="518"/>
      <c r="N248" s="518"/>
      <c r="O248" s="1159">
        <f>+B246</f>
        <v>850</v>
      </c>
      <c r="P248" s="1159"/>
      <c r="Q248" s="1159" t="s">
        <v>71</v>
      </c>
      <c r="R248" s="1159"/>
      <c r="S248" s="1159"/>
      <c r="T248" s="1159"/>
      <c r="U248" s="1159"/>
      <c r="V248" s="1159"/>
      <c r="W248" s="1159"/>
      <c r="X248" s="1159"/>
      <c r="Y248" s="1159"/>
      <c r="Z248" s="1159"/>
      <c r="AA248" s="520" t="s">
        <v>72</v>
      </c>
      <c r="AB248" s="520"/>
      <c r="AC248" s="521"/>
      <c r="AD248" s="296"/>
      <c r="AE248" s="701"/>
      <c r="AF248" s="701"/>
      <c r="AG248" s="296"/>
      <c r="AH248" s="296"/>
      <c r="AI248" s="296"/>
      <c r="AJ248" s="701"/>
      <c r="AK248" s="701"/>
      <c r="AL248" s="296"/>
      <c r="AM248" s="296"/>
      <c r="AN248" s="296"/>
      <c r="AO248" s="296"/>
      <c r="AP248" s="267"/>
      <c r="AQ248" s="267"/>
      <c r="AR248" s="267"/>
      <c r="AS248" s="267"/>
      <c r="AT248" s="267"/>
    </row>
    <row r="249" spans="2:46">
      <c r="B249" s="522">
        <f>+B248/7</f>
        <v>25.761904761904759</v>
      </c>
      <c r="C249" s="523" t="s">
        <v>73</v>
      </c>
      <c r="D249" s="524"/>
      <c r="E249" s="518"/>
      <c r="F249" s="519"/>
      <c r="G249" s="518"/>
      <c r="H249" s="518"/>
      <c r="I249" s="519"/>
      <c r="J249" s="518"/>
      <c r="K249" s="519"/>
      <c r="L249" s="519"/>
      <c r="M249" s="518"/>
      <c r="N249" s="518"/>
      <c r="O249" s="1159">
        <f>+O248/30*7</f>
        <v>198.33333333333331</v>
      </c>
      <c r="P249" s="1159"/>
      <c r="Q249" s="1159" t="s">
        <v>74</v>
      </c>
      <c r="R249" s="1159"/>
      <c r="S249" s="1159"/>
      <c r="T249" s="1159"/>
      <c r="U249" s="1159"/>
      <c r="V249" s="1159"/>
      <c r="W249" s="1159"/>
      <c r="X249" s="1159"/>
      <c r="Y249" s="1159"/>
      <c r="Z249" s="1159"/>
      <c r="AA249" s="1166">
        <f>+O249*0.87</f>
        <v>172.54999999999998</v>
      </c>
      <c r="AB249" s="1166"/>
      <c r="AC249" s="521"/>
      <c r="AD249" s="296"/>
      <c r="AE249" s="384"/>
      <c r="AF249" s="384"/>
      <c r="AG249" s="296"/>
      <c r="AH249" s="296"/>
      <c r="AI249" s="296"/>
      <c r="AJ249" s="384"/>
      <c r="AK249" s="384"/>
      <c r="AL249" s="385"/>
      <c r="AM249" s="385"/>
      <c r="AN249" s="385"/>
      <c r="AO249" s="385"/>
      <c r="AP249" s="386"/>
      <c r="AQ249" s="386"/>
      <c r="AR249" s="267"/>
      <c r="AS249" s="267"/>
      <c r="AT249" s="267"/>
    </row>
    <row r="250" spans="2:46">
      <c r="B250" s="525"/>
      <c r="C250" s="518"/>
      <c r="D250" s="518"/>
      <c r="E250" s="518"/>
      <c r="F250" s="519"/>
      <c r="G250" s="518"/>
      <c r="H250" s="518"/>
      <c r="I250" s="519"/>
      <c r="J250" s="518"/>
      <c r="K250" s="519"/>
      <c r="L250" s="519"/>
      <c r="M250" s="518"/>
      <c r="N250" s="518"/>
      <c r="O250" s="1159">
        <f>+O249/7</f>
        <v>28.333333333333332</v>
      </c>
      <c r="P250" s="1159"/>
      <c r="Q250" s="1159" t="s">
        <v>75</v>
      </c>
      <c r="R250" s="1159"/>
      <c r="S250" s="1159"/>
      <c r="T250" s="1159"/>
      <c r="U250" s="1159"/>
      <c r="V250" s="1159"/>
      <c r="W250" s="1159"/>
      <c r="X250" s="1159"/>
      <c r="Y250" s="1159"/>
      <c r="Z250" s="1159"/>
      <c r="AA250" s="520"/>
      <c r="AB250" s="520"/>
      <c r="AC250" s="521"/>
      <c r="AD250" s="296"/>
      <c r="AE250" s="701"/>
      <c r="AF250" s="701"/>
      <c r="AG250" s="296"/>
      <c r="AH250" s="296"/>
      <c r="AI250" s="296"/>
      <c r="AJ250" s="701"/>
      <c r="AK250" s="701"/>
      <c r="AL250" s="387"/>
      <c r="AM250" s="387"/>
      <c r="AN250" s="385"/>
      <c r="AO250" s="385"/>
      <c r="AP250" s="386"/>
      <c r="AQ250" s="386"/>
      <c r="AR250" s="267"/>
      <c r="AS250" s="267"/>
      <c r="AT250" s="267"/>
    </row>
    <row r="251" spans="2:46" ht="15.75">
      <c r="B251" s="526">
        <f>+B249</f>
        <v>25.761904761904759</v>
      </c>
      <c r="C251" s="527" t="s">
        <v>128</v>
      </c>
      <c r="D251" s="528"/>
      <c r="E251" s="528"/>
      <c r="F251" s="528"/>
      <c r="G251" s="518"/>
      <c r="H251" s="518"/>
      <c r="I251" s="519"/>
      <c r="J251" s="518"/>
      <c r="K251" s="519"/>
      <c r="L251" s="519"/>
      <c r="M251" s="518"/>
      <c r="N251" s="518"/>
      <c r="O251" s="1159">
        <f>(O249-18)/7</f>
        <v>25.761904761904759</v>
      </c>
      <c r="P251" s="1159"/>
      <c r="Q251" s="1159" t="s">
        <v>77</v>
      </c>
      <c r="R251" s="1159"/>
      <c r="S251" s="1159"/>
      <c r="T251" s="1159"/>
      <c r="U251" s="1159"/>
      <c r="V251" s="1159"/>
      <c r="W251" s="1159"/>
      <c r="X251" s="1159"/>
      <c r="Y251" s="1159"/>
      <c r="Z251" s="1159"/>
      <c r="AA251" s="520"/>
      <c r="AB251" s="520"/>
      <c r="AC251" s="521"/>
      <c r="AD251" s="296"/>
      <c r="AE251" s="391"/>
      <c r="AF251" s="391"/>
      <c r="AG251" s="392"/>
      <c r="AH251" s="392"/>
      <c r="AI251" s="392"/>
      <c r="AJ251" s="391"/>
      <c r="AK251" s="391"/>
      <c r="AL251" s="385"/>
      <c r="AM251" s="385"/>
      <c r="AN251" s="385"/>
      <c r="AO251" s="385"/>
      <c r="AP251" s="386"/>
      <c r="AQ251" s="386"/>
      <c r="AR251" s="267"/>
      <c r="AS251" s="267"/>
      <c r="AT251" s="267"/>
    </row>
    <row r="252" spans="2:46">
      <c r="B252" s="515">
        <v>3</v>
      </c>
      <c r="C252" s="516" t="s">
        <v>78</v>
      </c>
      <c r="D252" s="518"/>
      <c r="E252" s="518"/>
      <c r="F252" s="519"/>
      <c r="G252" s="518"/>
      <c r="H252" s="518"/>
      <c r="I252" s="519"/>
      <c r="J252" s="518"/>
      <c r="K252" s="519"/>
      <c r="L252" s="519"/>
      <c r="M252" s="518"/>
      <c r="N252" s="518"/>
      <c r="O252" s="1159">
        <v>3</v>
      </c>
      <c r="P252" s="1159"/>
      <c r="Q252" s="1159" t="s">
        <v>79</v>
      </c>
      <c r="R252" s="1159"/>
      <c r="S252" s="1159"/>
      <c r="T252" s="1159"/>
      <c r="U252" s="1159"/>
      <c r="V252" s="1159"/>
      <c r="W252" s="1159"/>
      <c r="X252" s="1159"/>
      <c r="Y252" s="1159"/>
      <c r="Z252" s="1159"/>
      <c r="AA252" s="520"/>
      <c r="AB252" s="520"/>
      <c r="AC252" s="521"/>
      <c r="AD252" s="296"/>
      <c r="AE252" s="296"/>
      <c r="AF252" s="996">
        <v>993814365</v>
      </c>
      <c r="AG252" s="996"/>
      <c r="AH252" s="996"/>
      <c r="AI252" s="996"/>
      <c r="AJ252" s="996"/>
      <c r="AK252" s="296"/>
      <c r="AL252" s="385"/>
      <c r="AM252" s="385"/>
      <c r="AN252" s="385"/>
      <c r="AO252" s="385"/>
      <c r="AP252" s="386"/>
      <c r="AQ252" s="386"/>
      <c r="AR252" s="267"/>
      <c r="AS252" s="267"/>
      <c r="AT252" s="267"/>
    </row>
    <row r="253" spans="2:46">
      <c r="B253" s="522">
        <f>+B252+B251</f>
        <v>28.761904761904759</v>
      </c>
      <c r="C253" s="523" t="s">
        <v>80</v>
      </c>
      <c r="D253" s="529"/>
      <c r="E253" s="529"/>
      <c r="F253" s="530"/>
      <c r="G253" s="529"/>
      <c r="H253" s="529"/>
      <c r="I253" s="530"/>
      <c r="J253" s="529"/>
      <c r="K253" s="530"/>
      <c r="L253" s="530"/>
      <c r="M253" s="524"/>
      <c r="N253" s="518"/>
      <c r="O253" s="1159">
        <f>+O252+O251</f>
        <v>28.761904761904759</v>
      </c>
      <c r="P253" s="1159"/>
      <c r="Q253" s="518"/>
      <c r="R253" s="518"/>
      <c r="S253" s="518"/>
      <c r="T253" s="518"/>
      <c r="U253" s="518"/>
      <c r="V253" s="518"/>
      <c r="W253" s="518"/>
      <c r="X253" s="518"/>
      <c r="Y253" s="518"/>
      <c r="Z253" s="518"/>
      <c r="AA253" s="520"/>
      <c r="AB253" s="520"/>
      <c r="AC253" s="521"/>
      <c r="AD253" s="296"/>
      <c r="AE253" s="701"/>
      <c r="AF253" s="701"/>
      <c r="AG253" s="296"/>
      <c r="AH253" s="296"/>
      <c r="AI253" s="296"/>
      <c r="AJ253" s="701"/>
      <c r="AK253" s="701"/>
      <c r="AL253" s="387"/>
      <c r="AM253" s="387"/>
      <c r="AN253" s="387"/>
      <c r="AO253" s="387"/>
      <c r="AP253" s="397"/>
      <c r="AQ253" s="267"/>
      <c r="AR253" s="267"/>
      <c r="AS253" s="267"/>
      <c r="AT253" s="267"/>
    </row>
    <row r="254" spans="2:46">
      <c r="B254" s="515"/>
      <c r="C254" s="518"/>
      <c r="D254" s="518"/>
      <c r="E254" s="518"/>
      <c r="F254" s="519"/>
      <c r="G254" s="518"/>
      <c r="H254" s="518"/>
      <c r="I254" s="519"/>
      <c r="J254" s="518"/>
      <c r="K254" s="519"/>
      <c r="L254" s="519"/>
      <c r="M254" s="518"/>
      <c r="N254" s="518"/>
      <c r="O254" s="518"/>
      <c r="P254" s="518"/>
      <c r="Q254" s="518"/>
      <c r="R254" s="518"/>
      <c r="S254" s="518"/>
      <c r="T254" s="518"/>
      <c r="U254" s="518"/>
      <c r="V254" s="518"/>
      <c r="W254" s="518"/>
      <c r="X254" s="518"/>
      <c r="Y254" s="518"/>
      <c r="Z254" s="518"/>
      <c r="AA254" s="520"/>
      <c r="AB254" s="520"/>
      <c r="AC254" s="521"/>
      <c r="AD254" s="296"/>
      <c r="AE254" s="398"/>
      <c r="AF254" s="398"/>
      <c r="AG254" s="398"/>
      <c r="AH254" s="296"/>
      <c r="AI254" s="296"/>
      <c r="AJ254" s="398"/>
      <c r="AK254" s="398"/>
      <c r="AL254" s="385"/>
      <c r="AM254" s="296"/>
      <c r="AN254" s="296"/>
      <c r="AO254" s="296"/>
      <c r="AP254" s="267"/>
      <c r="AQ254" s="267"/>
      <c r="AR254" s="267"/>
      <c r="AS254" s="267"/>
      <c r="AT254" s="267"/>
    </row>
    <row r="255" spans="2:46">
      <c r="B255" s="515">
        <f>+B253*6</f>
        <v>172.57142857142856</v>
      </c>
      <c r="C255" s="516" t="s">
        <v>81</v>
      </c>
      <c r="D255" s="518"/>
      <c r="E255" s="518"/>
      <c r="F255" s="519"/>
      <c r="G255" s="518"/>
      <c r="H255" s="518"/>
      <c r="I255" s="519"/>
      <c r="J255" s="518"/>
      <c r="K255" s="519"/>
      <c r="L255" s="519"/>
      <c r="M255" s="518"/>
      <c r="N255" s="518"/>
      <c r="O255" s="1159" t="s">
        <v>129</v>
      </c>
      <c r="P255" s="1159"/>
      <c r="Q255" s="1159"/>
      <c r="R255" s="1159"/>
      <c r="S255" s="1159"/>
      <c r="T255" s="1159"/>
      <c r="U255" s="1159"/>
      <c r="V255" s="1159"/>
      <c r="W255" s="1159"/>
      <c r="X255" s="1159"/>
      <c r="Y255" s="1159"/>
      <c r="Z255" s="1159"/>
      <c r="AA255" s="520"/>
      <c r="AB255" s="520"/>
      <c r="AC255" s="521"/>
      <c r="AD255" s="296"/>
      <c r="AE255" s="296"/>
      <c r="AF255" s="296"/>
      <c r="AG255" s="296"/>
      <c r="AH255" s="296"/>
      <c r="AI255" s="385"/>
      <c r="AJ255" s="385"/>
      <c r="AK255" s="387"/>
      <c r="AL255" s="686"/>
      <c r="AM255" s="701"/>
      <c r="AN255" s="686"/>
      <c r="AO255" s="296"/>
      <c r="AP255" s="267"/>
      <c r="AQ255" s="267"/>
      <c r="AR255" s="267"/>
      <c r="AS255" s="267"/>
      <c r="AT255" s="267"/>
    </row>
    <row r="256" spans="2:46">
      <c r="B256" s="531">
        <f>+B251</f>
        <v>25.761904761904759</v>
      </c>
      <c r="C256" s="532" t="s">
        <v>83</v>
      </c>
      <c r="D256" s="533"/>
      <c r="E256" s="533"/>
      <c r="F256" s="534"/>
      <c r="G256" s="533"/>
      <c r="H256" s="533"/>
      <c r="I256" s="534"/>
      <c r="J256" s="533"/>
      <c r="K256" s="534"/>
      <c r="L256" s="519"/>
      <c r="M256" s="518"/>
      <c r="N256" s="518"/>
      <c r="O256" s="1159">
        <f>+O248*1.1</f>
        <v>935.00000000000011</v>
      </c>
      <c r="P256" s="1159"/>
      <c r="Q256" s="1159" t="s">
        <v>71</v>
      </c>
      <c r="R256" s="1159"/>
      <c r="S256" s="1159"/>
      <c r="T256" s="1159"/>
      <c r="U256" s="1159"/>
      <c r="V256" s="1159"/>
      <c r="W256" s="1159"/>
      <c r="X256" s="1159"/>
      <c r="Y256" s="1159"/>
      <c r="Z256" s="1159"/>
      <c r="AA256" s="520" t="s">
        <v>84</v>
      </c>
      <c r="AB256" s="520"/>
      <c r="AC256" s="521"/>
      <c r="AG256" s="267"/>
      <c r="AH256" s="267"/>
      <c r="AI256" s="386"/>
      <c r="AJ256" s="386"/>
      <c r="AK256" s="386"/>
      <c r="AL256" s="267"/>
      <c r="AM256" s="267"/>
      <c r="AN256" s="267"/>
      <c r="AO256" s="267"/>
    </row>
    <row r="257" spans="2:41">
      <c r="B257" s="522">
        <f>+B256+B255</f>
        <v>198.33333333333331</v>
      </c>
      <c r="C257" s="523" t="s">
        <v>85</v>
      </c>
      <c r="D257" s="529"/>
      <c r="E257" s="529"/>
      <c r="F257" s="530"/>
      <c r="G257" s="529"/>
      <c r="H257" s="529"/>
      <c r="I257" s="530"/>
      <c r="J257" s="529"/>
      <c r="K257" s="535"/>
      <c r="L257" s="519"/>
      <c r="M257" s="518"/>
      <c r="N257" s="518"/>
      <c r="O257" s="1159">
        <f>+O256/30*7</f>
        <v>218.16666666666669</v>
      </c>
      <c r="P257" s="1159"/>
      <c r="Q257" s="1159" t="s">
        <v>74</v>
      </c>
      <c r="R257" s="1159"/>
      <c r="S257" s="1159"/>
      <c r="T257" s="1159"/>
      <c r="U257" s="1159"/>
      <c r="V257" s="1159"/>
      <c r="W257" s="1159"/>
      <c r="X257" s="1159"/>
      <c r="Y257" s="1159"/>
      <c r="Z257" s="1159"/>
      <c r="AA257" s="1166">
        <f>+O257*0.87</f>
        <v>189.80500000000001</v>
      </c>
      <c r="AB257" s="1166"/>
      <c r="AC257" s="521"/>
      <c r="AG257" s="267"/>
      <c r="AH257" s="267"/>
      <c r="AI257" s="386"/>
      <c r="AJ257" s="386"/>
      <c r="AK257" s="407"/>
      <c r="AL257" s="267"/>
      <c r="AM257" s="267"/>
      <c r="AN257" s="267"/>
      <c r="AO257" s="267"/>
    </row>
    <row r="258" spans="2:41">
      <c r="B258" s="515"/>
      <c r="C258" s="516"/>
      <c r="D258" s="518"/>
      <c r="E258" s="518"/>
      <c r="F258" s="519"/>
      <c r="G258" s="518"/>
      <c r="H258" s="518"/>
      <c r="I258" s="519"/>
      <c r="J258" s="518"/>
      <c r="K258" s="519"/>
      <c r="L258" s="519"/>
      <c r="M258" s="518"/>
      <c r="N258" s="518"/>
      <c r="O258" s="1159">
        <f>+O257/7</f>
        <v>31.166666666666668</v>
      </c>
      <c r="P258" s="1159"/>
      <c r="Q258" s="1159" t="s">
        <v>75</v>
      </c>
      <c r="R258" s="1159"/>
      <c r="S258" s="1159"/>
      <c r="T258" s="1159"/>
      <c r="U258" s="1159"/>
      <c r="V258" s="1159"/>
      <c r="W258" s="1159"/>
      <c r="X258" s="1159"/>
      <c r="Y258" s="1159"/>
      <c r="Z258" s="1159"/>
      <c r="AA258" s="520"/>
      <c r="AB258" s="520"/>
      <c r="AC258" s="521"/>
      <c r="AG258" s="267"/>
      <c r="AH258" s="267"/>
      <c r="AI258" s="412"/>
      <c r="AJ258" s="413"/>
      <c r="AK258" s="407"/>
      <c r="AL258" s="267"/>
      <c r="AM258" s="267"/>
      <c r="AN258" s="267"/>
      <c r="AO258" s="267"/>
    </row>
    <row r="259" spans="2:41">
      <c r="B259" s="536">
        <f>+B257/7</f>
        <v>28.333333333333332</v>
      </c>
      <c r="C259" s="537" t="s">
        <v>86</v>
      </c>
      <c r="D259" s="518"/>
      <c r="E259" s="518"/>
      <c r="F259" s="519"/>
      <c r="G259" s="518"/>
      <c r="H259" s="518"/>
      <c r="I259" s="519"/>
      <c r="J259" s="518"/>
      <c r="K259" s="519"/>
      <c r="L259" s="519"/>
      <c r="M259" s="518"/>
      <c r="N259" s="518"/>
      <c r="O259" s="1159">
        <f>(O257-18)/7</f>
        <v>28.595238095238098</v>
      </c>
      <c r="P259" s="1159"/>
      <c r="Q259" s="1159" t="s">
        <v>77</v>
      </c>
      <c r="R259" s="1159"/>
      <c r="S259" s="1159"/>
      <c r="T259" s="1159"/>
      <c r="U259" s="1159"/>
      <c r="V259" s="1159"/>
      <c r="W259" s="1159"/>
      <c r="X259" s="1159"/>
      <c r="Y259" s="1159"/>
      <c r="Z259" s="1159"/>
      <c r="AA259" s="520"/>
      <c r="AB259" s="520"/>
      <c r="AC259" s="521"/>
      <c r="AG259" s="267"/>
      <c r="AH259" s="267"/>
      <c r="AI259" s="267"/>
      <c r="AJ259" s="267"/>
      <c r="AK259" s="407"/>
      <c r="AL259" s="267"/>
      <c r="AM259" s="267"/>
      <c r="AN259" s="267"/>
      <c r="AO259" s="267"/>
    </row>
    <row r="260" spans="2:41">
      <c r="B260" s="515"/>
      <c r="C260" s="516"/>
      <c r="D260" s="518"/>
      <c r="E260" s="518"/>
      <c r="F260" s="519"/>
      <c r="G260" s="518"/>
      <c r="H260" s="518"/>
      <c r="I260" s="519"/>
      <c r="J260" s="518"/>
      <c r="K260" s="519"/>
      <c r="L260" s="519"/>
      <c r="M260" s="518"/>
      <c r="N260" s="518"/>
      <c r="O260" s="1159">
        <v>3</v>
      </c>
      <c r="P260" s="1159"/>
      <c r="Q260" s="1159" t="s">
        <v>79</v>
      </c>
      <c r="R260" s="1159"/>
      <c r="S260" s="1159"/>
      <c r="T260" s="1159"/>
      <c r="U260" s="1159"/>
      <c r="V260" s="1159"/>
      <c r="W260" s="1159"/>
      <c r="X260" s="1159"/>
      <c r="Y260" s="1159"/>
      <c r="Z260" s="1159"/>
      <c r="AA260" s="520"/>
      <c r="AB260" s="520"/>
      <c r="AC260" s="521"/>
      <c r="AG260" s="267"/>
      <c r="AH260" s="267"/>
      <c r="AI260" s="267"/>
      <c r="AJ260" s="267"/>
      <c r="AK260" s="267"/>
      <c r="AL260" s="267"/>
      <c r="AM260" s="267"/>
      <c r="AN260" s="267"/>
      <c r="AO260" s="267"/>
    </row>
    <row r="261" spans="2:41" ht="15.75" thickBot="1">
      <c r="B261" s="538"/>
      <c r="C261" s="539"/>
      <c r="D261" s="540"/>
      <c r="E261" s="540"/>
      <c r="F261" s="541"/>
      <c r="G261" s="540"/>
      <c r="H261" s="540"/>
      <c r="I261" s="541"/>
      <c r="J261" s="540"/>
      <c r="K261" s="541"/>
      <c r="L261" s="541"/>
      <c r="M261" s="540"/>
      <c r="N261" s="540"/>
      <c r="O261" s="1167">
        <f>+O260+O259</f>
        <v>31.595238095238098</v>
      </c>
      <c r="P261" s="1167"/>
      <c r="Q261" s="540"/>
      <c r="R261" s="540"/>
      <c r="S261" s="540"/>
      <c r="T261" s="540"/>
      <c r="U261" s="540"/>
      <c r="V261" s="540"/>
      <c r="W261" s="540"/>
      <c r="X261" s="540"/>
      <c r="Y261" s="540"/>
      <c r="Z261" s="540"/>
      <c r="AA261" s="542"/>
      <c r="AB261" s="542"/>
      <c r="AC261" s="543"/>
      <c r="AG261" s="267"/>
      <c r="AH261" s="267"/>
      <c r="AI261" s="267"/>
      <c r="AJ261" s="267"/>
      <c r="AK261" s="267"/>
      <c r="AL261" s="267"/>
      <c r="AM261" s="267"/>
      <c r="AN261" s="267"/>
      <c r="AO261" s="267"/>
    </row>
    <row r="262" spans="2:41">
      <c r="B262" s="168"/>
      <c r="AG262" s="267"/>
      <c r="AH262" s="267"/>
      <c r="AI262" s="267"/>
      <c r="AJ262" s="267"/>
      <c r="AK262" s="267"/>
      <c r="AL262" s="267"/>
      <c r="AM262" s="267"/>
      <c r="AN262" s="267"/>
      <c r="AO262" s="267"/>
    </row>
    <row r="263" spans="2:41" ht="15.75" thickBot="1">
      <c r="AE263" s="376"/>
      <c r="AF263" s="376"/>
      <c r="AJ263" s="376"/>
      <c r="AK263" s="376"/>
    </row>
    <row r="264" spans="2:41">
      <c r="C264" s="484"/>
      <c r="D264" s="485"/>
      <c r="E264" s="486"/>
      <c r="F264" s="487"/>
      <c r="G264" s="485"/>
      <c r="H264" s="485"/>
      <c r="I264" s="487"/>
      <c r="J264" s="485"/>
      <c r="K264" s="488"/>
      <c r="L264" s="488"/>
      <c r="M264" s="485"/>
      <c r="N264" s="485"/>
      <c r="O264" s="485"/>
      <c r="P264" s="485"/>
      <c r="Q264" s="485"/>
      <c r="R264" s="485"/>
      <c r="S264" s="485"/>
      <c r="T264" s="485"/>
      <c r="U264" s="485"/>
      <c r="V264" s="485"/>
      <c r="W264" s="485"/>
      <c r="X264" s="485"/>
      <c r="Y264" s="485"/>
      <c r="Z264" s="485"/>
      <c r="AA264" s="489"/>
      <c r="AB264" s="489"/>
      <c r="AC264" s="489"/>
      <c r="AD264" s="489"/>
      <c r="AE264" s="490"/>
      <c r="AF264" s="490"/>
      <c r="AG264" s="491"/>
      <c r="AJ264" s="376"/>
      <c r="AK264" s="376"/>
    </row>
    <row r="265" spans="2:41" ht="18">
      <c r="C265" s="492"/>
      <c r="D265" s="333"/>
      <c r="E265" s="493" t="s">
        <v>130</v>
      </c>
      <c r="F265" s="411"/>
      <c r="G265" s="333"/>
      <c r="H265" s="333"/>
      <c r="I265" s="411"/>
      <c r="J265" s="333"/>
      <c r="K265" s="405"/>
      <c r="L265" s="405"/>
      <c r="M265" s="333"/>
      <c r="N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  <c r="Z265" s="333"/>
      <c r="AA265" s="167"/>
      <c r="AB265" s="167"/>
      <c r="AC265" s="167"/>
      <c r="AD265" s="167"/>
      <c r="AE265" s="376"/>
      <c r="AF265" s="376"/>
      <c r="AG265" s="494"/>
      <c r="AJ265" s="376"/>
      <c r="AK265" s="376"/>
    </row>
    <row r="266" spans="2:41">
      <c r="C266" s="492"/>
      <c r="D266" s="333"/>
      <c r="E266" s="410"/>
      <c r="F266" s="411"/>
      <c r="G266" s="333"/>
      <c r="H266" s="333"/>
      <c r="I266" s="411"/>
      <c r="J266" s="333"/>
      <c r="K266" s="405"/>
      <c r="L266" s="405"/>
      <c r="M266" s="333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  <c r="AA266" s="1168" t="s">
        <v>106</v>
      </c>
      <c r="AB266" s="1169"/>
      <c r="AC266" s="1170"/>
      <c r="AD266" s="1115" t="s">
        <v>131</v>
      </c>
      <c r="AE266" s="1116"/>
      <c r="AF266" s="1117"/>
      <c r="AG266" s="494"/>
      <c r="AH266" s="167"/>
      <c r="AI266" s="167"/>
      <c r="AJ266" s="376"/>
      <c r="AK266" s="376"/>
    </row>
    <row r="267" spans="2:41" ht="16.5" thickBot="1">
      <c r="C267" s="492"/>
      <c r="D267" s="1118" t="s">
        <v>108</v>
      </c>
      <c r="E267" s="1118"/>
      <c r="F267" s="1118"/>
      <c r="G267" s="1118"/>
      <c r="H267" s="1118"/>
      <c r="I267" s="1119" t="s">
        <v>109</v>
      </c>
      <c r="J267" s="1119"/>
      <c r="K267" s="1119"/>
      <c r="L267" s="1120" t="s">
        <v>110</v>
      </c>
      <c r="M267" s="1120"/>
      <c r="N267" s="1120"/>
      <c r="O267" s="1120" t="s">
        <v>111</v>
      </c>
      <c r="P267" s="1120"/>
      <c r="Q267" s="1120"/>
      <c r="R267" s="1171" t="s">
        <v>132</v>
      </c>
      <c r="S267" s="1171"/>
      <c r="T267" s="1171"/>
      <c r="U267" s="1120" t="s">
        <v>113</v>
      </c>
      <c r="V267" s="1120"/>
      <c r="W267" s="1122"/>
      <c r="X267" s="1123" t="s">
        <v>114</v>
      </c>
      <c r="Y267" s="1124"/>
      <c r="Z267" s="1125"/>
      <c r="AA267" s="1172" t="s">
        <v>133</v>
      </c>
      <c r="AB267" s="1172"/>
      <c r="AC267" s="1173"/>
      <c r="AD267" s="1128" t="s">
        <v>133</v>
      </c>
      <c r="AE267" s="1129"/>
      <c r="AF267" s="1130"/>
      <c r="AG267" s="494"/>
      <c r="AH267" s="167"/>
      <c r="AI267" s="167"/>
      <c r="AJ267" s="376"/>
      <c r="AK267" s="376"/>
    </row>
    <row r="268" spans="2:41" ht="19.5" thickTop="1">
      <c r="C268" s="495">
        <v>1</v>
      </c>
      <c r="D268" s="1131" t="s">
        <v>119</v>
      </c>
      <c r="E268" s="1131"/>
      <c r="F268" s="1131"/>
      <c r="G268" s="1131"/>
      <c r="H268" s="1131"/>
      <c r="I268" s="1174">
        <v>38.5</v>
      </c>
      <c r="J268" s="1174"/>
      <c r="K268" s="1174"/>
      <c r="L268" s="1133">
        <v>1</v>
      </c>
      <c r="M268" s="1133"/>
      <c r="N268" s="1133"/>
      <c r="O268" s="1133">
        <v>2</v>
      </c>
      <c r="P268" s="1133"/>
      <c r="Q268" s="1133"/>
      <c r="R268" s="1175">
        <f t="shared" ref="R268:R274" si="97">+I268+L268+O268</f>
        <v>41.5</v>
      </c>
      <c r="S268" s="1175"/>
      <c r="T268" s="1175"/>
      <c r="U268" s="1135">
        <f t="shared" ref="U268:U274" si="98">+I268*7+(L268+O268)*6</f>
        <v>287.5</v>
      </c>
      <c r="V268" s="1135"/>
      <c r="W268" s="1136"/>
      <c r="X268" s="1137">
        <f t="shared" ref="X268:X274" si="99">+U268/7*30</f>
        <v>1232.1428571428571</v>
      </c>
      <c r="Y268" s="1138"/>
      <c r="Z268" s="1139"/>
      <c r="AA268" s="1176">
        <v>37.571399999999997</v>
      </c>
      <c r="AB268" s="1177"/>
      <c r="AC268" s="1177"/>
      <c r="AD268" s="1178">
        <f t="shared" ref="AD268:AD274" si="100">+AA268*30</f>
        <v>1127.1419999999998</v>
      </c>
      <c r="AE268" s="1178"/>
      <c r="AF268" s="1178"/>
      <c r="AG268" s="494"/>
      <c r="AH268" s="167" t="s">
        <v>134</v>
      </c>
      <c r="AI268" s="1149" t="s">
        <v>135</v>
      </c>
      <c r="AJ268" s="1179"/>
      <c r="AK268" s="1179"/>
      <c r="AL268" s="1179"/>
      <c r="AM268" s="1180"/>
    </row>
    <row r="269" spans="2:41" ht="17.25">
      <c r="C269" s="495">
        <v>2</v>
      </c>
      <c r="D269" s="1144" t="s">
        <v>120</v>
      </c>
      <c r="E269" s="1144"/>
      <c r="F269" s="1144"/>
      <c r="G269" s="1144"/>
      <c r="H269" s="1144"/>
      <c r="I269" s="1165">
        <v>38.5</v>
      </c>
      <c r="J269" s="1165"/>
      <c r="K269" s="1165"/>
      <c r="L269" s="1146">
        <v>1</v>
      </c>
      <c r="M269" s="1146"/>
      <c r="N269" s="1146"/>
      <c r="O269" s="1146">
        <v>2</v>
      </c>
      <c r="P269" s="1146"/>
      <c r="Q269" s="1146"/>
      <c r="R269" s="1160">
        <f t="shared" si="97"/>
        <v>41.5</v>
      </c>
      <c r="S269" s="1160"/>
      <c r="T269" s="1160"/>
      <c r="U269" s="1148">
        <f t="shared" si="98"/>
        <v>287.5</v>
      </c>
      <c r="V269" s="1148"/>
      <c r="W269" s="1149"/>
      <c r="X269" s="1150">
        <f t="shared" si="99"/>
        <v>1232.1428571428571</v>
      </c>
      <c r="Y269" s="1151"/>
      <c r="Z269" s="1152"/>
      <c r="AA269" s="1181">
        <v>35.571399999999997</v>
      </c>
      <c r="AB269" s="1182"/>
      <c r="AC269" s="1182"/>
      <c r="AD269" s="1183">
        <f t="shared" si="100"/>
        <v>1067.1419999999998</v>
      </c>
      <c r="AE269" s="1183"/>
      <c r="AF269" s="1183"/>
      <c r="AG269" s="494"/>
      <c r="AH269" s="167"/>
      <c r="AI269" s="167"/>
      <c r="AJ269" s="376"/>
      <c r="AK269" s="376"/>
    </row>
    <row r="270" spans="2:41" ht="17.25">
      <c r="C270" s="495">
        <v>3</v>
      </c>
      <c r="D270" s="1144" t="s">
        <v>118</v>
      </c>
      <c r="E270" s="1144"/>
      <c r="F270" s="1144"/>
      <c r="G270" s="1144"/>
      <c r="H270" s="1144"/>
      <c r="I270" s="1165">
        <v>38.5</v>
      </c>
      <c r="J270" s="1165"/>
      <c r="K270" s="1165"/>
      <c r="L270" s="1146">
        <v>1</v>
      </c>
      <c r="M270" s="1146"/>
      <c r="N270" s="1146"/>
      <c r="O270" s="1146">
        <v>2</v>
      </c>
      <c r="P270" s="1146"/>
      <c r="Q270" s="1146"/>
      <c r="R270" s="1160">
        <f t="shared" si="97"/>
        <v>41.5</v>
      </c>
      <c r="S270" s="1160"/>
      <c r="T270" s="1160"/>
      <c r="U270" s="1148">
        <f t="shared" si="98"/>
        <v>287.5</v>
      </c>
      <c r="V270" s="1148"/>
      <c r="W270" s="1149"/>
      <c r="X270" s="1150">
        <f t="shared" si="99"/>
        <v>1232.1428571428571</v>
      </c>
      <c r="Y270" s="1151"/>
      <c r="Z270" s="1152"/>
      <c r="AA270" s="1181">
        <v>32.571399999999997</v>
      </c>
      <c r="AB270" s="1182"/>
      <c r="AC270" s="1182"/>
      <c r="AD270" s="1183">
        <f t="shared" si="100"/>
        <v>977.14199999999994</v>
      </c>
      <c r="AE270" s="1183"/>
      <c r="AF270" s="1183"/>
      <c r="AG270" s="494"/>
      <c r="AH270" s="167"/>
      <c r="AI270" s="167"/>
      <c r="AJ270" s="376"/>
      <c r="AK270" s="376"/>
    </row>
    <row r="271" spans="2:41" ht="17.25">
      <c r="C271" s="495">
        <v>4</v>
      </c>
      <c r="D271" s="1144" t="s">
        <v>136</v>
      </c>
      <c r="E271" s="1144"/>
      <c r="F271" s="1144"/>
      <c r="G271" s="1144"/>
      <c r="H271" s="1144"/>
      <c r="I271" s="1165">
        <v>35</v>
      </c>
      <c r="J271" s="1165"/>
      <c r="K271" s="1165"/>
      <c r="L271" s="1146">
        <v>1</v>
      </c>
      <c r="M271" s="1146"/>
      <c r="N271" s="1146"/>
      <c r="O271" s="1146">
        <v>2</v>
      </c>
      <c r="P271" s="1146"/>
      <c r="Q271" s="1146"/>
      <c r="R271" s="1160">
        <f t="shared" si="97"/>
        <v>38</v>
      </c>
      <c r="S271" s="1160"/>
      <c r="T271" s="1160"/>
      <c r="U271" s="1148">
        <f t="shared" si="98"/>
        <v>263</v>
      </c>
      <c r="V271" s="1148"/>
      <c r="W271" s="1149"/>
      <c r="X271" s="1150">
        <f t="shared" si="99"/>
        <v>1127.1428571428571</v>
      </c>
      <c r="Y271" s="1151"/>
      <c r="Z271" s="1152"/>
      <c r="AA271" s="1181">
        <v>35.321399999999997</v>
      </c>
      <c r="AB271" s="1182"/>
      <c r="AC271" s="1182"/>
      <c r="AD271" s="1183">
        <f t="shared" si="100"/>
        <v>1059.6419999999998</v>
      </c>
      <c r="AE271" s="1183"/>
      <c r="AF271" s="1183"/>
      <c r="AG271" s="494"/>
      <c r="AH271" s="167"/>
      <c r="AI271" s="167"/>
      <c r="AJ271" s="376"/>
      <c r="AK271" s="376"/>
    </row>
    <row r="272" spans="2:41" ht="17.25">
      <c r="C272" s="495">
        <v>5</v>
      </c>
      <c r="D272" s="1144" t="s">
        <v>137</v>
      </c>
      <c r="E272" s="1144"/>
      <c r="F272" s="1144"/>
      <c r="G272" s="1144"/>
      <c r="H272" s="1144"/>
      <c r="I272" s="1165">
        <v>33.799999999999997</v>
      </c>
      <c r="J272" s="1165"/>
      <c r="K272" s="1165"/>
      <c r="L272" s="1146">
        <v>1</v>
      </c>
      <c r="M272" s="1146"/>
      <c r="N272" s="1146"/>
      <c r="O272" s="1146">
        <v>2</v>
      </c>
      <c r="P272" s="1146"/>
      <c r="Q272" s="1146"/>
      <c r="R272" s="1160">
        <f t="shared" si="97"/>
        <v>36.799999999999997</v>
      </c>
      <c r="S272" s="1160"/>
      <c r="T272" s="1160"/>
      <c r="U272" s="1148">
        <f t="shared" si="98"/>
        <v>254.59999999999997</v>
      </c>
      <c r="V272" s="1148"/>
      <c r="W272" s="1149"/>
      <c r="X272" s="1150">
        <f t="shared" si="99"/>
        <v>1091.1428571428569</v>
      </c>
      <c r="Y272" s="1151"/>
      <c r="Z272" s="1152"/>
      <c r="AA272" s="1181">
        <v>31.571400000000001</v>
      </c>
      <c r="AB272" s="1182"/>
      <c r="AC272" s="1182"/>
      <c r="AD272" s="1183">
        <f t="shared" si="100"/>
        <v>947.14200000000005</v>
      </c>
      <c r="AE272" s="1183"/>
      <c r="AF272" s="1183"/>
      <c r="AG272" s="494"/>
      <c r="AH272" s="167"/>
      <c r="AI272" s="167"/>
      <c r="AJ272" s="376"/>
      <c r="AK272" s="376"/>
    </row>
    <row r="273" spans="3:41" ht="17.25">
      <c r="C273" s="495">
        <v>6</v>
      </c>
      <c r="D273" s="1144" t="s">
        <v>138</v>
      </c>
      <c r="E273" s="1144"/>
      <c r="F273" s="1144"/>
      <c r="G273" s="1144"/>
      <c r="H273" s="1144"/>
      <c r="I273" s="1165">
        <v>33.799999999999997</v>
      </c>
      <c r="J273" s="1165"/>
      <c r="K273" s="1165"/>
      <c r="L273" s="1146">
        <v>1</v>
      </c>
      <c r="M273" s="1146"/>
      <c r="N273" s="1146"/>
      <c r="O273" s="1146">
        <v>2</v>
      </c>
      <c r="P273" s="1146"/>
      <c r="Q273" s="1146"/>
      <c r="R273" s="1160">
        <f t="shared" si="97"/>
        <v>36.799999999999997</v>
      </c>
      <c r="S273" s="1160"/>
      <c r="T273" s="1160"/>
      <c r="U273" s="1148">
        <f t="shared" si="98"/>
        <v>254.59999999999997</v>
      </c>
      <c r="V273" s="1148"/>
      <c r="W273" s="1149"/>
      <c r="X273" s="1150">
        <f t="shared" si="99"/>
        <v>1091.1428571428569</v>
      </c>
      <c r="Y273" s="1151"/>
      <c r="Z273" s="1152"/>
      <c r="AA273" s="1181">
        <v>33.333300000000001</v>
      </c>
      <c r="AB273" s="1182"/>
      <c r="AC273" s="1182"/>
      <c r="AD273" s="1183">
        <f t="shared" si="100"/>
        <v>999.99900000000002</v>
      </c>
      <c r="AE273" s="1183"/>
      <c r="AF273" s="1183"/>
      <c r="AG273" s="494"/>
      <c r="AH273" s="167"/>
      <c r="AI273" s="167"/>
      <c r="AJ273" s="376"/>
      <c r="AK273" s="376"/>
    </row>
    <row r="274" spans="3:41" ht="17.25">
      <c r="C274" s="495">
        <v>7</v>
      </c>
      <c r="D274" s="1144" t="s">
        <v>139</v>
      </c>
      <c r="E274" s="1144"/>
      <c r="F274" s="1144"/>
      <c r="G274" s="1144"/>
      <c r="H274" s="1144"/>
      <c r="I274" s="1165">
        <v>26</v>
      </c>
      <c r="J274" s="1165"/>
      <c r="K274" s="1165"/>
      <c r="L274" s="1146">
        <v>1</v>
      </c>
      <c r="M274" s="1146"/>
      <c r="N274" s="1146"/>
      <c r="O274" s="1146">
        <v>2</v>
      </c>
      <c r="P274" s="1146"/>
      <c r="Q274" s="1146"/>
      <c r="R274" s="1160">
        <f t="shared" si="97"/>
        <v>29</v>
      </c>
      <c r="S274" s="1160"/>
      <c r="T274" s="1160"/>
      <c r="U274" s="1148">
        <f t="shared" si="98"/>
        <v>200</v>
      </c>
      <c r="V274" s="1148"/>
      <c r="W274" s="1149"/>
      <c r="X274" s="1150">
        <f t="shared" si="99"/>
        <v>857.14285714285722</v>
      </c>
      <c r="Y274" s="1151"/>
      <c r="Z274" s="1152"/>
      <c r="AA274" s="1181">
        <v>25</v>
      </c>
      <c r="AB274" s="1182"/>
      <c r="AC274" s="1182"/>
      <c r="AD274" s="1183">
        <f t="shared" si="100"/>
        <v>750</v>
      </c>
      <c r="AE274" s="1183"/>
      <c r="AF274" s="1183"/>
      <c r="AG274" s="494"/>
      <c r="AH274" s="167"/>
      <c r="AI274" s="167"/>
      <c r="AJ274" s="376"/>
      <c r="AK274" s="376"/>
    </row>
    <row r="275" spans="3:41" ht="17.25">
      <c r="C275" s="492"/>
      <c r="D275" s="409"/>
      <c r="E275" s="410"/>
      <c r="F275" s="411"/>
      <c r="G275" s="333"/>
      <c r="H275" s="333"/>
      <c r="I275" s="411"/>
      <c r="J275" s="333"/>
      <c r="K275" s="405"/>
      <c r="L275" s="405"/>
      <c r="M275" s="333"/>
      <c r="N275" s="333"/>
      <c r="O275" s="333"/>
      <c r="P275" s="333"/>
      <c r="Q275" s="333"/>
      <c r="R275" s="333"/>
      <c r="S275" s="1160" t="s">
        <v>23</v>
      </c>
      <c r="T275" s="1160"/>
      <c r="U275" s="1160"/>
      <c r="V275" s="333"/>
      <c r="W275" s="333"/>
      <c r="X275" s="1161">
        <f>SUM(X268:Z274)</f>
        <v>7862.9999999999991</v>
      </c>
      <c r="Y275" s="1162"/>
      <c r="Z275" s="1163"/>
      <c r="AA275" s="496"/>
      <c r="AB275" s="496"/>
      <c r="AC275" s="496"/>
      <c r="AD275" s="1184">
        <f>SUM(AD268:AF274)</f>
        <v>6928.2089999999989</v>
      </c>
      <c r="AE275" s="1184"/>
      <c r="AF275" s="1184"/>
      <c r="AG275" s="494"/>
      <c r="AH275" s="167"/>
      <c r="AI275" s="167"/>
      <c r="AJ275" s="376"/>
      <c r="AK275" s="376"/>
    </row>
    <row r="276" spans="3:41" ht="15.75" thickBot="1">
      <c r="C276" s="492"/>
      <c r="D276" s="333"/>
      <c r="E276" s="410"/>
      <c r="F276" s="411"/>
      <c r="G276" s="333"/>
      <c r="H276" s="333"/>
      <c r="I276" s="411"/>
      <c r="J276" s="333"/>
      <c r="K276" s="405"/>
      <c r="L276" s="405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  <c r="AA276" s="167"/>
      <c r="AB276" s="167"/>
      <c r="AC276" s="167"/>
      <c r="AD276" s="167"/>
      <c r="AE276" s="376"/>
      <c r="AF276" s="376"/>
      <c r="AG276" s="494"/>
      <c r="AH276" s="167"/>
      <c r="AI276" s="167"/>
      <c r="AJ276" s="376"/>
      <c r="AK276" s="376"/>
    </row>
    <row r="277" spans="3:41" ht="15.75" thickBot="1">
      <c r="C277" s="492"/>
      <c r="D277" s="333"/>
      <c r="E277" s="410"/>
      <c r="F277" s="411"/>
      <c r="G277" s="333"/>
      <c r="H277" s="333"/>
      <c r="I277" s="411"/>
      <c r="J277" s="333"/>
      <c r="K277" s="405"/>
      <c r="L277" s="1185" t="s">
        <v>140</v>
      </c>
      <c r="M277" s="1185"/>
      <c r="N277" s="1185"/>
      <c r="O277" s="333"/>
      <c r="P277" s="333"/>
      <c r="Q277" s="333"/>
      <c r="R277" s="333"/>
      <c r="S277" s="333"/>
      <c r="T277" s="499" t="s">
        <v>141</v>
      </c>
      <c r="U277" s="333"/>
      <c r="V277" s="333"/>
      <c r="W277" s="333"/>
      <c r="X277" s="333"/>
      <c r="Y277" s="333"/>
      <c r="Z277" s="333"/>
      <c r="AA277" s="167"/>
      <c r="AB277" s="167"/>
      <c r="AC277" s="167"/>
      <c r="AD277" s="1156">
        <f>+X275-AD275+0.01</f>
        <v>934.80100000000016</v>
      </c>
      <c r="AE277" s="1157"/>
      <c r="AF277" s="1158"/>
      <c r="AG277" s="494"/>
      <c r="AH277" s="167"/>
      <c r="AI277" s="167"/>
      <c r="AJ277" s="376"/>
      <c r="AK277" s="376"/>
    </row>
    <row r="278" spans="3:41" ht="15.75" thickBot="1">
      <c r="C278" s="500"/>
      <c r="D278" s="501"/>
      <c r="E278" s="502"/>
      <c r="F278" s="503"/>
      <c r="G278" s="501"/>
      <c r="H278" s="501"/>
      <c r="I278" s="503"/>
      <c r="J278" s="501"/>
      <c r="K278" s="504"/>
      <c r="L278" s="504"/>
      <c r="M278" s="501"/>
      <c r="N278" s="501"/>
      <c r="O278" s="501"/>
      <c r="P278" s="501"/>
      <c r="Q278" s="501"/>
      <c r="R278" s="501"/>
      <c r="S278" s="501"/>
      <c r="T278" s="501"/>
      <c r="U278" s="501"/>
      <c r="V278" s="501"/>
      <c r="W278" s="501"/>
      <c r="X278" s="501"/>
      <c r="Y278" s="501"/>
      <c r="Z278" s="501"/>
      <c r="AA278" s="505"/>
      <c r="AB278" s="505"/>
      <c r="AC278" s="505"/>
      <c r="AD278" s="506"/>
      <c r="AE278" s="506"/>
      <c r="AF278" s="506"/>
      <c r="AG278" s="507"/>
      <c r="AH278" s="167"/>
      <c r="AI278" s="167"/>
      <c r="AJ278" s="376"/>
      <c r="AK278" s="376"/>
    </row>
    <row r="279" spans="3:41">
      <c r="AG279" s="267"/>
      <c r="AH279" s="267"/>
      <c r="AI279" s="267"/>
      <c r="AJ279" s="267"/>
      <c r="AK279" s="267"/>
      <c r="AL279" s="267"/>
      <c r="AM279" s="267"/>
      <c r="AN279" s="267"/>
      <c r="AO279" s="267"/>
    </row>
    <row r="280" spans="3:41">
      <c r="AG280" s="267"/>
      <c r="AH280" s="267"/>
      <c r="AI280" s="267"/>
      <c r="AJ280" s="267"/>
      <c r="AK280" s="267"/>
      <c r="AL280" s="267"/>
      <c r="AM280" s="267"/>
      <c r="AN280" s="267"/>
      <c r="AO280" s="267"/>
    </row>
    <row r="281" spans="3:41">
      <c r="AG281" s="267"/>
      <c r="AH281" s="267"/>
      <c r="AI281" s="267"/>
      <c r="AJ281" s="267"/>
      <c r="AK281" s="267"/>
      <c r="AL281" s="267"/>
      <c r="AM281" s="267"/>
      <c r="AN281" s="267"/>
      <c r="AO281" s="267"/>
    </row>
  </sheetData>
  <mergeCells count="852"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25:AQ25"/>
    <mergeCell ref="AR25:AS25"/>
    <mergeCell ref="BE26:BE27"/>
    <mergeCell ref="BF26:BF27"/>
    <mergeCell ref="B27:B32"/>
    <mergeCell ref="C27:J28"/>
    <mergeCell ref="K27:L28"/>
    <mergeCell ref="M27:T28"/>
    <mergeCell ref="U27:V28"/>
    <mergeCell ref="W27:AD28"/>
    <mergeCell ref="AZ27:BC27"/>
    <mergeCell ref="AZ28:BB29"/>
    <mergeCell ref="C29:D32"/>
    <mergeCell ref="E29:E32"/>
    <mergeCell ref="F29:F32"/>
    <mergeCell ref="G29:H32"/>
    <mergeCell ref="I29:I32"/>
    <mergeCell ref="J29:J32"/>
    <mergeCell ref="AM27:AM32"/>
    <mergeCell ref="AN27:AN32"/>
    <mergeCell ref="AO27:AO32"/>
    <mergeCell ref="AP27:AP32"/>
    <mergeCell ref="AQ27:AQ32"/>
    <mergeCell ref="AR27:AS32"/>
    <mergeCell ref="K29:K32"/>
    <mergeCell ref="L29:L32"/>
    <mergeCell ref="M29:N32"/>
    <mergeCell ref="O29:O32"/>
    <mergeCell ref="P29:P32"/>
    <mergeCell ref="Q29:R32"/>
    <mergeCell ref="AR33:AS33"/>
    <mergeCell ref="AW33:AX33"/>
    <mergeCell ref="AR34:AS34"/>
    <mergeCell ref="AW34:AX34"/>
    <mergeCell ref="AH27:AH32"/>
    <mergeCell ref="AI27:AI32"/>
    <mergeCell ref="AJ27:AJ32"/>
    <mergeCell ref="AK27:AK32"/>
    <mergeCell ref="AL27:AL32"/>
    <mergeCell ref="S29:S32"/>
    <mergeCell ref="T29:T32"/>
    <mergeCell ref="U29:U32"/>
    <mergeCell ref="V29:V32"/>
    <mergeCell ref="W29:X32"/>
    <mergeCell ref="Y29:Y32"/>
    <mergeCell ref="AR35:AS35"/>
    <mergeCell ref="AW35:AX35"/>
    <mergeCell ref="Z29:Z32"/>
    <mergeCell ref="AA29:AB32"/>
    <mergeCell ref="AC29:AC32"/>
    <mergeCell ref="AD29:AD32"/>
    <mergeCell ref="AE29:AE32"/>
    <mergeCell ref="AF29:AF32"/>
    <mergeCell ref="AT27:AT32"/>
    <mergeCell ref="AW27:AX32"/>
    <mergeCell ref="AE27:AF28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45:AS45"/>
    <mergeCell ref="AW45:AX45"/>
    <mergeCell ref="AR46:AS46"/>
    <mergeCell ref="AW46:AX46"/>
    <mergeCell ref="AR47:AS47"/>
    <mergeCell ref="AW47:AX47"/>
    <mergeCell ref="AR42:AS42"/>
    <mergeCell ref="AW42:AX42"/>
    <mergeCell ref="AR43:AS43"/>
    <mergeCell ref="AW43:AX43"/>
    <mergeCell ref="AR44:AS44"/>
    <mergeCell ref="AW44:AX44"/>
    <mergeCell ref="AW49:AX50"/>
    <mergeCell ref="C56:J57"/>
    <mergeCell ref="K56:L57"/>
    <mergeCell ref="M56:T57"/>
    <mergeCell ref="U56:V57"/>
    <mergeCell ref="W56:AD57"/>
    <mergeCell ref="AE56:AF57"/>
    <mergeCell ref="AG56:AN57"/>
    <mergeCell ref="AO56:AO57"/>
    <mergeCell ref="AP53:AQ53"/>
    <mergeCell ref="AR53:AS53"/>
    <mergeCell ref="AP54:AQ54"/>
    <mergeCell ref="AR54:AS54"/>
    <mergeCell ref="AP58:AQ58"/>
    <mergeCell ref="AR58:AS58"/>
    <mergeCell ref="C60:J61"/>
    <mergeCell ref="K60:L61"/>
    <mergeCell ref="M60:T61"/>
    <mergeCell ref="U60:V61"/>
    <mergeCell ref="W60:AD61"/>
    <mergeCell ref="AE60:AF61"/>
    <mergeCell ref="AR48:AS48"/>
    <mergeCell ref="N70:O70"/>
    <mergeCell ref="Q70:R70"/>
    <mergeCell ref="AR62:AS62"/>
    <mergeCell ref="AW62:AX62"/>
    <mergeCell ref="AK63:AL63"/>
    <mergeCell ref="C67:D69"/>
    <mergeCell ref="E67:F69"/>
    <mergeCell ref="G67:H71"/>
    <mergeCell ref="I67:J69"/>
    <mergeCell ref="K67:L69"/>
    <mergeCell ref="N67:O69"/>
    <mergeCell ref="Q67:R69"/>
    <mergeCell ref="C71:D71"/>
    <mergeCell ref="E71:F71"/>
    <mergeCell ref="I71:J71"/>
    <mergeCell ref="K71:L71"/>
    <mergeCell ref="N71:O71"/>
    <mergeCell ref="Q71:R71"/>
    <mergeCell ref="U67:U72"/>
    <mergeCell ref="V67:V72"/>
    <mergeCell ref="W67:W72"/>
    <mergeCell ref="X67:X72"/>
    <mergeCell ref="C70:D70"/>
    <mergeCell ref="Y73:Z73"/>
    <mergeCell ref="C74:D74"/>
    <mergeCell ref="E74:F74"/>
    <mergeCell ref="I74:J74"/>
    <mergeCell ref="K74:L74"/>
    <mergeCell ref="N74:O74"/>
    <mergeCell ref="Q74:R74"/>
    <mergeCell ref="Y74:Z74"/>
    <mergeCell ref="C73:D73"/>
    <mergeCell ref="E73:F73"/>
    <mergeCell ref="I73:J73"/>
    <mergeCell ref="K73:L73"/>
    <mergeCell ref="N73:O73"/>
    <mergeCell ref="Q73:R73"/>
    <mergeCell ref="C75:D75"/>
    <mergeCell ref="E75:F75"/>
    <mergeCell ref="I75:J75"/>
    <mergeCell ref="K75:L75"/>
    <mergeCell ref="N75:O75"/>
    <mergeCell ref="Q75:R75"/>
    <mergeCell ref="E70:F70"/>
    <mergeCell ref="I70:J70"/>
    <mergeCell ref="Q78:R78"/>
    <mergeCell ref="Q76:R76"/>
    <mergeCell ref="C77:D77"/>
    <mergeCell ref="E77:F77"/>
    <mergeCell ref="G77:H77"/>
    <mergeCell ref="I77:J77"/>
    <mergeCell ref="K77:L77"/>
    <mergeCell ref="N77:O77"/>
    <mergeCell ref="Q77:R77"/>
    <mergeCell ref="C76:D76"/>
    <mergeCell ref="E76:F76"/>
    <mergeCell ref="G76:H76"/>
    <mergeCell ref="I76:J76"/>
    <mergeCell ref="K76:L76"/>
    <mergeCell ref="N76:O76"/>
    <mergeCell ref="K70:L70"/>
    <mergeCell ref="Y78:Z78"/>
    <mergeCell ref="C79:D79"/>
    <mergeCell ref="E79:F79"/>
    <mergeCell ref="G79:H79"/>
    <mergeCell ref="I79:J79"/>
    <mergeCell ref="K79:L79"/>
    <mergeCell ref="N79:O79"/>
    <mergeCell ref="Q79:R79"/>
    <mergeCell ref="Y79:Z79"/>
    <mergeCell ref="C78:D78"/>
    <mergeCell ref="E78:F78"/>
    <mergeCell ref="G78:H78"/>
    <mergeCell ref="I78:J78"/>
    <mergeCell ref="K78:L78"/>
    <mergeCell ref="N78:O78"/>
    <mergeCell ref="Q80:R80"/>
    <mergeCell ref="Y80:Z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G80:H80"/>
    <mergeCell ref="I80:J80"/>
    <mergeCell ref="K80:L80"/>
    <mergeCell ref="N80:O80"/>
    <mergeCell ref="C84:D84"/>
    <mergeCell ref="E84:F84"/>
    <mergeCell ref="I84:J84"/>
    <mergeCell ref="K84:L84"/>
    <mergeCell ref="N84:O84"/>
    <mergeCell ref="Q84:R84"/>
    <mergeCell ref="Q82:R82"/>
    <mergeCell ref="C83:D83"/>
    <mergeCell ref="E83:F83"/>
    <mergeCell ref="G83:H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Q85:R85"/>
    <mergeCell ref="C86:D86"/>
    <mergeCell ref="E86:F86"/>
    <mergeCell ref="G86:H86"/>
    <mergeCell ref="I86:J86"/>
    <mergeCell ref="K86:L86"/>
    <mergeCell ref="N86:O86"/>
    <mergeCell ref="Q86:R86"/>
    <mergeCell ref="C85:D85"/>
    <mergeCell ref="E85:F85"/>
    <mergeCell ref="G85:H85"/>
    <mergeCell ref="I85:J85"/>
    <mergeCell ref="K85:L85"/>
    <mergeCell ref="N85:O85"/>
    <mergeCell ref="H91:N91"/>
    <mergeCell ref="O93:Z93"/>
    <mergeCell ref="O94:P94"/>
    <mergeCell ref="Q94:Z94"/>
    <mergeCell ref="O95:P95"/>
    <mergeCell ref="Q95:Z95"/>
    <mergeCell ref="Q88:R88"/>
    <mergeCell ref="C89:D89"/>
    <mergeCell ref="E89:F89"/>
    <mergeCell ref="G89:H89"/>
    <mergeCell ref="I89:J89"/>
    <mergeCell ref="K89:L89"/>
    <mergeCell ref="N89:O89"/>
    <mergeCell ref="Q89:R89"/>
    <mergeCell ref="C88:D88"/>
    <mergeCell ref="E88:F88"/>
    <mergeCell ref="G88:H88"/>
    <mergeCell ref="I88:J88"/>
    <mergeCell ref="K88:L88"/>
    <mergeCell ref="N88:O88"/>
    <mergeCell ref="O99:P99"/>
    <mergeCell ref="O101:Z101"/>
    <mergeCell ref="O102:P102"/>
    <mergeCell ref="Q102:Z102"/>
    <mergeCell ref="O103:P103"/>
    <mergeCell ref="Q103:Z103"/>
    <mergeCell ref="AA95:AB95"/>
    <mergeCell ref="O96:P96"/>
    <mergeCell ref="Q96:Z96"/>
    <mergeCell ref="O97:P97"/>
    <mergeCell ref="Q97:Z97"/>
    <mergeCell ref="O98:P98"/>
    <mergeCell ref="Q98:Z98"/>
    <mergeCell ref="O107:P107"/>
    <mergeCell ref="H109:N109"/>
    <mergeCell ref="O111:Z111"/>
    <mergeCell ref="O112:P112"/>
    <mergeCell ref="Q112:Z112"/>
    <mergeCell ref="AE112:AG112"/>
    <mergeCell ref="AA103:AB103"/>
    <mergeCell ref="O104:P104"/>
    <mergeCell ref="Q104:Z104"/>
    <mergeCell ref="O105:P105"/>
    <mergeCell ref="Q105:Z105"/>
    <mergeCell ref="O106:P106"/>
    <mergeCell ref="Q106:Z106"/>
    <mergeCell ref="O114:P114"/>
    <mergeCell ref="Q114:Z114"/>
    <mergeCell ref="AE114:AG114"/>
    <mergeCell ref="AI114:AK114"/>
    <mergeCell ref="AL114:AN114"/>
    <mergeCell ref="AO114:AQ114"/>
    <mergeCell ref="AI112:AK112"/>
    <mergeCell ref="AL112:AN112"/>
    <mergeCell ref="AO112:AQ112"/>
    <mergeCell ref="O113:P113"/>
    <mergeCell ref="Q113:Z113"/>
    <mergeCell ref="AA113:AB113"/>
    <mergeCell ref="AE113:AG113"/>
    <mergeCell ref="AI113:AK113"/>
    <mergeCell ref="AL113:AN113"/>
    <mergeCell ref="AO113:AQ113"/>
    <mergeCell ref="O117:P117"/>
    <mergeCell ref="AE117:AG117"/>
    <mergeCell ref="AI117:AK117"/>
    <mergeCell ref="O119:Z119"/>
    <mergeCell ref="O120:P120"/>
    <mergeCell ref="Q120:Z120"/>
    <mergeCell ref="O115:P115"/>
    <mergeCell ref="Q115:Z115"/>
    <mergeCell ref="AE115:AG115"/>
    <mergeCell ref="AI115:AK115"/>
    <mergeCell ref="O116:P116"/>
    <mergeCell ref="Q116:Z116"/>
    <mergeCell ref="AE116:AG116"/>
    <mergeCell ref="AI116:AK116"/>
    <mergeCell ref="H128:N128"/>
    <mergeCell ref="O130:Z130"/>
    <mergeCell ref="O131:P131"/>
    <mergeCell ref="Q131:Z131"/>
    <mergeCell ref="O121:P121"/>
    <mergeCell ref="Q121:Z121"/>
    <mergeCell ref="AA121:AB121"/>
    <mergeCell ref="O122:P122"/>
    <mergeCell ref="Q122:Z122"/>
    <mergeCell ref="O123:P123"/>
    <mergeCell ref="Q123:Z123"/>
    <mergeCell ref="O132:P132"/>
    <mergeCell ref="Q132:Z132"/>
    <mergeCell ref="AA132:AB132"/>
    <mergeCell ref="O133:P133"/>
    <mergeCell ref="Q133:Z133"/>
    <mergeCell ref="O134:P134"/>
    <mergeCell ref="Q134:Z134"/>
    <mergeCell ref="O124:P124"/>
    <mergeCell ref="Q124:Z124"/>
    <mergeCell ref="O125:P125"/>
    <mergeCell ref="AA140:AB140"/>
    <mergeCell ref="O141:P141"/>
    <mergeCell ref="Q141:Z141"/>
    <mergeCell ref="O142:P142"/>
    <mergeCell ref="Q142:Z142"/>
    <mergeCell ref="O135:P135"/>
    <mergeCell ref="Q135:Z135"/>
    <mergeCell ref="O136:P136"/>
    <mergeCell ref="O138:Z138"/>
    <mergeCell ref="O139:P139"/>
    <mergeCell ref="Q139:Z139"/>
    <mergeCell ref="O143:P143"/>
    <mergeCell ref="Q143:Z143"/>
    <mergeCell ref="O144:P144"/>
    <mergeCell ref="H146:N146"/>
    <mergeCell ref="O148:Z148"/>
    <mergeCell ref="O149:P149"/>
    <mergeCell ref="Q149:Z149"/>
    <mergeCell ref="O140:P140"/>
    <mergeCell ref="Q140:Z140"/>
    <mergeCell ref="O153:P153"/>
    <mergeCell ref="Q153:Z153"/>
    <mergeCell ref="AF153:AJ153"/>
    <mergeCell ref="O154:P154"/>
    <mergeCell ref="O156:Z156"/>
    <mergeCell ref="O157:P157"/>
    <mergeCell ref="Q157:Z157"/>
    <mergeCell ref="O150:P150"/>
    <mergeCell ref="Q150:Z150"/>
    <mergeCell ref="AA150:AB150"/>
    <mergeCell ref="O151:P151"/>
    <mergeCell ref="Q151:Z151"/>
    <mergeCell ref="O152:P152"/>
    <mergeCell ref="Q152:Z152"/>
    <mergeCell ref="H166:N166"/>
    <mergeCell ref="O168:Z168"/>
    <mergeCell ref="O169:P169"/>
    <mergeCell ref="Q169:Z169"/>
    <mergeCell ref="O158:P158"/>
    <mergeCell ref="Q158:Z158"/>
    <mergeCell ref="AA158:AB158"/>
    <mergeCell ref="O159:P159"/>
    <mergeCell ref="Q159:Z159"/>
    <mergeCell ref="O160:P160"/>
    <mergeCell ref="Q160:Z160"/>
    <mergeCell ref="AG169:AH169"/>
    <mergeCell ref="AJ169:AK169"/>
    <mergeCell ref="O170:P170"/>
    <mergeCell ref="Q170:Z170"/>
    <mergeCell ref="AA170:AB170"/>
    <mergeCell ref="AG170:AH170"/>
    <mergeCell ref="AJ170:AK170"/>
    <mergeCell ref="O161:P161"/>
    <mergeCell ref="Q161:Z161"/>
    <mergeCell ref="O162:P162"/>
    <mergeCell ref="AJ173:AK173"/>
    <mergeCell ref="O174:P174"/>
    <mergeCell ref="AK174:AL174"/>
    <mergeCell ref="O171:P171"/>
    <mergeCell ref="Q171:Z171"/>
    <mergeCell ref="AG171:AH171"/>
    <mergeCell ref="AJ171:AK171"/>
    <mergeCell ref="O172:P172"/>
    <mergeCell ref="Q172:Z172"/>
    <mergeCell ref="AG172:AH172"/>
    <mergeCell ref="AJ172:AK172"/>
    <mergeCell ref="O176:Z176"/>
    <mergeCell ref="O177:P177"/>
    <mergeCell ref="Q177:Z177"/>
    <mergeCell ref="O178:P178"/>
    <mergeCell ref="Q178:Z178"/>
    <mergeCell ref="AA178:AB178"/>
    <mergeCell ref="O173:P173"/>
    <mergeCell ref="Q173:Z173"/>
    <mergeCell ref="AG173:AH173"/>
    <mergeCell ref="O182:P182"/>
    <mergeCell ref="O187:Z187"/>
    <mergeCell ref="O188:P188"/>
    <mergeCell ref="Q188:Z188"/>
    <mergeCell ref="O189:P189"/>
    <mergeCell ref="Q189:Z189"/>
    <mergeCell ref="O179:P179"/>
    <mergeCell ref="Q179:Z179"/>
    <mergeCell ref="O180:P180"/>
    <mergeCell ref="Q180:Z180"/>
    <mergeCell ref="O181:P181"/>
    <mergeCell ref="Q181:Z181"/>
    <mergeCell ref="O193:P193"/>
    <mergeCell ref="O195:Z195"/>
    <mergeCell ref="O196:P196"/>
    <mergeCell ref="Q196:Z196"/>
    <mergeCell ref="O197:P197"/>
    <mergeCell ref="Q197:Z197"/>
    <mergeCell ref="AA189:AB189"/>
    <mergeCell ref="O190:P190"/>
    <mergeCell ref="Q190:Z190"/>
    <mergeCell ref="O191:P191"/>
    <mergeCell ref="Q191:Z191"/>
    <mergeCell ref="O192:P192"/>
    <mergeCell ref="Q192:Z192"/>
    <mergeCell ref="O201:P201"/>
    <mergeCell ref="C204:D206"/>
    <mergeCell ref="E204:F206"/>
    <mergeCell ref="G204:H208"/>
    <mergeCell ref="I204:J206"/>
    <mergeCell ref="K204:L206"/>
    <mergeCell ref="N204:O206"/>
    <mergeCell ref="AA197:AB197"/>
    <mergeCell ref="O198:P198"/>
    <mergeCell ref="Q198:Z198"/>
    <mergeCell ref="O199:P199"/>
    <mergeCell ref="Q199:Z199"/>
    <mergeCell ref="O200:P200"/>
    <mergeCell ref="Q200:Z200"/>
    <mergeCell ref="Q204:R206"/>
    <mergeCell ref="U204:U209"/>
    <mergeCell ref="V204:V209"/>
    <mergeCell ref="W204:W209"/>
    <mergeCell ref="X204:X209"/>
    <mergeCell ref="C207:D207"/>
    <mergeCell ref="E207:F207"/>
    <mergeCell ref="I207:J207"/>
    <mergeCell ref="K207:L207"/>
    <mergeCell ref="N207:O207"/>
    <mergeCell ref="C210:D210"/>
    <mergeCell ref="E210:F210"/>
    <mergeCell ref="I210:J210"/>
    <mergeCell ref="K210:L210"/>
    <mergeCell ref="N210:O210"/>
    <mergeCell ref="Q210:R210"/>
    <mergeCell ref="Q207:R207"/>
    <mergeCell ref="C208:D208"/>
    <mergeCell ref="E208:F208"/>
    <mergeCell ref="I208:J208"/>
    <mergeCell ref="K208:L208"/>
    <mergeCell ref="N208:O208"/>
    <mergeCell ref="Q208:R208"/>
    <mergeCell ref="C212:D212"/>
    <mergeCell ref="E212:F212"/>
    <mergeCell ref="I212:J212"/>
    <mergeCell ref="K212:L212"/>
    <mergeCell ref="N212:O212"/>
    <mergeCell ref="Q212:R212"/>
    <mergeCell ref="C211:D211"/>
    <mergeCell ref="E211:F211"/>
    <mergeCell ref="I211:J211"/>
    <mergeCell ref="K211:L211"/>
    <mergeCell ref="N211:O211"/>
    <mergeCell ref="Q211:R211"/>
    <mergeCell ref="S213:T213"/>
    <mergeCell ref="Z213:AC213"/>
    <mergeCell ref="C214:D214"/>
    <mergeCell ref="E214:F214"/>
    <mergeCell ref="I214:J214"/>
    <mergeCell ref="K214:L214"/>
    <mergeCell ref="N214:O214"/>
    <mergeCell ref="Q214:R214"/>
    <mergeCell ref="C213:D213"/>
    <mergeCell ref="E213:F213"/>
    <mergeCell ref="I213:J213"/>
    <mergeCell ref="K213:L213"/>
    <mergeCell ref="N213:O213"/>
    <mergeCell ref="Q213:R213"/>
    <mergeCell ref="Q215:R215"/>
    <mergeCell ref="AB215:AK215"/>
    <mergeCell ref="C216:D216"/>
    <mergeCell ref="E216:F216"/>
    <mergeCell ref="G216:H216"/>
    <mergeCell ref="I216:J216"/>
    <mergeCell ref="K216:L216"/>
    <mergeCell ref="N216:O216"/>
    <mergeCell ref="Q216:R216"/>
    <mergeCell ref="S216:T216"/>
    <mergeCell ref="C215:D215"/>
    <mergeCell ref="E215:F215"/>
    <mergeCell ref="G215:H215"/>
    <mergeCell ref="I215:J215"/>
    <mergeCell ref="K215:L215"/>
    <mergeCell ref="N215:O215"/>
    <mergeCell ref="Q217:R217"/>
    <mergeCell ref="C218:D218"/>
    <mergeCell ref="E218:F218"/>
    <mergeCell ref="G218:H218"/>
    <mergeCell ref="I218:J218"/>
    <mergeCell ref="K218:L218"/>
    <mergeCell ref="N218:O218"/>
    <mergeCell ref="Q218:R218"/>
    <mergeCell ref="C217:D217"/>
    <mergeCell ref="E217:F217"/>
    <mergeCell ref="G217:H217"/>
    <mergeCell ref="I217:J217"/>
    <mergeCell ref="K217:L217"/>
    <mergeCell ref="N217:O217"/>
    <mergeCell ref="Z219:AC219"/>
    <mergeCell ref="C220:D220"/>
    <mergeCell ref="E220:F220"/>
    <mergeCell ref="G220:H220"/>
    <mergeCell ref="I220:J220"/>
    <mergeCell ref="K220:L220"/>
    <mergeCell ref="N220:O220"/>
    <mergeCell ref="Q220:R220"/>
    <mergeCell ref="C219:D219"/>
    <mergeCell ref="E219:F219"/>
    <mergeCell ref="I219:J219"/>
    <mergeCell ref="K219:L219"/>
    <mergeCell ref="N219:O219"/>
    <mergeCell ref="Q219:R219"/>
    <mergeCell ref="AF222:AH222"/>
    <mergeCell ref="C223:D223"/>
    <mergeCell ref="E223:F223"/>
    <mergeCell ref="G223:H223"/>
    <mergeCell ref="I223:J223"/>
    <mergeCell ref="K223:L223"/>
    <mergeCell ref="N223:O223"/>
    <mergeCell ref="Q223:R223"/>
    <mergeCell ref="Q221:R221"/>
    <mergeCell ref="C222:D222"/>
    <mergeCell ref="E222:F222"/>
    <mergeCell ref="G222:H222"/>
    <mergeCell ref="I222:J222"/>
    <mergeCell ref="K222:L222"/>
    <mergeCell ref="N222:O222"/>
    <mergeCell ref="Q222:R222"/>
    <mergeCell ref="C221:D221"/>
    <mergeCell ref="E221:F221"/>
    <mergeCell ref="G221:H221"/>
    <mergeCell ref="I221:J221"/>
    <mergeCell ref="K221:L221"/>
    <mergeCell ref="N221:O221"/>
    <mergeCell ref="Q224:R224"/>
    <mergeCell ref="AA229:AC229"/>
    <mergeCell ref="AD229:AF229"/>
    <mergeCell ref="D230:H230"/>
    <mergeCell ref="I230:K230"/>
    <mergeCell ref="L230:N230"/>
    <mergeCell ref="O230:Q230"/>
    <mergeCell ref="R230:T230"/>
    <mergeCell ref="U230:W230"/>
    <mergeCell ref="X230:Z230"/>
    <mergeCell ref="C224:D224"/>
    <mergeCell ref="E224:F224"/>
    <mergeCell ref="G224:H224"/>
    <mergeCell ref="I224:J224"/>
    <mergeCell ref="K224:L224"/>
    <mergeCell ref="N224:O224"/>
    <mergeCell ref="AA230:AC230"/>
    <mergeCell ref="AD230:AF230"/>
    <mergeCell ref="AI231:AK231"/>
    <mergeCell ref="D232:H232"/>
    <mergeCell ref="I232:K232"/>
    <mergeCell ref="L232:N232"/>
    <mergeCell ref="O232:Q232"/>
    <mergeCell ref="R232:T232"/>
    <mergeCell ref="U232:W232"/>
    <mergeCell ref="X232:Z232"/>
    <mergeCell ref="AA232:AC232"/>
    <mergeCell ref="AD232:AF232"/>
    <mergeCell ref="AI232:AK232"/>
    <mergeCell ref="D231:H231"/>
    <mergeCell ref="I231:K231"/>
    <mergeCell ref="L231:N231"/>
    <mergeCell ref="O231:Q231"/>
    <mergeCell ref="R231:T231"/>
    <mergeCell ref="U231:W231"/>
    <mergeCell ref="X231:Z231"/>
    <mergeCell ref="AA231:AC231"/>
    <mergeCell ref="AD231:AF231"/>
    <mergeCell ref="D233:H233"/>
    <mergeCell ref="I233:K233"/>
    <mergeCell ref="L233:N233"/>
    <mergeCell ref="O233:Q233"/>
    <mergeCell ref="R233:T233"/>
    <mergeCell ref="U233:W233"/>
    <mergeCell ref="X233:Z233"/>
    <mergeCell ref="AA233:AC233"/>
    <mergeCell ref="AD233:AF233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AD234:AF234"/>
    <mergeCell ref="X235:Z235"/>
    <mergeCell ref="AA235:AC235"/>
    <mergeCell ref="AD235:AF235"/>
    <mergeCell ref="D236:H236"/>
    <mergeCell ref="I236:K236"/>
    <mergeCell ref="L236:N236"/>
    <mergeCell ref="O236:Q236"/>
    <mergeCell ref="R236:T236"/>
    <mergeCell ref="U236:W236"/>
    <mergeCell ref="X236:Z236"/>
    <mergeCell ref="D235:H235"/>
    <mergeCell ref="I235:K235"/>
    <mergeCell ref="L235:N235"/>
    <mergeCell ref="O235:Q235"/>
    <mergeCell ref="R235:T235"/>
    <mergeCell ref="U235:W235"/>
    <mergeCell ref="AA236:AC236"/>
    <mergeCell ref="AD236:AF236"/>
    <mergeCell ref="D237:H237"/>
    <mergeCell ref="I237:K237"/>
    <mergeCell ref="L237:N237"/>
    <mergeCell ref="O237:Q237"/>
    <mergeCell ref="R237:T237"/>
    <mergeCell ref="U237:W237"/>
    <mergeCell ref="X237:Z237"/>
    <mergeCell ref="AA237:AC237"/>
    <mergeCell ref="AD237:AF237"/>
    <mergeCell ref="D238:H238"/>
    <mergeCell ref="I238:K238"/>
    <mergeCell ref="L238:N238"/>
    <mergeCell ref="O238:Q238"/>
    <mergeCell ref="R238:T238"/>
    <mergeCell ref="U238:W238"/>
    <mergeCell ref="X238:Z238"/>
    <mergeCell ref="AA238:AC238"/>
    <mergeCell ref="AD238:AF238"/>
    <mergeCell ref="D241:F241"/>
    <mergeCell ref="D242:F242"/>
    <mergeCell ref="M242:O242"/>
    <mergeCell ref="AD242:AF242"/>
    <mergeCell ref="O247:Z247"/>
    <mergeCell ref="O248:P248"/>
    <mergeCell ref="Q248:Z248"/>
    <mergeCell ref="X239:Z239"/>
    <mergeCell ref="AA239:AC239"/>
    <mergeCell ref="AD239:AF239"/>
    <mergeCell ref="S240:U240"/>
    <mergeCell ref="X240:Z240"/>
    <mergeCell ref="AD240:AF240"/>
    <mergeCell ref="D239:H239"/>
    <mergeCell ref="I239:K239"/>
    <mergeCell ref="L239:N239"/>
    <mergeCell ref="O239:Q239"/>
    <mergeCell ref="R239:T239"/>
    <mergeCell ref="U239:W239"/>
    <mergeCell ref="AF252:AJ252"/>
    <mergeCell ref="O253:P253"/>
    <mergeCell ref="O255:Z255"/>
    <mergeCell ref="O256:P256"/>
    <mergeCell ref="Q256:Z256"/>
    <mergeCell ref="O249:P249"/>
    <mergeCell ref="Q249:Z249"/>
    <mergeCell ref="AA249:AB249"/>
    <mergeCell ref="O250:P250"/>
    <mergeCell ref="Q250:Z250"/>
    <mergeCell ref="O251:P251"/>
    <mergeCell ref="Q251:Z251"/>
    <mergeCell ref="O257:P257"/>
    <mergeCell ref="Q257:Z257"/>
    <mergeCell ref="AA257:AB257"/>
    <mergeCell ref="O258:P258"/>
    <mergeCell ref="Q258:Z258"/>
    <mergeCell ref="O259:P259"/>
    <mergeCell ref="Q259:Z259"/>
    <mergeCell ref="O252:P252"/>
    <mergeCell ref="Q252:Z252"/>
    <mergeCell ref="O260:P260"/>
    <mergeCell ref="Q260:Z260"/>
    <mergeCell ref="O261:P261"/>
    <mergeCell ref="AA266:AC266"/>
    <mergeCell ref="AD266:AF266"/>
    <mergeCell ref="D267:H267"/>
    <mergeCell ref="I267:K267"/>
    <mergeCell ref="L267:N267"/>
    <mergeCell ref="O267:Q267"/>
    <mergeCell ref="R267:T267"/>
    <mergeCell ref="U267:W267"/>
    <mergeCell ref="X267:Z267"/>
    <mergeCell ref="AA267:AC267"/>
    <mergeCell ref="AD267:AF267"/>
    <mergeCell ref="AI268:AM268"/>
    <mergeCell ref="D269:H269"/>
    <mergeCell ref="I269:K269"/>
    <mergeCell ref="L269:N269"/>
    <mergeCell ref="O269:Q269"/>
    <mergeCell ref="R269:T269"/>
    <mergeCell ref="U269:W269"/>
    <mergeCell ref="X269:Z269"/>
    <mergeCell ref="AA269:AC269"/>
    <mergeCell ref="AD269:AF269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D270:H270"/>
    <mergeCell ref="I270:K270"/>
    <mergeCell ref="L270:N270"/>
    <mergeCell ref="O270:Q270"/>
    <mergeCell ref="R270:T270"/>
    <mergeCell ref="U270:W270"/>
    <mergeCell ref="X270:Z270"/>
    <mergeCell ref="AA270:AC270"/>
    <mergeCell ref="AD270:AF270"/>
    <mergeCell ref="D271:H271"/>
    <mergeCell ref="I271:K271"/>
    <mergeCell ref="L271:N271"/>
    <mergeCell ref="O271:Q271"/>
    <mergeCell ref="R271:T271"/>
    <mergeCell ref="U271:W271"/>
    <mergeCell ref="X271:Z271"/>
    <mergeCell ref="AA271:AC271"/>
    <mergeCell ref="AD271:AF271"/>
    <mergeCell ref="D272:H272"/>
    <mergeCell ref="I272:K272"/>
    <mergeCell ref="L272:N272"/>
    <mergeCell ref="O272:Q272"/>
    <mergeCell ref="R272:T272"/>
    <mergeCell ref="U272:W272"/>
    <mergeCell ref="X272:Z272"/>
    <mergeCell ref="AA272:AC272"/>
    <mergeCell ref="AD272:AF272"/>
    <mergeCell ref="D274:H274"/>
    <mergeCell ref="I274:K274"/>
    <mergeCell ref="L274:N274"/>
    <mergeCell ref="O274:Q274"/>
    <mergeCell ref="R274:T274"/>
    <mergeCell ref="U274:W274"/>
    <mergeCell ref="X274:Z274"/>
    <mergeCell ref="D273:H273"/>
    <mergeCell ref="I273:K273"/>
    <mergeCell ref="L273:N273"/>
    <mergeCell ref="O273:Q273"/>
    <mergeCell ref="R273:T273"/>
    <mergeCell ref="U273:W273"/>
    <mergeCell ref="AA274:AC274"/>
    <mergeCell ref="AD274:AF274"/>
    <mergeCell ref="S275:U275"/>
    <mergeCell ref="X275:Z275"/>
    <mergeCell ref="AD275:AF275"/>
    <mergeCell ref="L277:N277"/>
    <mergeCell ref="AD277:AF277"/>
    <mergeCell ref="X273:Z273"/>
    <mergeCell ref="AA273:AC273"/>
    <mergeCell ref="AD273:AF273"/>
  </mergeCells>
  <conditionalFormatting sqref="AP203:AP206 AH62 AP62 AH33:AH50 AP33:AP50">
    <cfRule type="cellIs" dxfId="152" priority="24" stopIfTrue="1" operator="lessThanOrEqual">
      <formula>0</formula>
    </cfRule>
  </conditionalFormatting>
  <conditionalFormatting sqref="L291:L292 K262:L262 K291:K294 L294 K162:L163 K279:L282 K183:L183 K202:L244 L86:L145 K84:K145 K83:L83 K77:K82">
    <cfRule type="cellIs" dxfId="151" priority="23" stopIfTrue="1" operator="greaterThanOrEqual">
      <formula>$K$74</formula>
    </cfRule>
  </conditionalFormatting>
  <conditionalFormatting sqref="AR50:AT50 AR48:AT48 AP58:AT59 AR62:AS62 AS38 AS40 AR33:AS33 AT5 AR34:AR44 AP11:AT27 AR45:AS47">
    <cfRule type="cellIs" dxfId="150" priority="22" stopIfTrue="1" operator="lessThan">
      <formula>0</formula>
    </cfRule>
  </conditionalFormatting>
  <conditionalFormatting sqref="P203:P205 AJ58:AJ59 F62 Z62 F58:F60 P62:P68 P58:P60 Z58:Z60 F11:F26 AJ11:AJ27 P11:P27 Z11:Z27 Z33:Z50 P33:P55 F33:F50">
    <cfRule type="cellIs" dxfId="149" priority="21" stopIfTrue="1" operator="lessThanOrEqual">
      <formula>0</formula>
    </cfRule>
  </conditionalFormatting>
  <conditionalFormatting sqref="S203:S205 AM58:AM59 AC62 I62 AC58:AC60 S62:S68 S58:S60 I58:I60 AM11:AM27 I11:I26 S11:S27 AC11:AC27 AC33:AC50 S33:S55 I33:I50">
    <cfRule type="cellIs" dxfId="148" priority="20" stopIfTrue="1" operator="lessThanOrEqual">
      <formula>0</formula>
    </cfRule>
  </conditionalFormatting>
  <conditionalFormatting sqref="U203:V205 K58:L60 AO58:AO59 AE58:AE59 K62:L62 AE62:AF62 U62:V68 AE60:AF60 U58:V60 K48:L50 AE48:AF50 U48:V56 AF45:AF46 L45:L46 V45:V46 U43:V43 AE43:AF43 L39:L42 AF39:AF42 U33:V33 K26:L27 AE26:AF27 K33:L33 U26:V27 AE33:AF33 L23:L24 V23:V24 U34:U42 AE34:AE42 K16:L19 L20 V16:V20 K12:K15 K11:L11 U11:V11 V38:V42 K20:K25 U12:U25 AE11:AE25 AO11:AO27 U44:U47 AE44:AE47 K34:K47">
    <cfRule type="cellIs" dxfId="147" priority="19" stopIfTrue="1" operator="lessThanOrEqual">
      <formula>0</formula>
    </cfRule>
  </conditionalFormatting>
  <conditionalFormatting sqref="W213:X222 Z203:AA205 W224:X224 Z63:AA63 AA68:AB70 AA73:AB74 Z51:AA55 W75:X76 W78:X89">
    <cfRule type="cellIs" dxfId="146" priority="18" stopIfTrue="1" operator="lessThan">
      <formula>0</formula>
    </cfRule>
  </conditionalFormatting>
  <conditionalFormatting sqref="X203:X205 U224 U213:U222 X63:X68 X51 X53:X55 U75:U76 U78:U89">
    <cfRule type="cellIs" dxfId="145" priority="17" stopIfTrue="1" operator="greaterThan">
      <formula>48</formula>
    </cfRule>
  </conditionalFormatting>
  <conditionalFormatting sqref="C279:C283 C291:D294 C162:D162 D279:D290 C90:D145 C244:D244 C225:D225">
    <cfRule type="cellIs" dxfId="144" priority="16" stopIfTrue="1" operator="lessThan">
      <formula>$C$73</formula>
    </cfRule>
  </conditionalFormatting>
  <conditionalFormatting sqref="AI62:AO62 AI33:AO50">
    <cfRule type="cellIs" dxfId="143" priority="14" stopIfTrue="1" operator="equal">
      <formula>0</formula>
    </cfRule>
    <cfRule type="cellIs" dxfId="142" priority="15" stopIfTrue="1" operator="lessThan">
      <formula>0</formula>
    </cfRule>
  </conditionalFormatting>
  <conditionalFormatting sqref="AT62 AT33:AT47">
    <cfRule type="cellIs" dxfId="141" priority="12" stopIfTrue="1" operator="greaterThan">
      <formula>0</formula>
    </cfRule>
    <cfRule type="cellIs" dxfId="140" priority="13" stopIfTrue="1" operator="lessThan">
      <formula>1</formula>
    </cfRule>
  </conditionalFormatting>
  <conditionalFormatting sqref="K210:L220 K223:L223 K73:L88">
    <cfRule type="cellIs" dxfId="139" priority="11" stopIfTrue="1" operator="greaterThanOrEqual">
      <formula>$K$71</formula>
    </cfRule>
  </conditionalFormatting>
  <conditionalFormatting sqref="AF58:AF59 L12:L25 AF11:AF25 V12:V25 AF33:AF47 V33:V47 L33:L47">
    <cfRule type="cellIs" dxfId="138" priority="9" stopIfTrue="1" operator="equal">
      <formula>0</formula>
    </cfRule>
    <cfRule type="cellIs" dxfId="137" priority="10" stopIfTrue="1" operator="lessThan">
      <formula>0</formula>
    </cfRule>
  </conditionalFormatting>
  <conditionalFormatting sqref="AP53:AT53">
    <cfRule type="cellIs" dxfId="136" priority="8" stopIfTrue="1" operator="lessThan">
      <formula>0</formula>
    </cfRule>
  </conditionalFormatting>
  <conditionalFormatting sqref="AJ53">
    <cfRule type="cellIs" dxfId="135" priority="7" stopIfTrue="1" operator="lessThanOrEqual">
      <formula>0</formula>
    </cfRule>
  </conditionalFormatting>
  <conditionalFormatting sqref="AM53">
    <cfRule type="cellIs" dxfId="134" priority="6" stopIfTrue="1" operator="lessThanOrEqual">
      <formula>0</formula>
    </cfRule>
  </conditionalFormatting>
  <conditionalFormatting sqref="AO53">
    <cfRule type="cellIs" dxfId="133" priority="5" stopIfTrue="1" operator="lessThanOrEqual">
      <formula>0</formula>
    </cfRule>
  </conditionalFormatting>
  <conditionalFormatting sqref="AP54:AT54">
    <cfRule type="cellIs" dxfId="132" priority="4" stopIfTrue="1" operator="lessThan">
      <formula>0</formula>
    </cfRule>
  </conditionalFormatting>
  <conditionalFormatting sqref="AJ54">
    <cfRule type="cellIs" dxfId="131" priority="3" stopIfTrue="1" operator="lessThanOrEqual">
      <formula>0</formula>
    </cfRule>
  </conditionalFormatting>
  <conditionalFormatting sqref="AM54">
    <cfRule type="cellIs" dxfId="130" priority="2" stopIfTrue="1" operator="lessThanOrEqual">
      <formula>0</formula>
    </cfRule>
  </conditionalFormatting>
  <conditionalFormatting sqref="AO54">
    <cfRule type="cellIs" dxfId="129" priority="1" stopIfTrue="1" operator="lessThanOrEqual">
      <formula>0</formula>
    </cfRule>
  </conditionalFormatting>
  <hyperlinks>
    <hyperlink ref="AB215" r:id="rId1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K36 AF14:BA14 AF17:BA21 AF15:AM15 AO15:BA15 AF16 AJ16:BA16" formula="1"/>
  </ignoredErrors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H281"/>
  <sheetViews>
    <sheetView zoomScale="90" zoomScaleNormal="90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C5" sqref="C5:J6"/>
    </sheetView>
  </sheetViews>
  <sheetFormatPr baseColWidth="10" defaultRowHeight="15"/>
  <cols>
    <col min="1" max="1" width="2.28515625" style="1" customWidth="1"/>
    <col min="2" max="2" width="13.7109375" style="7" customWidth="1"/>
    <col min="3" max="4" width="4.28515625" style="3" customWidth="1"/>
    <col min="5" max="5" width="4.28515625" style="4" customWidth="1"/>
    <col min="6" max="6" width="4.28515625" style="5" customWidth="1"/>
    <col min="7" max="8" width="4.28515625" style="3" customWidth="1"/>
    <col min="9" max="9" width="4.28515625" style="5" customWidth="1"/>
    <col min="10" max="10" width="4.28515625" style="3" customWidth="1"/>
    <col min="11" max="12" width="4.28515625" style="6" customWidth="1"/>
    <col min="13" max="26" width="4.28515625" style="3" customWidth="1"/>
    <col min="27" max="39" width="4.28515625" style="7" customWidth="1"/>
    <col min="40" max="40" width="4.7109375" style="7" customWidth="1"/>
    <col min="41" max="41" width="4.28515625" style="7" customWidth="1"/>
    <col min="42" max="42" width="4.7109375" style="7" customWidth="1"/>
    <col min="43" max="43" width="0.5703125" style="7" customWidth="1"/>
    <col min="44" max="45" width="4.140625" style="7" customWidth="1"/>
    <col min="46" max="46" width="7.7109375" style="7" customWidth="1"/>
    <col min="47" max="47" width="0.85546875" style="7" customWidth="1"/>
    <col min="48" max="54" width="2.7109375" style="7" customWidth="1"/>
    <col min="55" max="55" width="0.85546875" style="7" customWidth="1"/>
    <col min="56" max="56" width="8.42578125" style="7" bestFit="1" customWidth="1"/>
    <col min="57" max="57" width="10.28515625" style="7" customWidth="1"/>
    <col min="58" max="59" width="11.42578125" style="7"/>
    <col min="60" max="62" width="12.7109375" style="7" customWidth="1"/>
    <col min="63" max="16384" width="11.42578125" style="7"/>
  </cols>
  <sheetData>
    <row r="1" spans="1:60" ht="6.95" customHeight="1">
      <c r="B1" s="2">
        <f>+W27</f>
        <v>43880</v>
      </c>
      <c r="C1" s="3" t="s">
        <v>0</v>
      </c>
      <c r="AN1" s="8"/>
      <c r="AO1" s="8"/>
      <c r="AR1" s="734">
        <f>+AR48+AT48</f>
        <v>173</v>
      </c>
      <c r="AS1" s="735"/>
      <c r="AT1" s="735"/>
      <c r="AU1" s="736"/>
    </row>
    <row r="2" spans="1:60" ht="6.95" customHeight="1">
      <c r="AJ2" s="8"/>
      <c r="AK2" s="8"/>
      <c r="AL2" s="8"/>
      <c r="AM2" s="8"/>
      <c r="AN2" s="8"/>
      <c r="AO2" s="8"/>
      <c r="AR2" s="737"/>
      <c r="AS2" s="738"/>
      <c r="AT2" s="738"/>
      <c r="AU2" s="739"/>
    </row>
    <row r="3" spans="1:60" s="10" customFormat="1" ht="20.100000000000001" customHeight="1">
      <c r="A3" s="1"/>
      <c r="B3" s="740">
        <f>+B1+1</f>
        <v>43881</v>
      </c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740"/>
      <c r="AB3" s="740"/>
      <c r="AC3" s="740"/>
      <c r="AD3" s="740"/>
      <c r="AE3" s="740"/>
      <c r="AF3" s="740"/>
      <c r="AG3" s="740"/>
      <c r="AH3" s="740"/>
      <c r="AI3" s="740"/>
      <c r="AJ3" s="740"/>
      <c r="AK3" s="740"/>
      <c r="AL3" s="740"/>
      <c r="AM3" s="740"/>
      <c r="AN3" s="740"/>
      <c r="AO3" s="740"/>
      <c r="AP3" s="9"/>
      <c r="AT3" s="11"/>
    </row>
    <row r="4" spans="1:60" ht="3" customHeight="1" thickBot="1">
      <c r="B4" s="12"/>
      <c r="C4" s="3">
        <v>0</v>
      </c>
    </row>
    <row r="5" spans="1:60" ht="9.9499999999999993" customHeight="1">
      <c r="B5" s="741" t="s">
        <v>1</v>
      </c>
      <c r="C5" s="744">
        <v>43874</v>
      </c>
      <c r="D5" s="744"/>
      <c r="E5" s="744"/>
      <c r="F5" s="744"/>
      <c r="G5" s="744"/>
      <c r="H5" s="744"/>
      <c r="I5" s="744"/>
      <c r="J5" s="744"/>
      <c r="K5" s="746"/>
      <c r="L5" s="747"/>
      <c r="M5" s="744">
        <f>1+C5</f>
        <v>43875</v>
      </c>
      <c r="N5" s="744"/>
      <c r="O5" s="744"/>
      <c r="P5" s="744"/>
      <c r="Q5" s="744"/>
      <c r="R5" s="744"/>
      <c r="S5" s="744"/>
      <c r="T5" s="744"/>
      <c r="U5" s="746"/>
      <c r="V5" s="747"/>
      <c r="W5" s="750">
        <f>1+M5</f>
        <v>43876</v>
      </c>
      <c r="X5" s="750"/>
      <c r="Y5" s="750"/>
      <c r="Z5" s="750"/>
      <c r="AA5" s="750"/>
      <c r="AB5" s="750"/>
      <c r="AC5" s="750"/>
      <c r="AD5" s="750"/>
      <c r="AE5" s="752"/>
      <c r="AF5" s="753"/>
      <c r="AG5" s="756">
        <f>1+W5</f>
        <v>43877</v>
      </c>
      <c r="AH5" s="757"/>
      <c r="AI5" s="757"/>
      <c r="AJ5" s="757"/>
      <c r="AK5" s="757"/>
      <c r="AL5" s="757"/>
      <c r="AM5" s="757"/>
      <c r="AN5" s="757"/>
      <c r="AO5" s="791" t="s">
        <v>2</v>
      </c>
      <c r="AP5" s="793" t="s">
        <v>3</v>
      </c>
      <c r="AQ5" s="794"/>
      <c r="AR5" s="794"/>
      <c r="AS5" s="795"/>
      <c r="AT5" s="802" t="s">
        <v>4</v>
      </c>
      <c r="AV5" s="779" t="s">
        <v>5</v>
      </c>
      <c r="AW5" s="779"/>
      <c r="AX5" s="779"/>
      <c r="AY5" s="779"/>
      <c r="AZ5" s="779"/>
      <c r="BA5" s="779"/>
      <c r="BB5" s="779"/>
      <c r="BC5" s="13"/>
      <c r="BD5" s="804" t="s">
        <v>6</v>
      </c>
      <c r="BE5" s="805" t="s">
        <v>7</v>
      </c>
      <c r="BF5" s="776" t="s">
        <v>8</v>
      </c>
    </row>
    <row r="6" spans="1:60" ht="9.9499999999999993" customHeight="1">
      <c r="B6" s="742"/>
      <c r="C6" s="745"/>
      <c r="D6" s="745"/>
      <c r="E6" s="745"/>
      <c r="F6" s="745"/>
      <c r="G6" s="745"/>
      <c r="H6" s="745"/>
      <c r="I6" s="745"/>
      <c r="J6" s="745"/>
      <c r="K6" s="748"/>
      <c r="L6" s="749"/>
      <c r="M6" s="745"/>
      <c r="N6" s="745"/>
      <c r="O6" s="745"/>
      <c r="P6" s="745"/>
      <c r="Q6" s="745"/>
      <c r="R6" s="745"/>
      <c r="S6" s="745"/>
      <c r="T6" s="745"/>
      <c r="U6" s="748"/>
      <c r="V6" s="749"/>
      <c r="W6" s="751"/>
      <c r="X6" s="751"/>
      <c r="Y6" s="751"/>
      <c r="Z6" s="751"/>
      <c r="AA6" s="751"/>
      <c r="AB6" s="751"/>
      <c r="AC6" s="751"/>
      <c r="AD6" s="751"/>
      <c r="AE6" s="754"/>
      <c r="AF6" s="755"/>
      <c r="AG6" s="758"/>
      <c r="AH6" s="759"/>
      <c r="AI6" s="759"/>
      <c r="AJ6" s="759"/>
      <c r="AK6" s="759"/>
      <c r="AL6" s="759"/>
      <c r="AM6" s="759"/>
      <c r="AN6" s="759"/>
      <c r="AO6" s="792"/>
      <c r="AP6" s="796"/>
      <c r="AQ6" s="797"/>
      <c r="AR6" s="797"/>
      <c r="AS6" s="798"/>
      <c r="AT6" s="803"/>
      <c r="AV6" s="779" t="s">
        <v>9</v>
      </c>
      <c r="AW6" s="779"/>
      <c r="AX6" s="779"/>
      <c r="AY6" s="779"/>
      <c r="AZ6" s="779"/>
      <c r="BA6" s="779"/>
      <c r="BB6" s="779"/>
      <c r="BC6" s="13"/>
      <c r="BD6" s="804"/>
      <c r="BE6" s="805"/>
      <c r="BF6" s="777"/>
    </row>
    <row r="7" spans="1:60" ht="15.2" customHeight="1">
      <c r="B7" s="742"/>
      <c r="C7" s="780" t="s">
        <v>10</v>
      </c>
      <c r="D7" s="781"/>
      <c r="E7" s="766" t="s">
        <v>11</v>
      </c>
      <c r="F7" s="769" t="s">
        <v>12</v>
      </c>
      <c r="G7" s="772" t="s">
        <v>10</v>
      </c>
      <c r="H7" s="761"/>
      <c r="I7" s="769" t="s">
        <v>12</v>
      </c>
      <c r="J7" s="773" t="s">
        <v>13</v>
      </c>
      <c r="K7" s="786" t="s">
        <v>14</v>
      </c>
      <c r="L7" s="789" t="s">
        <v>15</v>
      </c>
      <c r="M7" s="760" t="s">
        <v>10</v>
      </c>
      <c r="N7" s="761"/>
      <c r="O7" s="766" t="s">
        <v>11</v>
      </c>
      <c r="P7" s="769" t="s">
        <v>12</v>
      </c>
      <c r="Q7" s="772" t="s">
        <v>10</v>
      </c>
      <c r="R7" s="761"/>
      <c r="S7" s="769" t="s">
        <v>12</v>
      </c>
      <c r="T7" s="773" t="s">
        <v>13</v>
      </c>
      <c r="U7" s="786" t="s">
        <v>14</v>
      </c>
      <c r="V7" s="789" t="s">
        <v>15</v>
      </c>
      <c r="W7" s="814" t="s">
        <v>10</v>
      </c>
      <c r="X7" s="810"/>
      <c r="Y7" s="766" t="s">
        <v>11</v>
      </c>
      <c r="Z7" s="769" t="s">
        <v>12</v>
      </c>
      <c r="AA7" s="809" t="s">
        <v>10</v>
      </c>
      <c r="AB7" s="810"/>
      <c r="AC7" s="769" t="s">
        <v>12</v>
      </c>
      <c r="AD7" s="773" t="s">
        <v>13</v>
      </c>
      <c r="AE7" s="807" t="s">
        <v>14</v>
      </c>
      <c r="AF7" s="789" t="s">
        <v>15</v>
      </c>
      <c r="AG7" s="809" t="s">
        <v>10</v>
      </c>
      <c r="AH7" s="810"/>
      <c r="AI7" s="766" t="s">
        <v>11</v>
      </c>
      <c r="AJ7" s="825" t="s">
        <v>12</v>
      </c>
      <c r="AK7" s="809" t="s">
        <v>10</v>
      </c>
      <c r="AL7" s="810"/>
      <c r="AM7" s="769" t="s">
        <v>12</v>
      </c>
      <c r="AN7" s="828" t="s">
        <v>16</v>
      </c>
      <c r="AO7" s="830" t="s">
        <v>14</v>
      </c>
      <c r="AP7" s="796"/>
      <c r="AQ7" s="797"/>
      <c r="AR7" s="797"/>
      <c r="AS7" s="798"/>
      <c r="AT7" s="803"/>
      <c r="AV7" s="806">
        <f>+C5</f>
        <v>43874</v>
      </c>
      <c r="AW7" s="806">
        <f>+M5</f>
        <v>43875</v>
      </c>
      <c r="AX7" s="806">
        <f>+W5</f>
        <v>43876</v>
      </c>
      <c r="AY7" s="832">
        <f>+AG5</f>
        <v>43877</v>
      </c>
      <c r="AZ7" s="806">
        <f>+C27</f>
        <v>43878</v>
      </c>
      <c r="BA7" s="806">
        <f>+M27</f>
        <v>43879</v>
      </c>
      <c r="BB7" s="806">
        <f>+W27</f>
        <v>43880</v>
      </c>
      <c r="BC7" s="14"/>
      <c r="BD7" s="804"/>
      <c r="BE7" s="805"/>
      <c r="BF7" s="777"/>
    </row>
    <row r="8" spans="1:60" ht="15.2" customHeight="1">
      <c r="B8" s="742"/>
      <c r="C8" s="782"/>
      <c r="D8" s="783"/>
      <c r="E8" s="767"/>
      <c r="F8" s="770"/>
      <c r="G8" s="763"/>
      <c r="H8" s="763"/>
      <c r="I8" s="770"/>
      <c r="J8" s="774"/>
      <c r="K8" s="787"/>
      <c r="L8" s="789"/>
      <c r="M8" s="762"/>
      <c r="N8" s="763"/>
      <c r="O8" s="767"/>
      <c r="P8" s="770"/>
      <c r="Q8" s="763"/>
      <c r="R8" s="763"/>
      <c r="S8" s="770"/>
      <c r="T8" s="774"/>
      <c r="U8" s="787"/>
      <c r="V8" s="789"/>
      <c r="W8" s="815"/>
      <c r="X8" s="810"/>
      <c r="Y8" s="767"/>
      <c r="Z8" s="770"/>
      <c r="AA8" s="811"/>
      <c r="AB8" s="810"/>
      <c r="AC8" s="770"/>
      <c r="AD8" s="774"/>
      <c r="AE8" s="807"/>
      <c r="AF8" s="789"/>
      <c r="AG8" s="811"/>
      <c r="AH8" s="810"/>
      <c r="AI8" s="767"/>
      <c r="AJ8" s="826"/>
      <c r="AK8" s="811"/>
      <c r="AL8" s="810"/>
      <c r="AM8" s="770"/>
      <c r="AN8" s="828"/>
      <c r="AO8" s="830"/>
      <c r="AP8" s="796"/>
      <c r="AQ8" s="797"/>
      <c r="AR8" s="797"/>
      <c r="AS8" s="798"/>
      <c r="AT8" s="803"/>
      <c r="AV8" s="806"/>
      <c r="AW8" s="806"/>
      <c r="AX8" s="806"/>
      <c r="AY8" s="832"/>
      <c r="AZ8" s="806"/>
      <c r="BA8" s="806"/>
      <c r="BB8" s="806"/>
      <c r="BC8" s="14"/>
      <c r="BD8" s="804"/>
      <c r="BE8" s="805"/>
      <c r="BF8" s="777"/>
    </row>
    <row r="9" spans="1:60" ht="15.2" customHeight="1">
      <c r="B9" s="742"/>
      <c r="C9" s="782"/>
      <c r="D9" s="783"/>
      <c r="E9" s="767"/>
      <c r="F9" s="770"/>
      <c r="G9" s="763"/>
      <c r="H9" s="763"/>
      <c r="I9" s="770"/>
      <c r="J9" s="774"/>
      <c r="K9" s="787"/>
      <c r="L9" s="789"/>
      <c r="M9" s="762"/>
      <c r="N9" s="763"/>
      <c r="O9" s="767"/>
      <c r="P9" s="770"/>
      <c r="Q9" s="763"/>
      <c r="R9" s="763"/>
      <c r="S9" s="770"/>
      <c r="T9" s="774"/>
      <c r="U9" s="787"/>
      <c r="V9" s="789"/>
      <c r="W9" s="815"/>
      <c r="X9" s="810"/>
      <c r="Y9" s="767"/>
      <c r="Z9" s="770"/>
      <c r="AA9" s="811"/>
      <c r="AB9" s="810"/>
      <c r="AC9" s="770"/>
      <c r="AD9" s="774"/>
      <c r="AE9" s="807"/>
      <c r="AF9" s="789"/>
      <c r="AG9" s="811"/>
      <c r="AH9" s="810"/>
      <c r="AI9" s="767"/>
      <c r="AJ9" s="826"/>
      <c r="AK9" s="811"/>
      <c r="AL9" s="810"/>
      <c r="AM9" s="770"/>
      <c r="AN9" s="828"/>
      <c r="AO9" s="830"/>
      <c r="AP9" s="796"/>
      <c r="AQ9" s="797"/>
      <c r="AR9" s="797"/>
      <c r="AS9" s="798"/>
      <c r="AT9" s="803"/>
      <c r="AV9" s="806"/>
      <c r="AW9" s="806"/>
      <c r="AX9" s="806"/>
      <c r="AY9" s="832"/>
      <c r="AZ9" s="806"/>
      <c r="BA9" s="806"/>
      <c r="BB9" s="806"/>
      <c r="BC9" s="14"/>
      <c r="BD9" s="804"/>
      <c r="BE9" s="805"/>
      <c r="BF9" s="777"/>
    </row>
    <row r="10" spans="1:60" ht="15.2" customHeight="1" thickBot="1">
      <c r="B10" s="743"/>
      <c r="C10" s="784"/>
      <c r="D10" s="785"/>
      <c r="E10" s="768"/>
      <c r="F10" s="771"/>
      <c r="G10" s="765"/>
      <c r="H10" s="765"/>
      <c r="I10" s="771"/>
      <c r="J10" s="775"/>
      <c r="K10" s="788"/>
      <c r="L10" s="790"/>
      <c r="M10" s="764"/>
      <c r="N10" s="765"/>
      <c r="O10" s="768"/>
      <c r="P10" s="771"/>
      <c r="Q10" s="765"/>
      <c r="R10" s="765"/>
      <c r="S10" s="771"/>
      <c r="T10" s="775"/>
      <c r="U10" s="788"/>
      <c r="V10" s="790"/>
      <c r="W10" s="816"/>
      <c r="X10" s="813"/>
      <c r="Y10" s="768"/>
      <c r="Z10" s="771"/>
      <c r="AA10" s="812"/>
      <c r="AB10" s="813"/>
      <c r="AC10" s="771"/>
      <c r="AD10" s="775"/>
      <c r="AE10" s="808"/>
      <c r="AF10" s="790"/>
      <c r="AG10" s="812"/>
      <c r="AH10" s="813"/>
      <c r="AI10" s="768"/>
      <c r="AJ10" s="827"/>
      <c r="AK10" s="812"/>
      <c r="AL10" s="813"/>
      <c r="AM10" s="771"/>
      <c r="AN10" s="829"/>
      <c r="AO10" s="831"/>
      <c r="AP10" s="799"/>
      <c r="AQ10" s="800"/>
      <c r="AR10" s="800"/>
      <c r="AS10" s="801"/>
      <c r="AT10" s="15">
        <v>4</v>
      </c>
      <c r="AV10" s="806"/>
      <c r="AW10" s="806"/>
      <c r="AX10" s="806"/>
      <c r="AY10" s="832"/>
      <c r="AZ10" s="806"/>
      <c r="BA10" s="806"/>
      <c r="BB10" s="806"/>
      <c r="BC10" s="14"/>
      <c r="BD10" s="804"/>
      <c r="BE10" s="805"/>
      <c r="BF10" s="778"/>
    </row>
    <row r="11" spans="1:60" ht="14.1" customHeight="1">
      <c r="A11" s="1">
        <v>1</v>
      </c>
      <c r="B11" s="16" t="str">
        <f t="shared" ref="B11:B24" si="0">+B73</f>
        <v>Eduardo Segura D.</v>
      </c>
      <c r="C11" s="17">
        <v>7</v>
      </c>
      <c r="D11" s="18">
        <v>20</v>
      </c>
      <c r="E11" s="19">
        <v>1</v>
      </c>
      <c r="F11" s="20">
        <f t="shared" ref="F11:F21" si="1">+D11-C11-E11</f>
        <v>12</v>
      </c>
      <c r="G11" s="21"/>
      <c r="H11" s="22"/>
      <c r="I11" s="20">
        <f t="shared" ref="I11:I21" si="2">+H11-G11</f>
        <v>0</v>
      </c>
      <c r="J11" s="23"/>
      <c r="K11" s="24">
        <f t="shared" ref="K11:K21" si="3">+I11+F11-L11</f>
        <v>8</v>
      </c>
      <c r="L11" s="25">
        <f t="shared" ref="L11:L25" si="4">IF(C11&gt;0,(F11+I11)+IF(K$5&gt;0,F11,-8),0)+IF(U$5&gt;0,I11,0)</f>
        <v>4</v>
      </c>
      <c r="M11" s="26">
        <v>8</v>
      </c>
      <c r="N11" s="21">
        <v>16</v>
      </c>
      <c r="O11" s="23">
        <v>1</v>
      </c>
      <c r="P11" s="20">
        <f t="shared" ref="P11:P21" si="5">+N11-M11-O11</f>
        <v>7</v>
      </c>
      <c r="Q11" s="22"/>
      <c r="R11" s="22"/>
      <c r="S11" s="20">
        <f t="shared" ref="S11:S21" si="6">+R11-Q11</f>
        <v>0</v>
      </c>
      <c r="T11" s="23"/>
      <c r="U11" s="24">
        <f t="shared" ref="U11:U21" si="7">+S11+P11-V11</f>
        <v>8</v>
      </c>
      <c r="V11" s="25">
        <f t="shared" ref="V11:V21" si="8">IF(M11&gt;0,(P11+S11)+IF(U$5&gt;0,P11,-8),0)+IF(AE$5&gt;0,S11,0)</f>
        <v>-1</v>
      </c>
      <c r="W11" s="26">
        <v>8</v>
      </c>
      <c r="X11" s="22">
        <v>16</v>
      </c>
      <c r="Y11" s="27">
        <v>1</v>
      </c>
      <c r="Z11" s="20">
        <f t="shared" ref="Z11:Z21" si="9">+X11-W11-Y11</f>
        <v>7</v>
      </c>
      <c r="AA11" s="22"/>
      <c r="AB11" s="28">
        <v>0.5</v>
      </c>
      <c r="AC11" s="20">
        <f t="shared" ref="AC11:AC21" si="10">+AB11-AA11</f>
        <v>0.5</v>
      </c>
      <c r="AD11" s="23"/>
      <c r="AE11" s="24">
        <f t="shared" ref="AE11:AE25" si="11">+AC11+Z11-IF(AE$5&gt;0,AF11/2,AF11)</f>
        <v>8.5</v>
      </c>
      <c r="AF11" s="25">
        <f>IF(W11&gt;0,IF(AE$5&gt;0,(Z11+AC11)*2,(Z11+AC11-8)),0)*IF(Z11&lt;9,IF(AE$5&gt;0,1,2),1)+IF(Z11&gt;8,AC11,0)</f>
        <v>-1</v>
      </c>
      <c r="AG11" s="22"/>
      <c r="AH11" s="22"/>
      <c r="AI11" s="27"/>
      <c r="AJ11" s="29">
        <f t="shared" ref="AJ11:AJ25" si="12">+AH11-AG11-AI11</f>
        <v>0</v>
      </c>
      <c r="AK11" s="21"/>
      <c r="AL11" s="21"/>
      <c r="AM11" s="20">
        <f t="shared" ref="AM11:AM21" si="13">+AL11-AK11</f>
        <v>0</v>
      </c>
      <c r="AN11" s="30"/>
      <c r="AO11" s="31">
        <f t="shared" ref="AO11:AO21" si="14">(AJ11*2+AM11)</f>
        <v>0</v>
      </c>
      <c r="AP11" s="817">
        <f t="shared" ref="AP11:AP25" si="15">+L11+V11+AF11+AO11+L33+V33+AF33-AN11</f>
        <v>2</v>
      </c>
      <c r="AQ11" s="818"/>
      <c r="AR11" s="819">
        <f t="shared" ref="AR11:AR21" si="16">ROUND(BD11*AP11,1)</f>
        <v>9.1</v>
      </c>
      <c r="AS11" s="820"/>
      <c r="AT11" s="32">
        <f t="shared" ref="AT11:AT23" si="17">IF(AT33&gt;0,AT33*$AT$10,0)</f>
        <v>24</v>
      </c>
      <c r="AV11" s="33">
        <f t="shared" ref="AV11:AV21" si="18">+L11</f>
        <v>4</v>
      </c>
      <c r="AW11" s="33">
        <f t="shared" ref="AW11:AW21" si="19">+V11</f>
        <v>-1</v>
      </c>
      <c r="AX11" s="33">
        <f t="shared" ref="AX11:AX21" si="20">+AF11</f>
        <v>-1</v>
      </c>
      <c r="AY11" s="34">
        <f t="shared" ref="AY11:AY21" si="21">+AO11</f>
        <v>0</v>
      </c>
      <c r="AZ11" s="33">
        <f t="shared" ref="AZ11:AZ17" si="22">+L33</f>
        <v>1</v>
      </c>
      <c r="BA11" s="33">
        <f t="shared" ref="BA11:BA17" si="23">+V33</f>
        <v>-1</v>
      </c>
      <c r="BB11" s="33">
        <f t="shared" ref="BB11:BB17" si="24">+AF33</f>
        <v>0</v>
      </c>
      <c r="BC11" s="35"/>
      <c r="BD11" s="36">
        <f t="shared" ref="BD11:BD23" si="25">+I73</f>
        <v>4.5464285714285708</v>
      </c>
      <c r="BE11" s="37">
        <f t="shared" ref="BE11:BE21" si="26">+BD11*AP11</f>
        <v>9.0928571428571416</v>
      </c>
      <c r="BF11" s="38">
        <f t="shared" ref="BF11:BF21" si="27">+BD11*AY11</f>
        <v>0</v>
      </c>
    </row>
    <row r="12" spans="1:60" ht="14.1" customHeight="1">
      <c r="A12" s="1">
        <v>2</v>
      </c>
      <c r="B12" s="63" t="str">
        <f t="shared" si="0"/>
        <v>Cesar Mendez M.</v>
      </c>
      <c r="C12" s="17">
        <v>7</v>
      </c>
      <c r="D12" s="18">
        <v>20</v>
      </c>
      <c r="E12" s="19">
        <v>1</v>
      </c>
      <c r="F12" s="40">
        <f t="shared" si="1"/>
        <v>12</v>
      </c>
      <c r="G12" s="18"/>
      <c r="H12" s="18"/>
      <c r="I12" s="40">
        <f t="shared" si="2"/>
        <v>0</v>
      </c>
      <c r="J12" s="19"/>
      <c r="K12" s="41">
        <f t="shared" si="3"/>
        <v>8</v>
      </c>
      <c r="L12" s="25">
        <f t="shared" si="4"/>
        <v>4</v>
      </c>
      <c r="M12" s="665">
        <v>7</v>
      </c>
      <c r="N12" s="18">
        <v>19</v>
      </c>
      <c r="O12" s="19">
        <v>1</v>
      </c>
      <c r="P12" s="40">
        <f t="shared" si="5"/>
        <v>11</v>
      </c>
      <c r="Q12" s="43"/>
      <c r="R12" s="43"/>
      <c r="S12" s="40">
        <f t="shared" si="6"/>
        <v>0</v>
      </c>
      <c r="T12" s="19"/>
      <c r="U12" s="41">
        <f t="shared" si="7"/>
        <v>8</v>
      </c>
      <c r="V12" s="25">
        <f t="shared" si="8"/>
        <v>3</v>
      </c>
      <c r="W12" s="18">
        <v>8</v>
      </c>
      <c r="X12" s="18">
        <v>16</v>
      </c>
      <c r="Y12" s="19">
        <v>1</v>
      </c>
      <c r="Z12" s="40">
        <f t="shared" si="9"/>
        <v>7</v>
      </c>
      <c r="AA12" s="44"/>
      <c r="AB12" s="28">
        <v>0.5</v>
      </c>
      <c r="AC12" s="40">
        <f t="shared" si="10"/>
        <v>0.5</v>
      </c>
      <c r="AD12" s="19"/>
      <c r="AE12" s="41">
        <f t="shared" si="11"/>
        <v>8.5</v>
      </c>
      <c r="AF12" s="25">
        <f>IF(W12&gt;0,IF(AE$5&gt;0,(Z12+AC12)*2,(Z12+AC12-8)),0)*IF(Z12&lt;9,IF(AE$5&gt;0,1,2),1)+IF(Z12&gt;8,AC12,0)</f>
        <v>-1</v>
      </c>
      <c r="AG12" s="45">
        <v>7</v>
      </c>
      <c r="AH12" s="18">
        <v>17</v>
      </c>
      <c r="AI12" s="19">
        <v>1</v>
      </c>
      <c r="AJ12" s="46">
        <f>+AH12-AG12-AI12</f>
        <v>9</v>
      </c>
      <c r="AK12" s="18"/>
      <c r="AL12" s="18"/>
      <c r="AM12" s="40">
        <f t="shared" si="13"/>
        <v>0</v>
      </c>
      <c r="AN12" s="47"/>
      <c r="AO12" s="48">
        <f t="shared" si="14"/>
        <v>18</v>
      </c>
      <c r="AP12" s="821">
        <f t="shared" si="15"/>
        <v>29</v>
      </c>
      <c r="AQ12" s="822"/>
      <c r="AR12" s="823">
        <f t="shared" si="16"/>
        <v>148.9</v>
      </c>
      <c r="AS12" s="824"/>
      <c r="AT12" s="49">
        <f t="shared" si="17"/>
        <v>28</v>
      </c>
      <c r="AV12" s="33">
        <f t="shared" si="18"/>
        <v>4</v>
      </c>
      <c r="AW12" s="33">
        <f t="shared" si="19"/>
        <v>3</v>
      </c>
      <c r="AX12" s="33">
        <f t="shared" si="20"/>
        <v>-1</v>
      </c>
      <c r="AY12" s="34">
        <f t="shared" si="21"/>
        <v>18</v>
      </c>
      <c r="AZ12" s="33">
        <f t="shared" si="22"/>
        <v>2</v>
      </c>
      <c r="BA12" s="33">
        <f t="shared" si="23"/>
        <v>2</v>
      </c>
      <c r="BB12" s="33">
        <f t="shared" si="24"/>
        <v>1</v>
      </c>
      <c r="BC12" s="35"/>
      <c r="BD12" s="36">
        <f t="shared" si="25"/>
        <v>5.1339285714285712</v>
      </c>
      <c r="BE12" s="37">
        <f t="shared" si="26"/>
        <v>148.88392857142856</v>
      </c>
      <c r="BF12" s="38">
        <f t="shared" si="27"/>
        <v>92.410714285714278</v>
      </c>
    </row>
    <row r="13" spans="1:60" ht="14.1" customHeight="1">
      <c r="A13" s="1">
        <v>4</v>
      </c>
      <c r="B13" s="63" t="str">
        <f t="shared" si="0"/>
        <v>Juan Manrique V.</v>
      </c>
      <c r="C13" s="17">
        <v>7</v>
      </c>
      <c r="D13" s="18">
        <v>16</v>
      </c>
      <c r="E13" s="19">
        <v>1</v>
      </c>
      <c r="F13" s="40">
        <f t="shared" si="1"/>
        <v>8</v>
      </c>
      <c r="G13" s="18"/>
      <c r="H13" s="43"/>
      <c r="I13" s="40">
        <f t="shared" si="2"/>
        <v>0</v>
      </c>
      <c r="J13" s="19"/>
      <c r="K13" s="41">
        <f t="shared" si="3"/>
        <v>8</v>
      </c>
      <c r="L13" s="25">
        <f t="shared" si="4"/>
        <v>0</v>
      </c>
      <c r="M13" s="665">
        <v>7</v>
      </c>
      <c r="N13" s="18">
        <v>19</v>
      </c>
      <c r="O13" s="19">
        <v>1</v>
      </c>
      <c r="P13" s="40">
        <f t="shared" si="5"/>
        <v>11</v>
      </c>
      <c r="Q13" s="43"/>
      <c r="R13" s="43"/>
      <c r="S13" s="40">
        <f t="shared" si="6"/>
        <v>0</v>
      </c>
      <c r="T13" s="19"/>
      <c r="U13" s="41">
        <f t="shared" si="7"/>
        <v>8</v>
      </c>
      <c r="V13" s="25">
        <f t="shared" si="8"/>
        <v>3</v>
      </c>
      <c r="W13" s="18">
        <v>8</v>
      </c>
      <c r="X13" s="18">
        <v>16</v>
      </c>
      <c r="Y13" s="19">
        <v>1</v>
      </c>
      <c r="Z13" s="40">
        <f t="shared" si="9"/>
        <v>7</v>
      </c>
      <c r="AA13" s="43"/>
      <c r="AB13" s="28">
        <v>0.5</v>
      </c>
      <c r="AC13" s="40">
        <f t="shared" si="10"/>
        <v>0.5</v>
      </c>
      <c r="AD13" s="19"/>
      <c r="AE13" s="41">
        <f t="shared" si="11"/>
        <v>8.5</v>
      </c>
      <c r="AF13" s="25">
        <f>IF(W13&gt;0,IF(AE$5&gt;0,(Z13+AC13)*2,(Z13+AC13-8)),0)*IF(Z13&lt;9,IF(AE$5&gt;0,1,2),1)+IF(Z13&gt;8,AC13,0)</f>
        <v>-1</v>
      </c>
      <c r="AG13" s="45">
        <v>8</v>
      </c>
      <c r="AH13" s="18">
        <v>17</v>
      </c>
      <c r="AI13" s="19">
        <v>1</v>
      </c>
      <c r="AJ13" s="46">
        <f t="shared" si="12"/>
        <v>8</v>
      </c>
      <c r="AK13" s="18"/>
      <c r="AL13" s="18"/>
      <c r="AM13" s="40">
        <f t="shared" si="13"/>
        <v>0</v>
      </c>
      <c r="AN13" s="47"/>
      <c r="AO13" s="48">
        <f t="shared" si="14"/>
        <v>16</v>
      </c>
      <c r="AP13" s="845">
        <f t="shared" si="15"/>
        <v>20</v>
      </c>
      <c r="AQ13" s="846"/>
      <c r="AR13" s="823">
        <f t="shared" si="16"/>
        <v>102.7</v>
      </c>
      <c r="AS13" s="824"/>
      <c r="AT13" s="49">
        <f t="shared" si="17"/>
        <v>28</v>
      </c>
      <c r="AV13" s="33">
        <f t="shared" si="18"/>
        <v>0</v>
      </c>
      <c r="AW13" s="33">
        <f t="shared" si="19"/>
        <v>3</v>
      </c>
      <c r="AX13" s="33">
        <f t="shared" si="20"/>
        <v>-1</v>
      </c>
      <c r="AY13" s="34">
        <f t="shared" si="21"/>
        <v>16</v>
      </c>
      <c r="AZ13" s="33">
        <f t="shared" si="22"/>
        <v>1</v>
      </c>
      <c r="BA13" s="33">
        <f t="shared" si="23"/>
        <v>1</v>
      </c>
      <c r="BB13" s="33">
        <f t="shared" si="24"/>
        <v>0</v>
      </c>
      <c r="BC13" s="35"/>
      <c r="BD13" s="36">
        <f t="shared" si="25"/>
        <v>5.1339285714285712</v>
      </c>
      <c r="BE13" s="60">
        <f t="shared" si="26"/>
        <v>102.67857142857142</v>
      </c>
      <c r="BF13" s="61">
        <f t="shared" si="27"/>
        <v>82.142857142857139</v>
      </c>
    </row>
    <row r="14" spans="1:60" s="69" customFormat="1" ht="14.1" customHeight="1">
      <c r="A14" s="62">
        <v>5</v>
      </c>
      <c r="B14" s="63" t="str">
        <f t="shared" si="0"/>
        <v xml:space="preserve"> Irving Huaringa B.</v>
      </c>
      <c r="C14" s="17">
        <v>7</v>
      </c>
      <c r="D14" s="18">
        <v>16</v>
      </c>
      <c r="E14" s="19">
        <v>1</v>
      </c>
      <c r="F14" s="40">
        <f t="shared" si="1"/>
        <v>8</v>
      </c>
      <c r="G14" s="18"/>
      <c r="H14" s="43"/>
      <c r="I14" s="40">
        <f t="shared" si="2"/>
        <v>0</v>
      </c>
      <c r="J14" s="19"/>
      <c r="K14" s="41">
        <f t="shared" si="3"/>
        <v>8</v>
      </c>
      <c r="L14" s="25">
        <f t="shared" si="4"/>
        <v>0</v>
      </c>
      <c r="M14" s="18">
        <v>7</v>
      </c>
      <c r="N14" s="18">
        <v>16</v>
      </c>
      <c r="O14" s="19">
        <v>1</v>
      </c>
      <c r="P14" s="40">
        <f t="shared" si="5"/>
        <v>8</v>
      </c>
      <c r="Q14" s="43"/>
      <c r="R14" s="43"/>
      <c r="S14" s="40">
        <f t="shared" si="6"/>
        <v>0</v>
      </c>
      <c r="T14" s="19"/>
      <c r="U14" s="41">
        <f t="shared" si="7"/>
        <v>8</v>
      </c>
      <c r="V14" s="25">
        <f t="shared" si="8"/>
        <v>0</v>
      </c>
      <c r="W14" s="18">
        <v>7</v>
      </c>
      <c r="X14" s="43">
        <v>16</v>
      </c>
      <c r="Y14" s="54">
        <v>1</v>
      </c>
      <c r="Z14" s="53">
        <f t="shared" si="9"/>
        <v>8</v>
      </c>
      <c r="AA14" s="64"/>
      <c r="AB14" s="28"/>
      <c r="AC14" s="40">
        <f t="shared" si="10"/>
        <v>0</v>
      </c>
      <c r="AD14" s="19"/>
      <c r="AE14" s="41">
        <f t="shared" si="11"/>
        <v>5</v>
      </c>
      <c r="AF14" s="25">
        <f>IF(W14&gt;0,IF(AE$5&gt;0,(Z14+AC14)*2,(Z14+AC14-5)),0)*IF(Z14&lt;6,IF(AE$5&gt;0,1,2),1)+IF(Z14&gt;5,AC14,0)</f>
        <v>3</v>
      </c>
      <c r="AG14" s="45"/>
      <c r="AH14" s="18"/>
      <c r="AI14" s="19"/>
      <c r="AJ14" s="46">
        <f t="shared" si="12"/>
        <v>0</v>
      </c>
      <c r="AK14" s="18"/>
      <c r="AL14" s="18"/>
      <c r="AM14" s="40">
        <f t="shared" si="13"/>
        <v>0</v>
      </c>
      <c r="AN14" s="65"/>
      <c r="AO14" s="48">
        <f t="shared" si="14"/>
        <v>0</v>
      </c>
      <c r="AP14" s="821">
        <f t="shared" si="15"/>
        <v>2</v>
      </c>
      <c r="AQ14" s="822"/>
      <c r="AR14" s="823">
        <f t="shared" si="16"/>
        <v>10.3</v>
      </c>
      <c r="AS14" s="824"/>
      <c r="AT14" s="49">
        <f t="shared" si="17"/>
        <v>24</v>
      </c>
      <c r="AU14" s="7"/>
      <c r="AV14" s="33">
        <f t="shared" si="18"/>
        <v>0</v>
      </c>
      <c r="AW14" s="33">
        <f t="shared" si="19"/>
        <v>0</v>
      </c>
      <c r="AX14" s="33">
        <f t="shared" si="20"/>
        <v>3</v>
      </c>
      <c r="AY14" s="34">
        <f t="shared" si="21"/>
        <v>0</v>
      </c>
      <c r="AZ14" s="33">
        <f t="shared" si="22"/>
        <v>-1</v>
      </c>
      <c r="BA14" s="33">
        <f t="shared" si="23"/>
        <v>0</v>
      </c>
      <c r="BB14" s="33">
        <f t="shared" si="24"/>
        <v>0</v>
      </c>
      <c r="BC14" s="66"/>
      <c r="BD14" s="36">
        <f t="shared" si="25"/>
        <v>5.1339285714285712</v>
      </c>
      <c r="BE14" s="67">
        <f t="shared" si="26"/>
        <v>10.267857142857142</v>
      </c>
      <c r="BF14" s="68">
        <f t="shared" si="27"/>
        <v>0</v>
      </c>
    </row>
    <row r="15" spans="1:60" ht="14.1" customHeight="1">
      <c r="A15" s="1">
        <v>12</v>
      </c>
      <c r="B15" s="39" t="str">
        <f t="shared" si="0"/>
        <v>Pier Alejos A.</v>
      </c>
      <c r="C15" s="56">
        <v>7</v>
      </c>
      <c r="D15" s="43">
        <v>16</v>
      </c>
      <c r="E15" s="54">
        <v>1</v>
      </c>
      <c r="F15" s="53">
        <f t="shared" si="1"/>
        <v>8</v>
      </c>
      <c r="G15" s="43"/>
      <c r="H15" s="117"/>
      <c r="I15" s="53">
        <f t="shared" si="2"/>
        <v>0</v>
      </c>
      <c r="J15" s="54"/>
      <c r="K15" s="55">
        <f t="shared" si="3"/>
        <v>8</v>
      </c>
      <c r="L15" s="135">
        <f t="shared" si="4"/>
        <v>0</v>
      </c>
      <c r="M15" s="136">
        <v>7</v>
      </c>
      <c r="N15" s="43">
        <v>16</v>
      </c>
      <c r="O15" s="54">
        <v>1</v>
      </c>
      <c r="P15" s="53">
        <f t="shared" si="5"/>
        <v>8</v>
      </c>
      <c r="Q15" s="43"/>
      <c r="R15" s="43"/>
      <c r="S15" s="53">
        <f t="shared" si="6"/>
        <v>0</v>
      </c>
      <c r="T15" s="54"/>
      <c r="U15" s="55">
        <f t="shared" si="7"/>
        <v>8</v>
      </c>
      <c r="V15" s="135">
        <f t="shared" si="8"/>
        <v>0</v>
      </c>
      <c r="W15" s="43">
        <v>7</v>
      </c>
      <c r="X15" s="43">
        <v>16</v>
      </c>
      <c r="Y15" s="54">
        <v>1</v>
      </c>
      <c r="Z15" s="53">
        <f t="shared" si="9"/>
        <v>8</v>
      </c>
      <c r="AA15" s="44"/>
      <c r="AB15" s="28"/>
      <c r="AC15" s="53">
        <f t="shared" si="10"/>
        <v>0</v>
      </c>
      <c r="AD15" s="54"/>
      <c r="AE15" s="137">
        <f>+AC15+Z15-IF(AE$5&gt;0,AF15/2,AF15)</f>
        <v>8</v>
      </c>
      <c r="AF15" s="135">
        <f>IF(W15&gt;0,IF(AE$5&gt;0,(Z15+AC15)*2,(Z15+AC15-8)),0)*IF(Z15&lt;9,IF(AE$5&gt;0,1,2),1)+IF(Z15&gt;8,AC15,0)</f>
        <v>0</v>
      </c>
      <c r="AG15" s="138"/>
      <c r="AH15" s="43"/>
      <c r="AI15" s="54"/>
      <c r="AJ15" s="139">
        <f t="shared" si="12"/>
        <v>0</v>
      </c>
      <c r="AK15" s="43"/>
      <c r="AL15" s="43"/>
      <c r="AM15" s="53">
        <f t="shared" si="13"/>
        <v>0</v>
      </c>
      <c r="AN15" s="57"/>
      <c r="AO15" s="140">
        <f t="shared" si="14"/>
        <v>0</v>
      </c>
      <c r="AP15" s="821">
        <f>+L15+V15+AF15+AO15+L37+V37+AF37-AN15</f>
        <v>1</v>
      </c>
      <c r="AQ15" s="822"/>
      <c r="AR15" s="823">
        <f t="shared" si="16"/>
        <v>3.9</v>
      </c>
      <c r="AS15" s="824"/>
      <c r="AT15" s="49">
        <f t="shared" si="17"/>
        <v>24</v>
      </c>
      <c r="AV15" s="33">
        <f t="shared" si="18"/>
        <v>0</v>
      </c>
      <c r="AW15" s="33">
        <f t="shared" si="19"/>
        <v>0</v>
      </c>
      <c r="AX15" s="33">
        <f t="shared" si="20"/>
        <v>0</v>
      </c>
      <c r="AY15" s="34">
        <f t="shared" si="21"/>
        <v>0</v>
      </c>
      <c r="AZ15" s="33">
        <f t="shared" si="22"/>
        <v>0</v>
      </c>
      <c r="BA15" s="33">
        <f t="shared" si="23"/>
        <v>1</v>
      </c>
      <c r="BB15" s="33">
        <f t="shared" si="24"/>
        <v>0</v>
      </c>
      <c r="BC15" s="35"/>
      <c r="BD15" s="36">
        <f t="shared" si="25"/>
        <v>3.8750035714285715</v>
      </c>
      <c r="BE15" s="37">
        <f t="shared" si="26"/>
        <v>3.8750035714285715</v>
      </c>
      <c r="BF15" s="38">
        <f t="shared" si="27"/>
        <v>0</v>
      </c>
      <c r="BH15" s="141"/>
    </row>
    <row r="16" spans="1:60" s="69" customFormat="1" ht="14.1" customHeight="1">
      <c r="A16" s="62">
        <v>6</v>
      </c>
      <c r="B16" s="630" t="str">
        <f t="shared" si="0"/>
        <v>Jose Cortez P.</v>
      </c>
      <c r="C16" s="92">
        <v>7</v>
      </c>
      <c r="D16" s="92">
        <v>16</v>
      </c>
      <c r="E16" s="92">
        <v>1</v>
      </c>
      <c r="F16" s="93">
        <f t="shared" si="1"/>
        <v>8</v>
      </c>
      <c r="G16" s="43"/>
      <c r="H16" s="43"/>
      <c r="I16" s="93">
        <f t="shared" si="2"/>
        <v>0</v>
      </c>
      <c r="J16" s="92"/>
      <c r="K16" s="41">
        <f t="shared" si="3"/>
        <v>8</v>
      </c>
      <c r="L16" s="94">
        <f t="shared" si="4"/>
        <v>0</v>
      </c>
      <c r="M16" s="664">
        <v>7</v>
      </c>
      <c r="N16" s="92">
        <v>17</v>
      </c>
      <c r="O16" s="92">
        <v>1</v>
      </c>
      <c r="P16" s="93">
        <f t="shared" si="5"/>
        <v>9</v>
      </c>
      <c r="Q16" s="43"/>
      <c r="R16" s="43"/>
      <c r="S16" s="93">
        <f t="shared" si="6"/>
        <v>0</v>
      </c>
      <c r="T16" s="19"/>
      <c r="U16" s="41">
        <f t="shared" si="7"/>
        <v>8</v>
      </c>
      <c r="V16" s="94">
        <f t="shared" si="8"/>
        <v>1</v>
      </c>
      <c r="W16" s="92">
        <v>7</v>
      </c>
      <c r="X16" s="92">
        <v>16</v>
      </c>
      <c r="Y16" s="92">
        <v>1</v>
      </c>
      <c r="Z16" s="93">
        <f t="shared" si="9"/>
        <v>8</v>
      </c>
      <c r="AA16" s="92"/>
      <c r="AB16" s="80"/>
      <c r="AC16" s="93">
        <f t="shared" si="10"/>
        <v>0</v>
      </c>
      <c r="AD16" s="92"/>
      <c r="AE16" s="41">
        <f t="shared" si="11"/>
        <v>8</v>
      </c>
      <c r="AF16" s="94">
        <f t="shared" ref="AF16:AF21" si="28">IF(W16&gt;0,IF(AE$5&gt;0,(Z16+AC16)*2,(Z16+AC16-8)),0)*IF(Z16&lt;9,IF(AE$5&gt;0,1,2),1)+IF(Z16&gt;8,AC16,0)</f>
        <v>0</v>
      </c>
      <c r="AG16" s="92"/>
      <c r="AH16" s="92"/>
      <c r="AI16" s="92"/>
      <c r="AJ16" s="46">
        <f t="shared" si="12"/>
        <v>0</v>
      </c>
      <c r="AK16" s="92"/>
      <c r="AL16" s="92"/>
      <c r="AM16" s="93">
        <f t="shared" si="13"/>
        <v>0</v>
      </c>
      <c r="AN16" s="96">
        <v>-1</v>
      </c>
      <c r="AO16" s="97">
        <f t="shared" si="14"/>
        <v>0</v>
      </c>
      <c r="AP16" s="833">
        <f t="shared" si="15"/>
        <v>5</v>
      </c>
      <c r="AQ16" s="834"/>
      <c r="AR16" s="835">
        <f t="shared" si="16"/>
        <v>19.399999999999999</v>
      </c>
      <c r="AS16" s="836"/>
      <c r="AT16" s="99">
        <f t="shared" si="17"/>
        <v>24</v>
      </c>
      <c r="AV16" s="100">
        <f t="shared" si="18"/>
        <v>0</v>
      </c>
      <c r="AW16" s="100">
        <f t="shared" si="19"/>
        <v>1</v>
      </c>
      <c r="AX16" s="100">
        <f t="shared" si="20"/>
        <v>0</v>
      </c>
      <c r="AY16" s="101">
        <f t="shared" si="21"/>
        <v>0</v>
      </c>
      <c r="AZ16" s="100">
        <f t="shared" si="22"/>
        <v>0</v>
      </c>
      <c r="BA16" s="100">
        <f t="shared" si="23"/>
        <v>3</v>
      </c>
      <c r="BB16" s="100">
        <f t="shared" si="24"/>
        <v>0</v>
      </c>
      <c r="BC16" s="35"/>
      <c r="BD16" s="36">
        <f t="shared" si="25"/>
        <v>3.8750035714285715</v>
      </c>
      <c r="BE16" s="67">
        <f t="shared" si="26"/>
        <v>19.375017857142858</v>
      </c>
      <c r="BF16" s="68">
        <f t="shared" si="27"/>
        <v>0</v>
      </c>
    </row>
    <row r="17" spans="1:60" s="69" customFormat="1" ht="14.1" customHeight="1">
      <c r="A17" s="62">
        <v>7</v>
      </c>
      <c r="B17" s="91" t="str">
        <f t="shared" si="0"/>
        <v>Rafael Armas R.</v>
      </c>
      <c r="C17" s="102">
        <v>7</v>
      </c>
      <c r="D17" s="102">
        <v>16</v>
      </c>
      <c r="E17" s="102">
        <v>1</v>
      </c>
      <c r="F17" s="93">
        <f t="shared" si="1"/>
        <v>8</v>
      </c>
      <c r="G17" s="43"/>
      <c r="H17" s="43"/>
      <c r="I17" s="93">
        <f t="shared" si="2"/>
        <v>0</v>
      </c>
      <c r="J17" s="92"/>
      <c r="K17" s="41">
        <f t="shared" si="3"/>
        <v>8</v>
      </c>
      <c r="L17" s="94">
        <f t="shared" si="4"/>
        <v>0</v>
      </c>
      <c r="M17" s="664">
        <v>7</v>
      </c>
      <c r="N17" s="685">
        <v>12</v>
      </c>
      <c r="O17" s="92">
        <v>0</v>
      </c>
      <c r="P17" s="93">
        <f t="shared" si="5"/>
        <v>5</v>
      </c>
      <c r="Q17" s="43"/>
      <c r="R17" s="43"/>
      <c r="S17" s="93">
        <f t="shared" si="6"/>
        <v>0</v>
      </c>
      <c r="T17" s="92"/>
      <c r="U17" s="41">
        <f t="shared" si="7"/>
        <v>8</v>
      </c>
      <c r="V17" s="94">
        <f t="shared" si="8"/>
        <v>-3</v>
      </c>
      <c r="W17" s="92"/>
      <c r="X17" s="92"/>
      <c r="Y17" s="92"/>
      <c r="Z17" s="93">
        <f t="shared" si="9"/>
        <v>0</v>
      </c>
      <c r="AA17" s="92"/>
      <c r="AB17" s="28"/>
      <c r="AC17" s="93">
        <f t="shared" si="10"/>
        <v>0</v>
      </c>
      <c r="AD17" s="92"/>
      <c r="AE17" s="41">
        <f t="shared" si="11"/>
        <v>0</v>
      </c>
      <c r="AF17" s="94">
        <f t="shared" si="28"/>
        <v>0</v>
      </c>
      <c r="AG17" s="92">
        <v>7</v>
      </c>
      <c r="AH17" s="92">
        <v>16</v>
      </c>
      <c r="AI17" s="92">
        <v>1</v>
      </c>
      <c r="AJ17" s="46">
        <f t="shared" si="12"/>
        <v>8</v>
      </c>
      <c r="AK17" s="92"/>
      <c r="AL17" s="92"/>
      <c r="AM17" s="93">
        <f t="shared" si="13"/>
        <v>0</v>
      </c>
      <c r="AN17" s="96"/>
      <c r="AO17" s="97">
        <f t="shared" si="14"/>
        <v>16</v>
      </c>
      <c r="AP17" s="837">
        <f t="shared" si="15"/>
        <v>15</v>
      </c>
      <c r="AQ17" s="838"/>
      <c r="AR17" s="839">
        <f t="shared" si="16"/>
        <v>58.1</v>
      </c>
      <c r="AS17" s="840"/>
      <c r="AT17" s="103">
        <f t="shared" si="17"/>
        <v>24</v>
      </c>
      <c r="AV17" s="100">
        <f t="shared" si="18"/>
        <v>0</v>
      </c>
      <c r="AW17" s="100">
        <f t="shared" si="19"/>
        <v>-3</v>
      </c>
      <c r="AX17" s="100">
        <f t="shared" si="20"/>
        <v>0</v>
      </c>
      <c r="AY17" s="101">
        <f t="shared" si="21"/>
        <v>16</v>
      </c>
      <c r="AZ17" s="100">
        <f t="shared" si="22"/>
        <v>0</v>
      </c>
      <c r="BA17" s="100">
        <f t="shared" si="23"/>
        <v>2</v>
      </c>
      <c r="BB17" s="100">
        <f t="shared" si="24"/>
        <v>0</v>
      </c>
      <c r="BC17" s="66"/>
      <c r="BD17" s="36">
        <f t="shared" si="25"/>
        <v>3.8750035714285715</v>
      </c>
      <c r="BE17" s="67">
        <f t="shared" si="26"/>
        <v>58.125053571428573</v>
      </c>
      <c r="BF17" s="68">
        <f t="shared" si="27"/>
        <v>62.000057142857145</v>
      </c>
    </row>
    <row r="18" spans="1:60" s="116" customFormat="1" ht="14.1" customHeight="1">
      <c r="A18" s="62">
        <v>8</v>
      </c>
      <c r="B18" s="91" t="str">
        <f t="shared" si="0"/>
        <v>Jose Ochoa I.</v>
      </c>
      <c r="C18" s="102">
        <v>7</v>
      </c>
      <c r="D18" s="102">
        <v>16</v>
      </c>
      <c r="E18" s="102">
        <v>1</v>
      </c>
      <c r="F18" s="104">
        <f t="shared" si="1"/>
        <v>8</v>
      </c>
      <c r="G18" s="51"/>
      <c r="H18" s="43"/>
      <c r="I18" s="104">
        <f t="shared" si="2"/>
        <v>0</v>
      </c>
      <c r="J18" s="105"/>
      <c r="K18" s="106">
        <f t="shared" si="3"/>
        <v>8</v>
      </c>
      <c r="L18" s="107">
        <f t="shared" si="4"/>
        <v>0</v>
      </c>
      <c r="M18" s="108">
        <v>7</v>
      </c>
      <c r="N18" s="105">
        <v>16</v>
      </c>
      <c r="O18" s="105">
        <v>1</v>
      </c>
      <c r="P18" s="104">
        <f t="shared" si="5"/>
        <v>8</v>
      </c>
      <c r="Q18" s="43"/>
      <c r="R18" s="43"/>
      <c r="S18" s="104">
        <f t="shared" si="6"/>
        <v>0</v>
      </c>
      <c r="T18" s="105"/>
      <c r="U18" s="106">
        <f t="shared" si="7"/>
        <v>8</v>
      </c>
      <c r="V18" s="107">
        <f t="shared" si="8"/>
        <v>0</v>
      </c>
      <c r="W18" s="105">
        <v>7</v>
      </c>
      <c r="X18" s="105">
        <v>12</v>
      </c>
      <c r="Y18" s="105">
        <v>1</v>
      </c>
      <c r="Z18" s="104">
        <f t="shared" si="9"/>
        <v>4</v>
      </c>
      <c r="AA18" s="105"/>
      <c r="AB18" s="109">
        <v>4</v>
      </c>
      <c r="AC18" s="104">
        <f t="shared" si="10"/>
        <v>4</v>
      </c>
      <c r="AD18" s="105"/>
      <c r="AE18" s="106">
        <f t="shared" si="11"/>
        <v>8</v>
      </c>
      <c r="AF18" s="107">
        <f t="shared" si="28"/>
        <v>0</v>
      </c>
      <c r="AG18" s="105"/>
      <c r="AH18" s="105"/>
      <c r="AI18" s="105"/>
      <c r="AJ18" s="110">
        <f t="shared" si="12"/>
        <v>0</v>
      </c>
      <c r="AK18" s="105"/>
      <c r="AL18" s="105"/>
      <c r="AM18" s="104">
        <f t="shared" si="13"/>
        <v>0</v>
      </c>
      <c r="AN18" s="111"/>
      <c r="AO18" s="112">
        <f t="shared" si="14"/>
        <v>0</v>
      </c>
      <c r="AP18" s="841">
        <f t="shared" si="15"/>
        <v>0</v>
      </c>
      <c r="AQ18" s="842"/>
      <c r="AR18" s="843">
        <f t="shared" si="16"/>
        <v>0</v>
      </c>
      <c r="AS18" s="844"/>
      <c r="AT18" s="113">
        <f t="shared" si="17"/>
        <v>24</v>
      </c>
      <c r="AU18" s="69"/>
      <c r="AV18" s="114">
        <f t="shared" si="18"/>
        <v>0</v>
      </c>
      <c r="AW18" s="114">
        <f t="shared" si="19"/>
        <v>0</v>
      </c>
      <c r="AX18" s="114">
        <f t="shared" si="20"/>
        <v>0</v>
      </c>
      <c r="AY18" s="114">
        <f t="shared" si="21"/>
        <v>0</v>
      </c>
      <c r="AZ18" s="114">
        <f>+L41</f>
        <v>0</v>
      </c>
      <c r="BA18" s="114">
        <f>+V41</f>
        <v>0</v>
      </c>
      <c r="BB18" s="114">
        <f>+AF41</f>
        <v>0</v>
      </c>
      <c r="BC18" s="35"/>
      <c r="BD18" s="115">
        <f t="shared" si="25"/>
        <v>3.8750035714285715</v>
      </c>
      <c r="BE18" s="115">
        <f t="shared" si="26"/>
        <v>0</v>
      </c>
      <c r="BF18" s="115">
        <f t="shared" si="27"/>
        <v>0</v>
      </c>
    </row>
    <row r="19" spans="1:60" s="116" customFormat="1" ht="14.1" customHeight="1">
      <c r="A19" s="62">
        <v>9</v>
      </c>
      <c r="B19" s="91" t="str">
        <f t="shared" si="0"/>
        <v>Jairo Mirabal</v>
      </c>
      <c r="C19" s="102">
        <v>7</v>
      </c>
      <c r="D19" s="102">
        <v>16</v>
      </c>
      <c r="E19" s="102">
        <v>1</v>
      </c>
      <c r="F19" s="104">
        <f t="shared" si="1"/>
        <v>8</v>
      </c>
      <c r="G19" s="51"/>
      <c r="H19" s="43"/>
      <c r="I19" s="104">
        <f t="shared" si="2"/>
        <v>0</v>
      </c>
      <c r="J19" s="105"/>
      <c r="K19" s="106">
        <f t="shared" si="3"/>
        <v>8</v>
      </c>
      <c r="L19" s="107">
        <f t="shared" si="4"/>
        <v>0</v>
      </c>
      <c r="M19" s="108">
        <v>7</v>
      </c>
      <c r="N19" s="105">
        <v>16</v>
      </c>
      <c r="O19" s="105">
        <v>1</v>
      </c>
      <c r="P19" s="104">
        <f t="shared" si="5"/>
        <v>8</v>
      </c>
      <c r="Q19" s="43"/>
      <c r="R19" s="117"/>
      <c r="S19" s="104">
        <f t="shared" si="6"/>
        <v>0</v>
      </c>
      <c r="T19" s="105"/>
      <c r="U19" s="106">
        <f t="shared" si="7"/>
        <v>8</v>
      </c>
      <c r="V19" s="107">
        <f t="shared" si="8"/>
        <v>0</v>
      </c>
      <c r="W19" s="105">
        <v>7</v>
      </c>
      <c r="X19" s="105">
        <v>16</v>
      </c>
      <c r="Y19" s="105">
        <v>1</v>
      </c>
      <c r="Z19" s="104">
        <f t="shared" si="9"/>
        <v>8</v>
      </c>
      <c r="AA19" s="105"/>
      <c r="AB19" s="28"/>
      <c r="AC19" s="104">
        <f t="shared" si="10"/>
        <v>0</v>
      </c>
      <c r="AD19" s="105"/>
      <c r="AE19" s="106">
        <f t="shared" si="11"/>
        <v>8</v>
      </c>
      <c r="AF19" s="107">
        <f t="shared" si="28"/>
        <v>0</v>
      </c>
      <c r="AG19" s="105"/>
      <c r="AH19" s="105"/>
      <c r="AI19" s="105"/>
      <c r="AJ19" s="110">
        <f t="shared" si="12"/>
        <v>0</v>
      </c>
      <c r="AK19" s="105"/>
      <c r="AL19" s="105"/>
      <c r="AM19" s="104">
        <f t="shared" si="13"/>
        <v>0</v>
      </c>
      <c r="AN19" s="111"/>
      <c r="AO19" s="112">
        <f t="shared" si="14"/>
        <v>0</v>
      </c>
      <c r="AP19" s="841">
        <f t="shared" si="15"/>
        <v>0</v>
      </c>
      <c r="AQ19" s="842"/>
      <c r="AR19" s="843">
        <f t="shared" si="16"/>
        <v>0</v>
      </c>
      <c r="AS19" s="844"/>
      <c r="AT19" s="113">
        <f t="shared" si="17"/>
        <v>24</v>
      </c>
      <c r="AU19" s="69"/>
      <c r="AV19" s="114">
        <f t="shared" si="18"/>
        <v>0</v>
      </c>
      <c r="AW19" s="114">
        <f t="shared" si="19"/>
        <v>0</v>
      </c>
      <c r="AX19" s="114">
        <f t="shared" si="20"/>
        <v>0</v>
      </c>
      <c r="AY19" s="114">
        <f t="shared" si="21"/>
        <v>0</v>
      </c>
      <c r="AZ19" s="114">
        <f>+L41</f>
        <v>0</v>
      </c>
      <c r="BA19" s="114">
        <f>+V41</f>
        <v>0</v>
      </c>
      <c r="BB19" s="114">
        <f>+AF41</f>
        <v>0</v>
      </c>
      <c r="BC19" s="35"/>
      <c r="BD19" s="115">
        <f t="shared" si="25"/>
        <v>3.8750035714285715</v>
      </c>
      <c r="BE19" s="115">
        <f t="shared" si="26"/>
        <v>0</v>
      </c>
      <c r="BF19" s="115">
        <f t="shared" si="27"/>
        <v>0</v>
      </c>
    </row>
    <row r="20" spans="1:60" s="116" customFormat="1" ht="14.1" customHeight="1">
      <c r="A20" s="62">
        <v>13</v>
      </c>
      <c r="B20" s="91" t="str">
        <f t="shared" si="0"/>
        <v>Angel Colina N.</v>
      </c>
      <c r="C20" s="102">
        <v>7</v>
      </c>
      <c r="D20" s="102">
        <v>16</v>
      </c>
      <c r="E20" s="102">
        <v>1</v>
      </c>
      <c r="F20" s="143">
        <f t="shared" si="1"/>
        <v>8</v>
      </c>
      <c r="G20" s="144"/>
      <c r="H20" s="145"/>
      <c r="I20" s="143">
        <f t="shared" si="2"/>
        <v>0</v>
      </c>
      <c r="J20" s="102"/>
      <c r="K20" s="146">
        <f t="shared" si="3"/>
        <v>8</v>
      </c>
      <c r="L20" s="147">
        <f t="shared" si="4"/>
        <v>0</v>
      </c>
      <c r="M20" s="148">
        <v>7</v>
      </c>
      <c r="N20" s="102">
        <v>16</v>
      </c>
      <c r="O20" s="102">
        <v>1</v>
      </c>
      <c r="P20" s="143">
        <f t="shared" si="5"/>
        <v>8</v>
      </c>
      <c r="Q20" s="43"/>
      <c r="R20" s="43"/>
      <c r="S20" s="143">
        <f t="shared" si="6"/>
        <v>0</v>
      </c>
      <c r="T20" s="102"/>
      <c r="U20" s="146">
        <f t="shared" si="7"/>
        <v>8</v>
      </c>
      <c r="V20" s="147">
        <f t="shared" si="8"/>
        <v>0</v>
      </c>
      <c r="W20" s="102">
        <v>7</v>
      </c>
      <c r="X20" s="102">
        <v>16</v>
      </c>
      <c r="Y20" s="102">
        <v>1</v>
      </c>
      <c r="Z20" s="143">
        <f t="shared" si="9"/>
        <v>8</v>
      </c>
      <c r="AA20" s="102"/>
      <c r="AB20" s="28"/>
      <c r="AC20" s="143">
        <f t="shared" si="10"/>
        <v>0</v>
      </c>
      <c r="AD20" s="102"/>
      <c r="AE20" s="146">
        <f>+AC20+Z20-IF(AE$5&gt;0,AF20/2,AF20)</f>
        <v>8</v>
      </c>
      <c r="AF20" s="147">
        <f>IF(W20&gt;0,IF(AE$5&gt;0,(Z20+AC20)*2,(Z20+AC20-8)),0)*IF(Z20&lt;9,IF(AE$5&gt;0,1,2),1)+IF(Z20&gt;8,AC20,0)</f>
        <v>0</v>
      </c>
      <c r="AG20" s="102">
        <v>7</v>
      </c>
      <c r="AH20" s="102">
        <v>16</v>
      </c>
      <c r="AI20" s="102">
        <v>1</v>
      </c>
      <c r="AJ20" s="149">
        <f t="shared" si="12"/>
        <v>8</v>
      </c>
      <c r="AK20" s="102"/>
      <c r="AL20" s="102"/>
      <c r="AM20" s="143">
        <f t="shared" si="13"/>
        <v>0</v>
      </c>
      <c r="AN20" s="150"/>
      <c r="AO20" s="151">
        <f t="shared" si="14"/>
        <v>16</v>
      </c>
      <c r="AP20" s="841">
        <f t="shared" si="15"/>
        <v>16</v>
      </c>
      <c r="AQ20" s="842"/>
      <c r="AR20" s="843">
        <f t="shared" si="16"/>
        <v>62</v>
      </c>
      <c r="AS20" s="844"/>
      <c r="AT20" s="113">
        <f t="shared" si="17"/>
        <v>20</v>
      </c>
      <c r="AU20" s="69"/>
      <c r="AV20" s="114">
        <f t="shared" si="18"/>
        <v>0</v>
      </c>
      <c r="AW20" s="114">
        <f t="shared" si="19"/>
        <v>0</v>
      </c>
      <c r="AX20" s="114">
        <f t="shared" si="20"/>
        <v>0</v>
      </c>
      <c r="AY20" s="114">
        <f t="shared" si="21"/>
        <v>16</v>
      </c>
      <c r="AZ20" s="114">
        <f>+L42</f>
        <v>0</v>
      </c>
      <c r="BA20" s="114">
        <f>+V42</f>
        <v>0</v>
      </c>
      <c r="BB20" s="114">
        <f>+AF42</f>
        <v>0</v>
      </c>
      <c r="BC20" s="35"/>
      <c r="BD20" s="115">
        <f t="shared" si="25"/>
        <v>3.8750035714285715</v>
      </c>
      <c r="BE20" s="115">
        <f t="shared" si="26"/>
        <v>62.000057142857145</v>
      </c>
      <c r="BF20" s="115">
        <f t="shared" si="27"/>
        <v>62.000057142857145</v>
      </c>
    </row>
    <row r="21" spans="1:60" s="69" customFormat="1" ht="14.1" customHeight="1" thickBot="1">
      <c r="A21" s="62">
        <v>10</v>
      </c>
      <c r="B21" s="118" t="str">
        <f t="shared" si="0"/>
        <v>Pedro Hostos S.</v>
      </c>
      <c r="C21" s="119">
        <v>8</v>
      </c>
      <c r="D21" s="119">
        <v>16</v>
      </c>
      <c r="E21" s="119">
        <v>1</v>
      </c>
      <c r="F21" s="120">
        <f t="shared" si="1"/>
        <v>7</v>
      </c>
      <c r="G21" s="121"/>
      <c r="H21" s="121"/>
      <c r="I21" s="120">
        <f t="shared" si="2"/>
        <v>0</v>
      </c>
      <c r="J21" s="119"/>
      <c r="K21" s="120">
        <f t="shared" si="3"/>
        <v>8</v>
      </c>
      <c r="L21" s="122">
        <f t="shared" si="4"/>
        <v>-1</v>
      </c>
      <c r="M21" s="666">
        <v>7</v>
      </c>
      <c r="N21" s="119">
        <v>16</v>
      </c>
      <c r="O21" s="119">
        <v>1</v>
      </c>
      <c r="P21" s="120">
        <f t="shared" si="5"/>
        <v>8</v>
      </c>
      <c r="Q21" s="121"/>
      <c r="R21" s="121"/>
      <c r="S21" s="120">
        <f t="shared" si="6"/>
        <v>0</v>
      </c>
      <c r="T21" s="119"/>
      <c r="U21" s="120">
        <f t="shared" si="7"/>
        <v>8</v>
      </c>
      <c r="V21" s="122">
        <f t="shared" si="8"/>
        <v>0</v>
      </c>
      <c r="W21" s="119">
        <v>7</v>
      </c>
      <c r="X21" s="119">
        <v>16</v>
      </c>
      <c r="Y21" s="119">
        <v>1</v>
      </c>
      <c r="Z21" s="120">
        <f t="shared" si="9"/>
        <v>8</v>
      </c>
      <c r="AA21" s="119"/>
      <c r="AB21" s="121"/>
      <c r="AC21" s="120">
        <f t="shared" si="10"/>
        <v>0</v>
      </c>
      <c r="AD21" s="119"/>
      <c r="AE21" s="125">
        <f t="shared" si="11"/>
        <v>8</v>
      </c>
      <c r="AF21" s="122">
        <f t="shared" si="28"/>
        <v>0</v>
      </c>
      <c r="AG21" s="119"/>
      <c r="AH21" s="119"/>
      <c r="AI21" s="119"/>
      <c r="AJ21" s="126">
        <f t="shared" si="12"/>
        <v>0</v>
      </c>
      <c r="AK21" s="119"/>
      <c r="AL21" s="119"/>
      <c r="AM21" s="120">
        <f t="shared" si="13"/>
        <v>0</v>
      </c>
      <c r="AN21" s="127"/>
      <c r="AO21" s="128">
        <f t="shared" si="14"/>
        <v>0</v>
      </c>
      <c r="AP21" s="847">
        <f t="shared" si="15"/>
        <v>0</v>
      </c>
      <c r="AQ21" s="848"/>
      <c r="AR21" s="849">
        <f t="shared" si="16"/>
        <v>0</v>
      </c>
      <c r="AS21" s="850"/>
      <c r="AT21" s="130">
        <f t="shared" si="17"/>
        <v>24</v>
      </c>
      <c r="AV21" s="131">
        <f t="shared" si="18"/>
        <v>-1</v>
      </c>
      <c r="AW21" s="131">
        <f t="shared" si="19"/>
        <v>0</v>
      </c>
      <c r="AX21" s="131">
        <f t="shared" si="20"/>
        <v>0</v>
      </c>
      <c r="AY21" s="132">
        <f t="shared" si="21"/>
        <v>0</v>
      </c>
      <c r="AZ21" s="131">
        <f>+L43</f>
        <v>1</v>
      </c>
      <c r="BA21" s="131">
        <f>+V43</f>
        <v>0</v>
      </c>
      <c r="BB21" s="131">
        <f>+AF43</f>
        <v>0</v>
      </c>
      <c r="BC21" s="35"/>
      <c r="BD21" s="115">
        <f t="shared" si="25"/>
        <v>3.8750035714285715</v>
      </c>
      <c r="BE21" s="133">
        <f t="shared" si="26"/>
        <v>0</v>
      </c>
      <c r="BF21" s="134">
        <f t="shared" si="27"/>
        <v>0</v>
      </c>
    </row>
    <row r="22" spans="1:60" ht="14.1" customHeight="1" thickTop="1">
      <c r="A22" s="1">
        <v>11</v>
      </c>
      <c r="B22" s="39" t="str">
        <f t="shared" si="0"/>
        <v>Miguel Tejada Ll.</v>
      </c>
      <c r="C22" s="56"/>
      <c r="D22" s="43"/>
      <c r="E22" s="54"/>
      <c r="F22" s="53">
        <f>+D22-C22-E22</f>
        <v>0</v>
      </c>
      <c r="G22" s="43"/>
      <c r="H22" s="117"/>
      <c r="I22" s="53">
        <f>+H22-G22</f>
        <v>0</v>
      </c>
      <c r="J22" s="54"/>
      <c r="K22" s="55">
        <f>+I22+F22-L22</f>
        <v>0</v>
      </c>
      <c r="L22" s="135">
        <f>IF(C22&gt;0,(F22+I22)+IF(K$5&gt;0,F22,-8),0)+IF(U$5&gt;0,I22,0)</f>
        <v>0</v>
      </c>
      <c r="M22" s="136">
        <v>7</v>
      </c>
      <c r="N22" s="43">
        <v>17</v>
      </c>
      <c r="O22" s="54">
        <v>1</v>
      </c>
      <c r="P22" s="53">
        <f>+N22-M22-O22</f>
        <v>9</v>
      </c>
      <c r="Q22" s="43"/>
      <c r="R22" s="43"/>
      <c r="S22" s="53">
        <f>+R22-Q22</f>
        <v>0</v>
      </c>
      <c r="T22" s="54"/>
      <c r="U22" s="55">
        <f>+S22+P22-V22</f>
        <v>8</v>
      </c>
      <c r="V22" s="135">
        <f>IF(M22&gt;0,(P22+S22)+IF(U$5&gt;0,P22,-8),0)+IF(AE$5&gt;0,S22,0)</f>
        <v>1</v>
      </c>
      <c r="W22" s="43">
        <v>7</v>
      </c>
      <c r="X22" s="43">
        <v>16</v>
      </c>
      <c r="Y22" s="54">
        <v>1</v>
      </c>
      <c r="Z22" s="53">
        <f>+X22-W22-Y22</f>
        <v>8</v>
      </c>
      <c r="AA22" s="44"/>
      <c r="AB22" s="28"/>
      <c r="AC22" s="53">
        <f>+AB22-AA22</f>
        <v>0</v>
      </c>
      <c r="AD22" s="54"/>
      <c r="AE22" s="137">
        <f t="shared" si="11"/>
        <v>8</v>
      </c>
      <c r="AF22" s="135">
        <f>IF(W22&gt;0,IF(AE$5&gt;0,(Z22+AC22)*2,(Z22+AC22-8)),0)*IF(Z22&lt;9,IF(AE$5&gt;0,1,2),1)+IF(Z22&gt;8,AC22,0)</f>
        <v>0</v>
      </c>
      <c r="AG22" s="138"/>
      <c r="AH22" s="43"/>
      <c r="AI22" s="54"/>
      <c r="AJ22" s="139">
        <f>+AH22-AG22-AI22</f>
        <v>0</v>
      </c>
      <c r="AK22" s="43"/>
      <c r="AL22" s="43"/>
      <c r="AM22" s="53">
        <f>+AL22-AK22</f>
        <v>0</v>
      </c>
      <c r="AN22" s="57"/>
      <c r="AO22" s="140">
        <f>(AJ22*2+AM22)</f>
        <v>0</v>
      </c>
      <c r="AP22" s="821">
        <f t="shared" si="15"/>
        <v>1</v>
      </c>
      <c r="AQ22" s="822"/>
      <c r="AR22" s="823">
        <f>ROUND(BD22*AP22,1)</f>
        <v>5.4</v>
      </c>
      <c r="AS22" s="824"/>
      <c r="AT22" s="49">
        <f t="shared" si="17"/>
        <v>16</v>
      </c>
      <c r="AV22" s="33">
        <f>+L22</f>
        <v>0</v>
      </c>
      <c r="AW22" s="33">
        <f>+V22</f>
        <v>1</v>
      </c>
      <c r="AX22" s="33">
        <f>+AF22</f>
        <v>0</v>
      </c>
      <c r="AY22" s="34">
        <f>+AO22</f>
        <v>0</v>
      </c>
      <c r="AZ22" s="33">
        <f>+L44</f>
        <v>0</v>
      </c>
      <c r="BA22" s="33">
        <f>+V44</f>
        <v>0</v>
      </c>
      <c r="BB22" s="33">
        <f>+AF44</f>
        <v>0</v>
      </c>
      <c r="BC22" s="35"/>
      <c r="BD22" s="36">
        <f t="shared" si="25"/>
        <v>5.4333333333333327</v>
      </c>
      <c r="BE22" s="37">
        <f>+BD22*AP22</f>
        <v>5.4333333333333327</v>
      </c>
      <c r="BF22" s="38">
        <f>+BD22*AY22</f>
        <v>0</v>
      </c>
      <c r="BH22" s="141"/>
    </row>
    <row r="23" spans="1:60" s="116" customFormat="1" ht="14.1" customHeight="1">
      <c r="A23" s="62">
        <v>13</v>
      </c>
      <c r="B23" s="142" t="str">
        <f t="shared" si="0"/>
        <v>Jose Lares P.</v>
      </c>
      <c r="C23" s="102">
        <v>7</v>
      </c>
      <c r="D23" s="102">
        <v>16</v>
      </c>
      <c r="E23" s="102">
        <v>1</v>
      </c>
      <c r="F23" s="143">
        <f>+D23-C23-E23</f>
        <v>8</v>
      </c>
      <c r="G23" s="144"/>
      <c r="H23" s="145"/>
      <c r="I23" s="143">
        <f>+H23-G23</f>
        <v>0</v>
      </c>
      <c r="J23" s="102"/>
      <c r="K23" s="146">
        <f>+I23+F23-L23</f>
        <v>8</v>
      </c>
      <c r="L23" s="147">
        <f>IF(C23&gt;0,(F23+I23)+IF(K$5&gt;0,F23,-8),0)+IF(U$5&gt;0,I23,0)</f>
        <v>0</v>
      </c>
      <c r="M23" s="148">
        <v>7</v>
      </c>
      <c r="N23" s="102">
        <v>16</v>
      </c>
      <c r="O23" s="102">
        <v>1</v>
      </c>
      <c r="P23" s="143">
        <f>+N23-M23-O23</f>
        <v>8</v>
      </c>
      <c r="Q23" s="43"/>
      <c r="R23" s="43"/>
      <c r="S23" s="143">
        <f>+R23-Q23</f>
        <v>0</v>
      </c>
      <c r="T23" s="102"/>
      <c r="U23" s="146">
        <f>+S23+P23-V23</f>
        <v>8</v>
      </c>
      <c r="V23" s="147">
        <f>IF(M23&gt;0,(P23+S23)+IF(U$5&gt;0,P23,-8),0)+IF(AE$5&gt;0,S23,0)</f>
        <v>0</v>
      </c>
      <c r="W23" s="102">
        <v>7</v>
      </c>
      <c r="X23" s="102">
        <v>10</v>
      </c>
      <c r="Y23" s="102">
        <v>0</v>
      </c>
      <c r="Z23" s="143">
        <f>+X23-W23-Y23</f>
        <v>3</v>
      </c>
      <c r="AA23" s="102"/>
      <c r="AB23" s="28">
        <v>5</v>
      </c>
      <c r="AC23" s="143">
        <f>+AB23-AA23</f>
        <v>5</v>
      </c>
      <c r="AD23" s="102"/>
      <c r="AE23" s="146">
        <f t="shared" si="11"/>
        <v>8</v>
      </c>
      <c r="AF23" s="147">
        <f>IF(W23&gt;0,IF(AE$5&gt;0,(Z23+AC23)*2,(Z23+AC23-8)),0)*IF(Z23&lt;9,IF(AE$5&gt;0,1,2),1)+IF(Z23&gt;8,AC23,0)</f>
        <v>0</v>
      </c>
      <c r="AG23" s="102"/>
      <c r="AH23" s="102"/>
      <c r="AI23" s="102"/>
      <c r="AJ23" s="149">
        <f>+AH23-AG23-AI23</f>
        <v>0</v>
      </c>
      <c r="AK23" s="102"/>
      <c r="AL23" s="102"/>
      <c r="AM23" s="143">
        <f>+AL23-AK23</f>
        <v>0</v>
      </c>
      <c r="AN23" s="150"/>
      <c r="AO23" s="151">
        <f>(AJ23*2+AM23)</f>
        <v>0</v>
      </c>
      <c r="AP23" s="841">
        <f t="shared" si="15"/>
        <v>0</v>
      </c>
      <c r="AQ23" s="842"/>
      <c r="AR23" s="843">
        <f>ROUND(BD23*AP23,1)</f>
        <v>0</v>
      </c>
      <c r="AS23" s="844"/>
      <c r="AT23" s="113">
        <f t="shared" si="17"/>
        <v>20</v>
      </c>
      <c r="AU23" s="69"/>
      <c r="AV23" s="114">
        <f>+L23</f>
        <v>0</v>
      </c>
      <c r="AW23" s="114">
        <f>+V23</f>
        <v>0</v>
      </c>
      <c r="AX23" s="114">
        <f>+AF23</f>
        <v>0</v>
      </c>
      <c r="AY23" s="114">
        <f>+AO23</f>
        <v>0</v>
      </c>
      <c r="AZ23" s="114">
        <f>+L47</f>
        <v>0</v>
      </c>
      <c r="BA23" s="114">
        <f>+V47</f>
        <v>0</v>
      </c>
      <c r="BB23" s="114">
        <f>+AF47</f>
        <v>0</v>
      </c>
      <c r="BC23" s="35"/>
      <c r="BD23" s="115">
        <f t="shared" si="25"/>
        <v>3.8750035714285715</v>
      </c>
      <c r="BE23" s="115">
        <f>+BD23*AP23</f>
        <v>0</v>
      </c>
      <c r="BF23" s="115">
        <f>+BD23*AY23</f>
        <v>0</v>
      </c>
    </row>
    <row r="24" spans="1:60" ht="14.1" customHeight="1">
      <c r="A24" s="1">
        <v>14</v>
      </c>
      <c r="B24" s="142" t="str">
        <f t="shared" si="0"/>
        <v>Jeeimy Davila C.</v>
      </c>
      <c r="C24" s="56">
        <v>7</v>
      </c>
      <c r="D24" s="43">
        <v>16</v>
      </c>
      <c r="E24" s="54">
        <v>1</v>
      </c>
      <c r="F24" s="53">
        <f>+D24-C24-E24</f>
        <v>8</v>
      </c>
      <c r="G24" s="43"/>
      <c r="H24" s="43"/>
      <c r="I24" s="53">
        <f>+H24-G24</f>
        <v>0</v>
      </c>
      <c r="J24" s="54"/>
      <c r="K24" s="55">
        <f>+I24+F24-L24</f>
        <v>8</v>
      </c>
      <c r="L24" s="135">
        <f t="shared" ref="L24" si="29">IF(C24&gt;0,(F24+I24)+IF(K$5&gt;0,F24,-8),0)+IF(U$5&gt;0,I24,0)</f>
        <v>0</v>
      </c>
      <c r="M24" s="136">
        <v>7</v>
      </c>
      <c r="N24" s="43">
        <v>16</v>
      </c>
      <c r="O24" s="54">
        <v>1</v>
      </c>
      <c r="P24" s="53">
        <f>+N24-M24-O24</f>
        <v>8</v>
      </c>
      <c r="Q24" s="43"/>
      <c r="R24" s="43"/>
      <c r="S24" s="53">
        <f>+R24-Q24</f>
        <v>0</v>
      </c>
      <c r="T24" s="54"/>
      <c r="U24" s="55">
        <f>+S24+P24-V24</f>
        <v>8</v>
      </c>
      <c r="V24" s="135">
        <f>IF(M24&gt;0,(P24+S24)+IF(U$5&gt;0,P24,-8),0)+IF(AE$5&gt;0,S24,0)</f>
        <v>0</v>
      </c>
      <c r="W24" s="43">
        <v>7</v>
      </c>
      <c r="X24" s="43">
        <v>16</v>
      </c>
      <c r="Y24" s="54">
        <v>1</v>
      </c>
      <c r="Z24" s="53">
        <f>+X24-W24-Y24</f>
        <v>8</v>
      </c>
      <c r="AA24" s="43"/>
      <c r="AB24" s="28"/>
      <c r="AC24" s="53">
        <f>+AB24-AA24</f>
        <v>0</v>
      </c>
      <c r="AD24" s="54"/>
      <c r="AE24" s="55">
        <f t="shared" si="11"/>
        <v>8</v>
      </c>
      <c r="AF24" s="135">
        <f>IF(W24&gt;0,IF(AE$5&gt;0,(Z24+AC24)*2,(Z24+AC24-8)),0)*IF(Z24&lt;9,IF(AE$5&gt;0,1,2),1)+IF(Z24&gt;8,AC24,0)</f>
        <v>0</v>
      </c>
      <c r="AG24" s="138"/>
      <c r="AH24" s="43"/>
      <c r="AI24" s="54"/>
      <c r="AJ24" s="139">
        <f t="shared" ref="AJ24" si="30">+AH24-AG24-AI24</f>
        <v>0</v>
      </c>
      <c r="AK24" s="43"/>
      <c r="AL24" s="43"/>
      <c r="AM24" s="53">
        <f>+AL24-AK24</f>
        <v>0</v>
      </c>
      <c r="AN24" s="57"/>
      <c r="AO24" s="140">
        <f>(AJ24*2+AM24)</f>
        <v>0</v>
      </c>
      <c r="AP24" s="821">
        <f t="shared" si="15"/>
        <v>0</v>
      </c>
      <c r="AQ24" s="822"/>
      <c r="AR24" s="823">
        <f>ROUND(BD24*AP24,1)</f>
        <v>0</v>
      </c>
      <c r="AS24" s="824"/>
      <c r="AT24" s="49">
        <f t="shared" ref="AT24" si="31">IF(AT45&gt;0,AT45*$AT$10,0)</f>
        <v>20</v>
      </c>
      <c r="AV24" s="114">
        <f>+L24</f>
        <v>0</v>
      </c>
      <c r="AW24" s="114">
        <f>+V24</f>
        <v>0</v>
      </c>
      <c r="AX24" s="114">
        <f>+AF24</f>
        <v>0</v>
      </c>
      <c r="AY24" s="114">
        <f>+AO24</f>
        <v>0</v>
      </c>
      <c r="AZ24" s="114">
        <f t="shared" ref="AZ24" si="32">+L45</f>
        <v>0</v>
      </c>
      <c r="BA24" s="114">
        <f t="shared" ref="BA24" si="33">+V45</f>
        <v>0</v>
      </c>
      <c r="BB24" s="114">
        <f t="shared" ref="BB24" si="34">+AF45</f>
        <v>0</v>
      </c>
      <c r="BC24" s="35"/>
      <c r="BD24" s="36">
        <f>+I85</f>
        <v>3.8750035714285715</v>
      </c>
      <c r="BE24" s="37">
        <f>+BD24*AP24</f>
        <v>0</v>
      </c>
      <c r="BF24" s="38">
        <f>+BD24*AY24</f>
        <v>0</v>
      </c>
    </row>
    <row r="25" spans="1:60" ht="14.1" customHeight="1" thickBot="1">
      <c r="A25" s="1">
        <v>14</v>
      </c>
      <c r="B25" s="566" t="s">
        <v>144</v>
      </c>
      <c r="C25" s="610"/>
      <c r="D25" s="611"/>
      <c r="E25" s="612"/>
      <c r="F25" s="613">
        <f>+D25-C25-E25</f>
        <v>0</v>
      </c>
      <c r="G25" s="611"/>
      <c r="H25" s="611"/>
      <c r="I25" s="613">
        <f>+H25-G25</f>
        <v>0</v>
      </c>
      <c r="J25" s="612"/>
      <c r="K25" s="614">
        <f>+I25+F25-L25</f>
        <v>0</v>
      </c>
      <c r="L25" s="615">
        <f t="shared" si="4"/>
        <v>0</v>
      </c>
      <c r="M25" s="657"/>
      <c r="N25" s="611"/>
      <c r="O25" s="612"/>
      <c r="P25" s="613">
        <f>+N25-M25-O25</f>
        <v>0</v>
      </c>
      <c r="Q25" s="611"/>
      <c r="R25" s="611"/>
      <c r="S25" s="613">
        <f>+R25-Q25</f>
        <v>0</v>
      </c>
      <c r="T25" s="612"/>
      <c r="U25" s="614">
        <f>+S25+P25-V25</f>
        <v>0</v>
      </c>
      <c r="V25" s="615">
        <f>IF(M25&gt;0,(P25+S25)+IF(U$5&gt;0,P25,-8),0)+IF(AE$5&gt;0,S25,0)</f>
        <v>0</v>
      </c>
      <c r="W25" s="611"/>
      <c r="X25" s="611"/>
      <c r="Y25" s="612"/>
      <c r="Z25" s="613">
        <f>+X25-W25-Y25</f>
        <v>0</v>
      </c>
      <c r="AA25" s="611"/>
      <c r="AB25" s="658"/>
      <c r="AC25" s="613">
        <f>+AB25-AA25</f>
        <v>0</v>
      </c>
      <c r="AD25" s="612"/>
      <c r="AE25" s="614">
        <f t="shared" si="11"/>
        <v>0</v>
      </c>
      <c r="AF25" s="615">
        <f>IF(W25&gt;0,IF(AE$5&gt;0,(Z25+AC25)*2,(Z25+AC25-8)),0)*IF(Z25&lt;9,IF(AE$5&gt;0,1,2),1)+IF(Z25&gt;8,AC25,0)</f>
        <v>0</v>
      </c>
      <c r="AG25" s="659"/>
      <c r="AH25" s="611"/>
      <c r="AI25" s="612"/>
      <c r="AJ25" s="660">
        <f t="shared" si="12"/>
        <v>0</v>
      </c>
      <c r="AK25" s="611"/>
      <c r="AL25" s="611"/>
      <c r="AM25" s="613">
        <f>+AL25-AK25</f>
        <v>0</v>
      </c>
      <c r="AN25" s="661"/>
      <c r="AO25" s="662">
        <f>(AJ25*2+AM25)</f>
        <v>0</v>
      </c>
      <c r="AP25" s="851">
        <f t="shared" si="15"/>
        <v>0</v>
      </c>
      <c r="AQ25" s="852"/>
      <c r="AR25" s="853">
        <f>ROUND(BD25*AP25,1)</f>
        <v>0</v>
      </c>
      <c r="AS25" s="854"/>
      <c r="AT25" s="663">
        <f>IF(AT47&gt;0,AT47*$AT$10,0)</f>
        <v>0</v>
      </c>
      <c r="AV25" s="114">
        <f>+L25</f>
        <v>0</v>
      </c>
      <c r="AW25" s="114">
        <f>+V25</f>
        <v>0</v>
      </c>
      <c r="AX25" s="114">
        <f>+AF25</f>
        <v>0</v>
      </c>
      <c r="AY25" s="114">
        <f>+AO25</f>
        <v>0</v>
      </c>
      <c r="AZ25" s="114">
        <f t="shared" ref="AZ25" si="35">+L47</f>
        <v>0</v>
      </c>
      <c r="BA25" s="114">
        <f t="shared" ref="BA25" si="36">+V47</f>
        <v>0</v>
      </c>
      <c r="BB25" s="114">
        <f t="shared" ref="BB25" si="37">+AF47</f>
        <v>0</v>
      </c>
      <c r="BC25" s="35"/>
      <c r="BD25" s="36">
        <f>+I86</f>
        <v>4.125</v>
      </c>
      <c r="BE25" s="37">
        <f>+BD25*AP25</f>
        <v>0</v>
      </c>
      <c r="BF25" s="38">
        <f>+BD25*AY25</f>
        <v>0</v>
      </c>
    </row>
    <row r="26" spans="1:60" ht="5.0999999999999996" customHeight="1" thickBot="1">
      <c r="BC26" s="167"/>
      <c r="BD26" s="168"/>
      <c r="BE26" s="855">
        <f>SUM(BE11:BE25)</f>
        <v>419.73167976190479</v>
      </c>
      <c r="BF26" s="856">
        <f>SUM(BF11:BF25)</f>
        <v>298.55368571428573</v>
      </c>
    </row>
    <row r="27" spans="1:60" ht="9.9499999999999993" customHeight="1">
      <c r="B27" s="741" t="s">
        <v>1</v>
      </c>
      <c r="C27" s="858">
        <f>1+AG5</f>
        <v>43878</v>
      </c>
      <c r="D27" s="858"/>
      <c r="E27" s="858"/>
      <c r="F27" s="858"/>
      <c r="G27" s="858"/>
      <c r="H27" s="858"/>
      <c r="I27" s="858"/>
      <c r="J27" s="858"/>
      <c r="K27" s="860"/>
      <c r="L27" s="861"/>
      <c r="M27" s="864">
        <f>1+C27</f>
        <v>43879</v>
      </c>
      <c r="N27" s="865"/>
      <c r="O27" s="865"/>
      <c r="P27" s="865"/>
      <c r="Q27" s="865"/>
      <c r="R27" s="865"/>
      <c r="S27" s="865"/>
      <c r="T27" s="866"/>
      <c r="U27" s="870"/>
      <c r="V27" s="871"/>
      <c r="W27" s="864">
        <f>1+M27</f>
        <v>43880</v>
      </c>
      <c r="X27" s="865"/>
      <c r="Y27" s="865"/>
      <c r="Z27" s="865"/>
      <c r="AA27" s="865"/>
      <c r="AB27" s="865"/>
      <c r="AC27" s="865"/>
      <c r="AD27" s="866"/>
      <c r="AE27" s="880"/>
      <c r="AF27" s="881"/>
      <c r="AH27" s="884" t="s">
        <v>18</v>
      </c>
      <c r="AI27" s="879">
        <f>+C5</f>
        <v>43874</v>
      </c>
      <c r="AJ27" s="885">
        <f t="shared" ref="AJ27:AO27" si="38">1+AI27</f>
        <v>43875</v>
      </c>
      <c r="AK27" s="885">
        <f t="shared" si="38"/>
        <v>43876</v>
      </c>
      <c r="AL27" s="878">
        <f t="shared" si="38"/>
        <v>43877</v>
      </c>
      <c r="AM27" s="878">
        <f t="shared" si="38"/>
        <v>43878</v>
      </c>
      <c r="AN27" s="879">
        <f t="shared" si="38"/>
        <v>43879</v>
      </c>
      <c r="AO27" s="879">
        <f t="shared" si="38"/>
        <v>43880</v>
      </c>
      <c r="AP27" s="911" t="s">
        <v>19</v>
      </c>
      <c r="AQ27" s="912"/>
      <c r="AR27" s="913" t="s">
        <v>20</v>
      </c>
      <c r="AS27" s="914"/>
      <c r="AT27" s="898" t="s">
        <v>21</v>
      </c>
      <c r="AW27" s="901">
        <f>+AL27</f>
        <v>43877</v>
      </c>
      <c r="AX27" s="902"/>
      <c r="AZ27" s="907" t="s">
        <v>22</v>
      </c>
      <c r="BA27" s="907"/>
      <c r="BB27" s="907"/>
      <c r="BC27" s="907"/>
      <c r="BD27" s="168"/>
      <c r="BE27" s="855"/>
      <c r="BF27" s="857"/>
    </row>
    <row r="28" spans="1:60" ht="9.9499999999999993" customHeight="1">
      <c r="B28" s="742"/>
      <c r="C28" s="859"/>
      <c r="D28" s="859"/>
      <c r="E28" s="859"/>
      <c r="F28" s="859"/>
      <c r="G28" s="859"/>
      <c r="H28" s="859"/>
      <c r="I28" s="859"/>
      <c r="J28" s="859"/>
      <c r="K28" s="862"/>
      <c r="L28" s="863"/>
      <c r="M28" s="867"/>
      <c r="N28" s="868"/>
      <c r="O28" s="868"/>
      <c r="P28" s="868"/>
      <c r="Q28" s="868"/>
      <c r="R28" s="868"/>
      <c r="S28" s="868"/>
      <c r="T28" s="869"/>
      <c r="U28" s="872"/>
      <c r="V28" s="873"/>
      <c r="W28" s="867"/>
      <c r="X28" s="868"/>
      <c r="Y28" s="868"/>
      <c r="Z28" s="868"/>
      <c r="AA28" s="868"/>
      <c r="AB28" s="868"/>
      <c r="AC28" s="868"/>
      <c r="AD28" s="869"/>
      <c r="AE28" s="882"/>
      <c r="AF28" s="883"/>
      <c r="AH28" s="884"/>
      <c r="AI28" s="879"/>
      <c r="AJ28" s="885"/>
      <c r="AK28" s="885"/>
      <c r="AL28" s="878"/>
      <c r="AM28" s="878"/>
      <c r="AN28" s="879"/>
      <c r="AO28" s="879"/>
      <c r="AP28" s="911"/>
      <c r="AQ28" s="912"/>
      <c r="AR28" s="915"/>
      <c r="AS28" s="916"/>
      <c r="AT28" s="899"/>
      <c r="AW28" s="903"/>
      <c r="AX28" s="904"/>
      <c r="AZ28" s="908">
        <f>SUM(AV11:BB25)</f>
        <v>90</v>
      </c>
      <c r="BA28" s="909"/>
      <c r="BB28" s="909"/>
      <c r="BC28" s="169"/>
      <c r="BD28" s="168"/>
      <c r="BE28" s="170"/>
    </row>
    <row r="29" spans="1:60" ht="15.2" customHeight="1">
      <c r="B29" s="742"/>
      <c r="C29" s="780" t="s">
        <v>10</v>
      </c>
      <c r="D29" s="874"/>
      <c r="E29" s="766" t="s">
        <v>11</v>
      </c>
      <c r="F29" s="769" t="s">
        <v>12</v>
      </c>
      <c r="G29" s="877" t="s">
        <v>10</v>
      </c>
      <c r="H29" s="874"/>
      <c r="I29" s="769" t="s">
        <v>12</v>
      </c>
      <c r="J29" s="773" t="s">
        <v>13</v>
      </c>
      <c r="K29" s="786" t="s">
        <v>14</v>
      </c>
      <c r="L29" s="886" t="s">
        <v>15</v>
      </c>
      <c r="M29" s="780" t="s">
        <v>10</v>
      </c>
      <c r="N29" s="888"/>
      <c r="O29" s="767" t="s">
        <v>11</v>
      </c>
      <c r="P29" s="770" t="s">
        <v>12</v>
      </c>
      <c r="Q29" s="877" t="s">
        <v>10</v>
      </c>
      <c r="R29" s="893"/>
      <c r="S29" s="770" t="s">
        <v>12</v>
      </c>
      <c r="T29" s="774" t="s">
        <v>13</v>
      </c>
      <c r="U29" s="787" t="s">
        <v>14</v>
      </c>
      <c r="V29" s="886" t="s">
        <v>15</v>
      </c>
      <c r="W29" s="780" t="s">
        <v>10</v>
      </c>
      <c r="X29" s="888"/>
      <c r="Y29" s="767" t="s">
        <v>11</v>
      </c>
      <c r="Z29" s="770" t="s">
        <v>12</v>
      </c>
      <c r="AA29" s="877" t="s">
        <v>10</v>
      </c>
      <c r="AB29" s="893"/>
      <c r="AC29" s="770" t="s">
        <v>12</v>
      </c>
      <c r="AD29" s="774" t="s">
        <v>13</v>
      </c>
      <c r="AE29" s="787" t="s">
        <v>14</v>
      </c>
      <c r="AF29" s="886"/>
      <c r="AH29" s="884"/>
      <c r="AI29" s="879"/>
      <c r="AJ29" s="885"/>
      <c r="AK29" s="885"/>
      <c r="AL29" s="878"/>
      <c r="AM29" s="878"/>
      <c r="AN29" s="879"/>
      <c r="AO29" s="879"/>
      <c r="AP29" s="911"/>
      <c r="AQ29" s="912"/>
      <c r="AR29" s="915"/>
      <c r="AS29" s="916"/>
      <c r="AT29" s="899"/>
      <c r="AW29" s="903"/>
      <c r="AX29" s="904"/>
      <c r="AZ29" s="910"/>
      <c r="BA29" s="910"/>
      <c r="BB29" s="910"/>
      <c r="BC29" s="169"/>
      <c r="BD29" s="168"/>
      <c r="BE29" s="168"/>
    </row>
    <row r="30" spans="1:60" ht="15.2" customHeight="1">
      <c r="B30" s="742"/>
      <c r="C30" s="875"/>
      <c r="D30" s="810"/>
      <c r="E30" s="767"/>
      <c r="F30" s="770"/>
      <c r="G30" s="811"/>
      <c r="H30" s="810"/>
      <c r="I30" s="770"/>
      <c r="J30" s="774"/>
      <c r="K30" s="787"/>
      <c r="L30" s="886"/>
      <c r="M30" s="889"/>
      <c r="N30" s="890"/>
      <c r="O30" s="767"/>
      <c r="P30" s="770"/>
      <c r="Q30" s="894"/>
      <c r="R30" s="895"/>
      <c r="S30" s="770"/>
      <c r="T30" s="774"/>
      <c r="U30" s="787"/>
      <c r="V30" s="886"/>
      <c r="W30" s="889"/>
      <c r="X30" s="890"/>
      <c r="Y30" s="767"/>
      <c r="Z30" s="770"/>
      <c r="AA30" s="894"/>
      <c r="AB30" s="895"/>
      <c r="AC30" s="770"/>
      <c r="AD30" s="774"/>
      <c r="AE30" s="787"/>
      <c r="AF30" s="886"/>
      <c r="AH30" s="884"/>
      <c r="AI30" s="879"/>
      <c r="AJ30" s="885"/>
      <c r="AK30" s="885"/>
      <c r="AL30" s="878"/>
      <c r="AM30" s="878"/>
      <c r="AN30" s="879"/>
      <c r="AO30" s="879"/>
      <c r="AP30" s="911"/>
      <c r="AQ30" s="912"/>
      <c r="AR30" s="915"/>
      <c r="AS30" s="916"/>
      <c r="AT30" s="899"/>
      <c r="AW30" s="903"/>
      <c r="AX30" s="904"/>
      <c r="AY30" s="7" t="s">
        <v>23</v>
      </c>
      <c r="BD30" s="171">
        <f>+AZ28-AW49</f>
        <v>40</v>
      </c>
      <c r="BE30" s="172" t="s">
        <v>24</v>
      </c>
    </row>
    <row r="31" spans="1:60" ht="15.2" customHeight="1">
      <c r="B31" s="742"/>
      <c r="C31" s="875"/>
      <c r="D31" s="810"/>
      <c r="E31" s="767"/>
      <c r="F31" s="770"/>
      <c r="G31" s="811"/>
      <c r="H31" s="810"/>
      <c r="I31" s="770"/>
      <c r="J31" s="774"/>
      <c r="K31" s="787"/>
      <c r="L31" s="886"/>
      <c r="M31" s="889"/>
      <c r="N31" s="890"/>
      <c r="O31" s="767"/>
      <c r="P31" s="770"/>
      <c r="Q31" s="894"/>
      <c r="R31" s="895"/>
      <c r="S31" s="770"/>
      <c r="T31" s="774"/>
      <c r="U31" s="787"/>
      <c r="V31" s="886"/>
      <c r="W31" s="889"/>
      <c r="X31" s="890"/>
      <c r="Y31" s="767"/>
      <c r="Z31" s="770"/>
      <c r="AA31" s="894"/>
      <c r="AB31" s="895"/>
      <c r="AC31" s="770"/>
      <c r="AD31" s="774"/>
      <c r="AE31" s="787"/>
      <c r="AF31" s="886"/>
      <c r="AH31" s="884"/>
      <c r="AI31" s="879"/>
      <c r="AJ31" s="885"/>
      <c r="AK31" s="885"/>
      <c r="AL31" s="878"/>
      <c r="AM31" s="878"/>
      <c r="AN31" s="879"/>
      <c r="AO31" s="879"/>
      <c r="AP31" s="911"/>
      <c r="AQ31" s="912"/>
      <c r="AR31" s="915"/>
      <c r="AS31" s="916"/>
      <c r="AT31" s="899"/>
      <c r="AW31" s="903"/>
      <c r="AX31" s="904"/>
    </row>
    <row r="32" spans="1:60" ht="15.2" customHeight="1" thickBot="1">
      <c r="B32" s="743"/>
      <c r="C32" s="876"/>
      <c r="D32" s="813"/>
      <c r="E32" s="768"/>
      <c r="F32" s="771"/>
      <c r="G32" s="812"/>
      <c r="H32" s="813"/>
      <c r="I32" s="771"/>
      <c r="J32" s="775"/>
      <c r="K32" s="788"/>
      <c r="L32" s="887"/>
      <c r="M32" s="891"/>
      <c r="N32" s="892"/>
      <c r="O32" s="768"/>
      <c r="P32" s="771"/>
      <c r="Q32" s="896"/>
      <c r="R32" s="897"/>
      <c r="S32" s="771"/>
      <c r="T32" s="775"/>
      <c r="U32" s="788"/>
      <c r="V32" s="887"/>
      <c r="W32" s="891"/>
      <c r="X32" s="892"/>
      <c r="Y32" s="768"/>
      <c r="Z32" s="771"/>
      <c r="AA32" s="896"/>
      <c r="AB32" s="897"/>
      <c r="AC32" s="771"/>
      <c r="AD32" s="775"/>
      <c r="AE32" s="788"/>
      <c r="AF32" s="887"/>
      <c r="AH32" s="884"/>
      <c r="AI32" s="879"/>
      <c r="AJ32" s="885"/>
      <c r="AK32" s="885"/>
      <c r="AL32" s="878"/>
      <c r="AM32" s="878"/>
      <c r="AN32" s="879"/>
      <c r="AO32" s="879"/>
      <c r="AP32" s="911"/>
      <c r="AQ32" s="912"/>
      <c r="AR32" s="917"/>
      <c r="AS32" s="918"/>
      <c r="AT32" s="900"/>
      <c r="AW32" s="905"/>
      <c r="AX32" s="906"/>
      <c r="BE32" s="173"/>
    </row>
    <row r="33" spans="1:57" ht="14.1" customHeight="1">
      <c r="B33" s="16" t="str">
        <f t="shared" ref="B33:B47" si="39">+B11</f>
        <v>Eduardo Segura D.</v>
      </c>
      <c r="C33" s="17">
        <v>7</v>
      </c>
      <c r="D33" s="18">
        <v>17</v>
      </c>
      <c r="E33" s="19">
        <v>1</v>
      </c>
      <c r="F33" s="40">
        <f t="shared" ref="F33:F47" si="40">+D33-C33-E33</f>
        <v>9</v>
      </c>
      <c r="G33" s="43"/>
      <c r="H33" s="22"/>
      <c r="I33" s="40">
        <f t="shared" ref="I33:I47" si="41">+H33-G33</f>
        <v>0</v>
      </c>
      <c r="J33" s="19"/>
      <c r="K33" s="41">
        <f t="shared" ref="K33:K47" si="42">+I33+F33-L33</f>
        <v>8</v>
      </c>
      <c r="L33" s="25">
        <f t="shared" ref="L33:L47" si="43">IF(C33&gt;0,(F33+I33)+IF(K$27&gt;0,F33,-8),0)+IF(U$27&gt;0,I33,0)</f>
        <v>1</v>
      </c>
      <c r="M33" s="43">
        <v>8</v>
      </c>
      <c r="N33" s="18">
        <v>16</v>
      </c>
      <c r="O33" s="19">
        <v>1</v>
      </c>
      <c r="P33" s="40">
        <f t="shared" ref="P33:P47" si="44">+N33-M33-O33</f>
        <v>7</v>
      </c>
      <c r="Q33" s="138"/>
      <c r="R33" s="174"/>
      <c r="S33" s="40">
        <f t="shared" ref="S33:S47" si="45">+R33-Q33</f>
        <v>0</v>
      </c>
      <c r="T33" s="19"/>
      <c r="U33" s="41">
        <f t="shared" ref="U33:U47" si="46">+S33+P33-V33</f>
        <v>8</v>
      </c>
      <c r="V33" s="25">
        <f t="shared" ref="V33:V47" si="47">IF(M33&gt;0,(P33+S33)+IF(U$27&gt;0,P33,-8),0)+IF(AE$27&gt;0,S33,0)</f>
        <v>-1</v>
      </c>
      <c r="W33" s="18">
        <v>7</v>
      </c>
      <c r="X33" s="18">
        <v>16</v>
      </c>
      <c r="Y33" s="175">
        <v>1</v>
      </c>
      <c r="Z33" s="176">
        <f t="shared" ref="Z33:Z47" si="48">+X33-W33-Y33</f>
        <v>8</v>
      </c>
      <c r="AA33" s="138"/>
      <c r="AB33" s="22"/>
      <c r="AC33" s="176">
        <f t="shared" ref="AC33:AC47" si="49">+AB33-AA33</f>
        <v>0</v>
      </c>
      <c r="AD33" s="175"/>
      <c r="AE33" s="177">
        <f t="shared" ref="AE33:AE47" si="50">+AC33+Z33-AF33</f>
        <v>8</v>
      </c>
      <c r="AF33" s="25">
        <f t="shared" ref="AF33:AF47" si="51">IF(W33&gt;0,(Z33+AC33)+IF(AE$27&gt;0,0+Z33,-8),0)</f>
        <v>0</v>
      </c>
      <c r="AG33" s="69"/>
      <c r="AH33" s="178">
        <v>0</v>
      </c>
      <c r="AI33" s="179">
        <f>+K11+(IF(ISBLANK($K$5),-8,0))</f>
        <v>0</v>
      </c>
      <c r="AJ33" s="179">
        <f>IF(ISBLANK($U$5),-8,0)+U11</f>
        <v>0</v>
      </c>
      <c r="AK33" s="179">
        <f>IF(ISBLANK($AE$5),-8,0)+AE11</f>
        <v>0.5</v>
      </c>
      <c r="AL33" s="179">
        <f t="shared" ref="AL33:AL47" si="52">IF(ISBLANK($AO$5),-8,0)+AO11+AW33</f>
        <v>0</v>
      </c>
      <c r="AM33" s="179">
        <f t="shared" ref="AM33:AM47" si="53">IF(ISBLANK($K$27),-8,0)+K33</f>
        <v>0</v>
      </c>
      <c r="AN33" s="179">
        <f t="shared" ref="AN33:AN47" si="54">IF(ISBLANK($U$27),-8,0)+U33</f>
        <v>0</v>
      </c>
      <c r="AO33" s="179">
        <f t="shared" ref="AO33:AO47" si="55">IF(ISBLANK($AE$27),-8,0)+AE33</f>
        <v>0</v>
      </c>
      <c r="AP33" s="180">
        <f t="shared" ref="AP33:AP47" si="56">SUM(AH33:AO33)</f>
        <v>0.5</v>
      </c>
      <c r="AQ33" s="69"/>
      <c r="AR33" s="919">
        <f t="shared" ref="AR33:AR45" si="57">+X73*Q73</f>
        <v>0</v>
      </c>
      <c r="AS33" s="925"/>
      <c r="AT33" s="181">
        <f t="shared" ref="AT33:AT47" si="58">IF(K11+L11&gt;0,1,0)+IF(U11+V11&gt;0,1,0)+IF(AE11+AF11&gt;0,1,0)+IF(AO11&gt;3,1,0)+IF(K33+L33&gt;0,1,0)+IF(U33+V33&gt;0,1,0)+IF(AE33+AF33&gt;0,1,0)</f>
        <v>6</v>
      </c>
      <c r="AU33" s="69"/>
      <c r="AV33" s="69"/>
      <c r="AW33" s="921"/>
      <c r="AX33" s="922"/>
      <c r="BD33" s="182"/>
      <c r="BE33" s="183"/>
    </row>
    <row r="34" spans="1:57" ht="14.1" customHeight="1">
      <c r="B34" s="190" t="str">
        <f t="shared" si="39"/>
        <v>Cesar Mendez M.</v>
      </c>
      <c r="C34" s="17">
        <v>7</v>
      </c>
      <c r="D34" s="18">
        <v>18</v>
      </c>
      <c r="E34" s="19">
        <v>1</v>
      </c>
      <c r="F34" s="40">
        <f t="shared" si="40"/>
        <v>10</v>
      </c>
      <c r="G34" s="43"/>
      <c r="H34" s="43"/>
      <c r="I34" s="40">
        <f t="shared" si="41"/>
        <v>0</v>
      </c>
      <c r="J34" s="19"/>
      <c r="K34" s="41">
        <f t="shared" si="42"/>
        <v>8</v>
      </c>
      <c r="L34" s="25">
        <f t="shared" si="43"/>
        <v>2</v>
      </c>
      <c r="M34" s="43">
        <v>7</v>
      </c>
      <c r="N34" s="18">
        <v>18</v>
      </c>
      <c r="O34" s="19">
        <v>1</v>
      </c>
      <c r="P34" s="40">
        <f t="shared" si="44"/>
        <v>10</v>
      </c>
      <c r="Q34" s="43"/>
      <c r="R34" s="43"/>
      <c r="S34" s="40">
        <f t="shared" si="45"/>
        <v>0</v>
      </c>
      <c r="T34" s="19"/>
      <c r="U34" s="41">
        <f t="shared" si="46"/>
        <v>8</v>
      </c>
      <c r="V34" s="25">
        <f t="shared" si="47"/>
        <v>2</v>
      </c>
      <c r="W34" s="18">
        <v>7</v>
      </c>
      <c r="X34" s="18">
        <v>17</v>
      </c>
      <c r="Y34" s="19">
        <v>1</v>
      </c>
      <c r="Z34" s="40">
        <f t="shared" si="48"/>
        <v>9</v>
      </c>
      <c r="AA34" s="18"/>
      <c r="AB34" s="43"/>
      <c r="AC34" s="40">
        <f t="shared" si="49"/>
        <v>0</v>
      </c>
      <c r="AD34" s="19"/>
      <c r="AE34" s="41">
        <f t="shared" si="50"/>
        <v>8</v>
      </c>
      <c r="AF34" s="25">
        <f t="shared" si="51"/>
        <v>1</v>
      </c>
      <c r="AG34" s="69"/>
      <c r="AH34" s="178">
        <v>0</v>
      </c>
      <c r="AI34" s="179">
        <f>+K12+(IF(ISBLANK($K$5),-8,0))</f>
        <v>0</v>
      </c>
      <c r="AJ34" s="179">
        <f>IF(ISBLANK($U$5),-8,0)+U12</f>
        <v>0</v>
      </c>
      <c r="AK34" s="179">
        <f>IF(ISBLANK($AE$5),-8,0)+AE12</f>
        <v>0.5</v>
      </c>
      <c r="AL34" s="179">
        <f t="shared" si="52"/>
        <v>0</v>
      </c>
      <c r="AM34" s="179">
        <f t="shared" si="53"/>
        <v>0</v>
      </c>
      <c r="AN34" s="179">
        <f t="shared" si="54"/>
        <v>0</v>
      </c>
      <c r="AO34" s="179">
        <f t="shared" si="55"/>
        <v>0</v>
      </c>
      <c r="AP34" s="180">
        <f t="shared" si="56"/>
        <v>0.5</v>
      </c>
      <c r="AQ34" s="69"/>
      <c r="AR34" s="919">
        <f t="shared" si="57"/>
        <v>0</v>
      </c>
      <c r="AS34" s="920"/>
      <c r="AT34" s="181">
        <f t="shared" si="58"/>
        <v>7</v>
      </c>
      <c r="AU34" s="69"/>
      <c r="AV34" s="69"/>
      <c r="AW34" s="921">
        <v>-18</v>
      </c>
      <c r="AX34" s="922"/>
    </row>
    <row r="35" spans="1:57" ht="14.1" customHeight="1">
      <c r="B35" s="190" t="str">
        <f t="shared" si="39"/>
        <v>Juan Manrique V.</v>
      </c>
      <c r="C35" s="17">
        <v>7</v>
      </c>
      <c r="D35" s="18">
        <v>17</v>
      </c>
      <c r="E35" s="19">
        <v>1</v>
      </c>
      <c r="F35" s="40">
        <f t="shared" si="40"/>
        <v>9</v>
      </c>
      <c r="G35" s="43"/>
      <c r="H35" s="43"/>
      <c r="I35" s="40">
        <f t="shared" si="41"/>
        <v>0</v>
      </c>
      <c r="J35" s="19"/>
      <c r="K35" s="41">
        <f t="shared" si="42"/>
        <v>8</v>
      </c>
      <c r="L35" s="25">
        <f t="shared" si="43"/>
        <v>1</v>
      </c>
      <c r="M35" s="43">
        <v>8</v>
      </c>
      <c r="N35" s="18">
        <v>18</v>
      </c>
      <c r="O35" s="19">
        <v>1</v>
      </c>
      <c r="P35" s="40">
        <f t="shared" si="44"/>
        <v>9</v>
      </c>
      <c r="Q35" s="117"/>
      <c r="R35" s="189"/>
      <c r="S35" s="40">
        <f t="shared" si="45"/>
        <v>0</v>
      </c>
      <c r="T35" s="19"/>
      <c r="U35" s="41">
        <f t="shared" si="46"/>
        <v>8</v>
      </c>
      <c r="V35" s="25">
        <f t="shared" si="47"/>
        <v>1</v>
      </c>
      <c r="W35" s="18">
        <v>7</v>
      </c>
      <c r="X35" s="18">
        <v>16</v>
      </c>
      <c r="Y35" s="19">
        <v>1</v>
      </c>
      <c r="Z35" s="40">
        <f t="shared" si="48"/>
        <v>8</v>
      </c>
      <c r="AA35" s="18"/>
      <c r="AB35" s="18"/>
      <c r="AC35" s="40">
        <f t="shared" si="49"/>
        <v>0</v>
      </c>
      <c r="AD35" s="19"/>
      <c r="AE35" s="41">
        <f t="shared" si="50"/>
        <v>8</v>
      </c>
      <c r="AF35" s="25">
        <f t="shared" si="51"/>
        <v>0</v>
      </c>
      <c r="AG35" s="69"/>
      <c r="AH35" s="178">
        <v>0</v>
      </c>
      <c r="AI35" s="179">
        <f>+K13+(IF(ISBLANK($K$5),-8,0))</f>
        <v>0</v>
      </c>
      <c r="AJ35" s="179">
        <f>IF(ISBLANK($U$5),-8,0)+U13</f>
        <v>0</v>
      </c>
      <c r="AK35" s="179">
        <f>IF(ISBLANK($AE$5),-8,0)+AE13</f>
        <v>0.5</v>
      </c>
      <c r="AL35" s="179">
        <f t="shared" si="52"/>
        <v>0</v>
      </c>
      <c r="AM35" s="179">
        <f t="shared" si="53"/>
        <v>0</v>
      </c>
      <c r="AN35" s="179">
        <f t="shared" si="54"/>
        <v>0</v>
      </c>
      <c r="AO35" s="179">
        <f t="shared" si="55"/>
        <v>0</v>
      </c>
      <c r="AP35" s="180">
        <f t="shared" si="56"/>
        <v>0.5</v>
      </c>
      <c r="AQ35" s="69"/>
      <c r="AR35" s="919">
        <f t="shared" si="57"/>
        <v>0</v>
      </c>
      <c r="AS35" s="920"/>
      <c r="AT35" s="187">
        <f t="shared" si="58"/>
        <v>7</v>
      </c>
      <c r="AU35" s="69"/>
      <c r="AV35" s="69"/>
      <c r="AW35" s="926">
        <v>-16</v>
      </c>
      <c r="AX35" s="927"/>
      <c r="AZ35" s="182"/>
      <c r="BD35" s="182"/>
    </row>
    <row r="36" spans="1:57" ht="14.1" customHeight="1">
      <c r="B36" s="190" t="str">
        <f t="shared" si="39"/>
        <v xml:space="preserve"> Irving Huaringa B.</v>
      </c>
      <c r="C36" s="17">
        <v>8</v>
      </c>
      <c r="D36" s="18">
        <v>16</v>
      </c>
      <c r="E36" s="19">
        <v>1</v>
      </c>
      <c r="F36" s="40">
        <f t="shared" si="40"/>
        <v>7</v>
      </c>
      <c r="G36" s="43"/>
      <c r="H36" s="43"/>
      <c r="I36" s="40">
        <f t="shared" si="41"/>
        <v>0</v>
      </c>
      <c r="J36" s="19"/>
      <c r="K36" s="41">
        <f t="shared" si="42"/>
        <v>8</v>
      </c>
      <c r="L36" s="25">
        <f t="shared" si="43"/>
        <v>-1</v>
      </c>
      <c r="M36" s="43">
        <v>7</v>
      </c>
      <c r="N36" s="18">
        <v>16</v>
      </c>
      <c r="O36" s="19">
        <v>1</v>
      </c>
      <c r="P36" s="40">
        <f t="shared" si="44"/>
        <v>8</v>
      </c>
      <c r="Q36" s="117"/>
      <c r="R36" s="189"/>
      <c r="S36" s="40">
        <f t="shared" si="45"/>
        <v>0</v>
      </c>
      <c r="T36" s="19"/>
      <c r="U36" s="41">
        <f t="shared" si="46"/>
        <v>8</v>
      </c>
      <c r="V36" s="25">
        <f t="shared" si="47"/>
        <v>0</v>
      </c>
      <c r="W36" s="18">
        <v>7</v>
      </c>
      <c r="X36" s="18">
        <v>16</v>
      </c>
      <c r="Y36" s="19">
        <v>1</v>
      </c>
      <c r="Z36" s="40">
        <f t="shared" si="48"/>
        <v>8</v>
      </c>
      <c r="AA36" s="18"/>
      <c r="AB36" s="18"/>
      <c r="AC36" s="40">
        <f t="shared" si="49"/>
        <v>0</v>
      </c>
      <c r="AD36" s="19"/>
      <c r="AE36" s="41">
        <f t="shared" si="50"/>
        <v>8</v>
      </c>
      <c r="AF36" s="25">
        <f t="shared" si="51"/>
        <v>0</v>
      </c>
      <c r="AG36" s="69"/>
      <c r="AH36" s="178">
        <v>0</v>
      </c>
      <c r="AI36" s="179">
        <f>+K14+(IF(ISBLANK($K$5),-8,0))</f>
        <v>0</v>
      </c>
      <c r="AJ36" s="179">
        <f>IF(ISBLANK($U$5),-8,0)+U14</f>
        <v>0</v>
      </c>
      <c r="AK36" s="191">
        <f>IF(ISBLANK($AE$5),-5,0)+AE14</f>
        <v>0</v>
      </c>
      <c r="AL36" s="179">
        <f t="shared" si="52"/>
        <v>0</v>
      </c>
      <c r="AM36" s="192">
        <f t="shared" si="53"/>
        <v>0</v>
      </c>
      <c r="AN36" s="192">
        <f t="shared" si="54"/>
        <v>0</v>
      </c>
      <c r="AO36" s="192">
        <f t="shared" si="55"/>
        <v>0</v>
      </c>
      <c r="AP36" s="180">
        <f t="shared" si="56"/>
        <v>0</v>
      </c>
      <c r="AQ36" s="69"/>
      <c r="AR36" s="919">
        <f t="shared" si="57"/>
        <v>0</v>
      </c>
      <c r="AS36" s="920"/>
      <c r="AT36" s="187">
        <f t="shared" si="58"/>
        <v>6</v>
      </c>
      <c r="AU36" s="69"/>
      <c r="AV36" s="69"/>
      <c r="AW36" s="921"/>
      <c r="AX36" s="922"/>
    </row>
    <row r="37" spans="1:57" ht="14.1" customHeight="1">
      <c r="B37" s="39" t="str">
        <f t="shared" si="39"/>
        <v>Pier Alejos A.</v>
      </c>
      <c r="C37" s="56">
        <v>8</v>
      </c>
      <c r="D37" s="43">
        <v>17</v>
      </c>
      <c r="E37" s="54">
        <v>1</v>
      </c>
      <c r="F37" s="53">
        <f t="shared" si="40"/>
        <v>8</v>
      </c>
      <c r="G37" s="43"/>
      <c r="H37" s="228"/>
      <c r="I37" s="53">
        <f t="shared" si="41"/>
        <v>0</v>
      </c>
      <c r="J37" s="54"/>
      <c r="K37" s="55">
        <f t="shared" si="42"/>
        <v>8</v>
      </c>
      <c r="L37" s="135">
        <f t="shared" si="43"/>
        <v>0</v>
      </c>
      <c r="M37" s="56">
        <v>7</v>
      </c>
      <c r="N37" s="201">
        <v>17</v>
      </c>
      <c r="O37" s="54">
        <v>1</v>
      </c>
      <c r="P37" s="53">
        <f t="shared" si="44"/>
        <v>9</v>
      </c>
      <c r="Q37" s="117"/>
      <c r="R37" s="189"/>
      <c r="S37" s="53">
        <f t="shared" si="45"/>
        <v>0</v>
      </c>
      <c r="T37" s="54"/>
      <c r="U37" s="55">
        <f t="shared" si="46"/>
        <v>8</v>
      </c>
      <c r="V37" s="135">
        <f t="shared" si="47"/>
        <v>1</v>
      </c>
      <c r="W37" s="56">
        <v>7</v>
      </c>
      <c r="X37" s="43">
        <v>16</v>
      </c>
      <c r="Y37" s="54">
        <v>1</v>
      </c>
      <c r="Z37" s="53">
        <f t="shared" si="48"/>
        <v>8</v>
      </c>
      <c r="AA37" s="43"/>
      <c r="AB37" s="64"/>
      <c r="AC37" s="53">
        <f>+AB37-AA37</f>
        <v>0</v>
      </c>
      <c r="AD37" s="54"/>
      <c r="AE37" s="55">
        <f t="shared" si="50"/>
        <v>8</v>
      </c>
      <c r="AF37" s="135">
        <f t="shared" si="51"/>
        <v>0</v>
      </c>
      <c r="AG37" s="69"/>
      <c r="AH37" s="178">
        <v>0</v>
      </c>
      <c r="AI37" s="179">
        <f>+K15+(IF(ISBLANK($K$5),-8,0))</f>
        <v>0</v>
      </c>
      <c r="AJ37" s="179">
        <f>IF(ISBLANK($U$5),-8,0)+U15</f>
        <v>0</v>
      </c>
      <c r="AK37" s="179">
        <f>IF(ISBLANK($AE$5),-8,0)+AE15</f>
        <v>0</v>
      </c>
      <c r="AL37" s="179">
        <f t="shared" si="52"/>
        <v>0</v>
      </c>
      <c r="AM37" s="179">
        <f t="shared" si="53"/>
        <v>0</v>
      </c>
      <c r="AN37" s="179">
        <f t="shared" si="54"/>
        <v>0</v>
      </c>
      <c r="AO37" s="179">
        <f t="shared" si="55"/>
        <v>0</v>
      </c>
      <c r="AP37" s="180">
        <f t="shared" si="56"/>
        <v>0</v>
      </c>
      <c r="AQ37" s="69"/>
      <c r="AR37" s="919">
        <f t="shared" si="57"/>
        <v>0</v>
      </c>
      <c r="AS37" s="920"/>
      <c r="AT37" s="230">
        <f t="shared" si="58"/>
        <v>6</v>
      </c>
      <c r="AU37" s="69"/>
      <c r="AV37" s="69"/>
      <c r="AW37" s="921"/>
      <c r="AX37" s="922"/>
    </row>
    <row r="38" spans="1:57" ht="14.1" customHeight="1">
      <c r="B38" s="630" t="str">
        <f t="shared" si="39"/>
        <v>Jose Cortez P.</v>
      </c>
      <c r="C38" s="92">
        <v>7</v>
      </c>
      <c r="D38" s="92">
        <v>16</v>
      </c>
      <c r="E38" s="92">
        <v>1</v>
      </c>
      <c r="F38" s="93">
        <f t="shared" si="40"/>
        <v>8</v>
      </c>
      <c r="G38" s="43"/>
      <c r="H38" s="43"/>
      <c r="I38" s="93">
        <f t="shared" si="41"/>
        <v>0</v>
      </c>
      <c r="J38" s="92"/>
      <c r="K38" s="41">
        <f t="shared" si="42"/>
        <v>8</v>
      </c>
      <c r="L38" s="94">
        <f t="shared" si="43"/>
        <v>0</v>
      </c>
      <c r="M38" s="92">
        <v>7</v>
      </c>
      <c r="N38" s="92">
        <v>19</v>
      </c>
      <c r="O38" s="92">
        <v>1</v>
      </c>
      <c r="P38" s="93">
        <f t="shared" si="44"/>
        <v>11</v>
      </c>
      <c r="Q38" s="200"/>
      <c r="R38" s="189"/>
      <c r="S38" s="93">
        <f t="shared" si="45"/>
        <v>0</v>
      </c>
      <c r="T38" s="92"/>
      <c r="U38" s="41">
        <f t="shared" si="46"/>
        <v>8</v>
      </c>
      <c r="V38" s="94">
        <f t="shared" si="47"/>
        <v>3</v>
      </c>
      <c r="W38" s="92">
        <v>7</v>
      </c>
      <c r="X38" s="92">
        <v>16</v>
      </c>
      <c r="Y38" s="201">
        <v>1</v>
      </c>
      <c r="Z38" s="202">
        <f t="shared" si="48"/>
        <v>8</v>
      </c>
      <c r="AA38" s="18"/>
      <c r="AB38" s="43"/>
      <c r="AC38" s="53">
        <f t="shared" si="49"/>
        <v>0</v>
      </c>
      <c r="AD38" s="19"/>
      <c r="AE38" s="41">
        <f t="shared" si="50"/>
        <v>8</v>
      </c>
      <c r="AF38" s="25">
        <f t="shared" si="51"/>
        <v>0</v>
      </c>
      <c r="AG38" s="69"/>
      <c r="AH38" s="203">
        <v>0</v>
      </c>
      <c r="AI38" s="204">
        <f t="shared" ref="AI38:AI39" si="59">+K16+(IF(ISBLANK($K$5),-8,0))</f>
        <v>0</v>
      </c>
      <c r="AJ38" s="205">
        <f t="shared" ref="AJ38:AJ39" si="60">IF(ISBLANK($U$5),-8,0)+U16</f>
        <v>0</v>
      </c>
      <c r="AK38" s="205">
        <f>IF(ISBLANK($AE$5),-8,0)+AE16</f>
        <v>0</v>
      </c>
      <c r="AL38" s="179">
        <f t="shared" si="52"/>
        <v>0</v>
      </c>
      <c r="AM38" s="205">
        <f t="shared" si="53"/>
        <v>0</v>
      </c>
      <c r="AN38" s="205">
        <f t="shared" si="54"/>
        <v>0</v>
      </c>
      <c r="AO38" s="205">
        <f t="shared" si="55"/>
        <v>0</v>
      </c>
      <c r="AP38" s="206">
        <f t="shared" si="56"/>
        <v>0</v>
      </c>
      <c r="AQ38" s="69"/>
      <c r="AR38" s="919">
        <f t="shared" si="57"/>
        <v>0</v>
      </c>
      <c r="AS38" s="920"/>
      <c r="AT38" s="561">
        <f t="shared" si="58"/>
        <v>6</v>
      </c>
      <c r="AU38" s="69"/>
      <c r="AV38" s="69"/>
      <c r="AW38" s="923"/>
      <c r="AX38" s="924"/>
    </row>
    <row r="39" spans="1:57" ht="14.1" customHeight="1">
      <c r="B39" s="91" t="str">
        <f t="shared" si="39"/>
        <v>Rafael Armas R.</v>
      </c>
      <c r="C39" s="102">
        <v>7</v>
      </c>
      <c r="D39" s="102">
        <v>16</v>
      </c>
      <c r="E39" s="102">
        <v>1</v>
      </c>
      <c r="F39" s="143">
        <f t="shared" si="40"/>
        <v>8</v>
      </c>
      <c r="G39" s="144"/>
      <c r="H39" s="43"/>
      <c r="I39" s="143">
        <f t="shared" si="41"/>
        <v>0</v>
      </c>
      <c r="J39" s="102"/>
      <c r="K39" s="41">
        <f t="shared" si="42"/>
        <v>8</v>
      </c>
      <c r="L39" s="147">
        <f t="shared" si="43"/>
        <v>0</v>
      </c>
      <c r="M39" s="92">
        <v>7</v>
      </c>
      <c r="N39" s="92">
        <v>18</v>
      </c>
      <c r="O39" s="201">
        <v>1</v>
      </c>
      <c r="P39" s="202">
        <f t="shared" si="44"/>
        <v>10</v>
      </c>
      <c r="Q39" s="201"/>
      <c r="R39" s="43"/>
      <c r="S39" s="202">
        <f t="shared" si="45"/>
        <v>0</v>
      </c>
      <c r="T39" s="201"/>
      <c r="U39" s="41">
        <f t="shared" si="46"/>
        <v>8</v>
      </c>
      <c r="V39" s="209">
        <f t="shared" si="47"/>
        <v>2</v>
      </c>
      <c r="W39" s="201">
        <v>7</v>
      </c>
      <c r="X39" s="201">
        <v>16</v>
      </c>
      <c r="Y39" s="201">
        <v>1</v>
      </c>
      <c r="Z39" s="202">
        <f t="shared" si="48"/>
        <v>8</v>
      </c>
      <c r="AA39" s="201"/>
      <c r="AB39" s="43"/>
      <c r="AC39" s="202">
        <f t="shared" si="49"/>
        <v>0</v>
      </c>
      <c r="AD39" s="201"/>
      <c r="AE39" s="41">
        <f t="shared" si="50"/>
        <v>8</v>
      </c>
      <c r="AF39" s="209">
        <f t="shared" si="51"/>
        <v>0</v>
      </c>
      <c r="AG39" s="69"/>
      <c r="AH39" s="210">
        <v>0</v>
      </c>
      <c r="AI39" s="179">
        <f t="shared" si="59"/>
        <v>0</v>
      </c>
      <c r="AJ39" s="179">
        <f t="shared" si="60"/>
        <v>0</v>
      </c>
      <c r="AK39" s="211">
        <f>IF(ISBLANK($AE$5),-8,0)+AE17</f>
        <v>-8</v>
      </c>
      <c r="AL39" s="179">
        <f t="shared" si="52"/>
        <v>0</v>
      </c>
      <c r="AM39" s="179">
        <f t="shared" si="53"/>
        <v>0</v>
      </c>
      <c r="AN39" s="179">
        <f t="shared" si="54"/>
        <v>0</v>
      </c>
      <c r="AO39" s="179">
        <f t="shared" si="55"/>
        <v>0</v>
      </c>
      <c r="AP39" s="180">
        <f t="shared" si="56"/>
        <v>-8</v>
      </c>
      <c r="AQ39" s="69"/>
      <c r="AR39" s="919">
        <f t="shared" si="57"/>
        <v>0</v>
      </c>
      <c r="AS39" s="920"/>
      <c r="AT39" s="207">
        <f t="shared" si="58"/>
        <v>6</v>
      </c>
      <c r="AU39" s="69"/>
      <c r="AV39" s="69"/>
      <c r="AW39" s="921">
        <v>-16</v>
      </c>
      <c r="AX39" s="922"/>
    </row>
    <row r="40" spans="1:57" s="116" customFormat="1" ht="14.1" customHeight="1">
      <c r="A40" s="212"/>
      <c r="B40" s="91" t="str">
        <f t="shared" si="39"/>
        <v>Jose Ochoa I.</v>
      </c>
      <c r="C40" s="102">
        <v>7</v>
      </c>
      <c r="D40" s="102">
        <v>16</v>
      </c>
      <c r="E40" s="102">
        <v>1</v>
      </c>
      <c r="F40" s="143">
        <f t="shared" si="40"/>
        <v>8</v>
      </c>
      <c r="G40" s="144"/>
      <c r="H40" s="43"/>
      <c r="I40" s="143">
        <f t="shared" si="41"/>
        <v>0</v>
      </c>
      <c r="J40" s="102"/>
      <c r="K40" s="41">
        <f t="shared" si="42"/>
        <v>8</v>
      </c>
      <c r="L40" s="147">
        <f t="shared" si="43"/>
        <v>0</v>
      </c>
      <c r="M40" s="213">
        <v>7</v>
      </c>
      <c r="N40" s="201">
        <v>16</v>
      </c>
      <c r="O40" s="201">
        <v>1</v>
      </c>
      <c r="P40" s="202">
        <f t="shared" si="44"/>
        <v>8</v>
      </c>
      <c r="Q40" s="214"/>
      <c r="R40" s="189"/>
      <c r="S40" s="202">
        <f t="shared" si="45"/>
        <v>0</v>
      </c>
      <c r="T40" s="201"/>
      <c r="U40" s="41">
        <f t="shared" si="46"/>
        <v>8</v>
      </c>
      <c r="V40" s="209">
        <f t="shared" si="47"/>
        <v>0</v>
      </c>
      <c r="W40" s="201">
        <v>7</v>
      </c>
      <c r="X40" s="201">
        <v>16</v>
      </c>
      <c r="Y40" s="201">
        <v>1</v>
      </c>
      <c r="Z40" s="202">
        <f t="shared" si="48"/>
        <v>8</v>
      </c>
      <c r="AA40" s="201"/>
      <c r="AB40" s="215"/>
      <c r="AC40" s="202">
        <f t="shared" si="49"/>
        <v>0</v>
      </c>
      <c r="AD40" s="201"/>
      <c r="AE40" s="41">
        <f t="shared" si="50"/>
        <v>8</v>
      </c>
      <c r="AF40" s="209">
        <f t="shared" si="51"/>
        <v>0</v>
      </c>
      <c r="AG40" s="69"/>
      <c r="AH40" s="216">
        <v>0</v>
      </c>
      <c r="AI40" s="217">
        <f>+K22+(IF(ISBLANK($K$5),-8,0))</f>
        <v>-8</v>
      </c>
      <c r="AJ40" s="217">
        <f>IF(ISBLANK($U$5),-8,0)+U22</f>
        <v>0</v>
      </c>
      <c r="AK40" s="217">
        <f>IF(ISBLANK($AE$5),-8,0)+AE22</f>
        <v>0</v>
      </c>
      <c r="AL40" s="217">
        <f t="shared" si="52"/>
        <v>0</v>
      </c>
      <c r="AM40" s="217">
        <f t="shared" si="53"/>
        <v>0</v>
      </c>
      <c r="AN40" s="217">
        <f t="shared" si="54"/>
        <v>0</v>
      </c>
      <c r="AO40" s="217">
        <f t="shared" si="55"/>
        <v>0</v>
      </c>
      <c r="AP40" s="218">
        <f t="shared" si="56"/>
        <v>-8</v>
      </c>
      <c r="AQ40" s="69"/>
      <c r="AR40" s="919">
        <f t="shared" si="57"/>
        <v>0</v>
      </c>
      <c r="AS40" s="920"/>
      <c r="AT40" s="207">
        <f t="shared" si="58"/>
        <v>6</v>
      </c>
      <c r="AU40" s="69"/>
      <c r="AV40" s="69"/>
      <c r="AW40" s="930"/>
      <c r="AX40" s="931"/>
    </row>
    <row r="41" spans="1:57" s="116" customFormat="1" ht="14.1" customHeight="1">
      <c r="A41" s="212"/>
      <c r="B41" s="91" t="str">
        <f t="shared" si="39"/>
        <v>Jairo Mirabal</v>
      </c>
      <c r="C41" s="102">
        <v>7</v>
      </c>
      <c r="D41" s="102">
        <v>16</v>
      </c>
      <c r="E41" s="102">
        <v>1</v>
      </c>
      <c r="F41" s="143">
        <f t="shared" si="40"/>
        <v>8</v>
      </c>
      <c r="G41" s="144"/>
      <c r="H41" s="43"/>
      <c r="I41" s="143">
        <f t="shared" si="41"/>
        <v>0</v>
      </c>
      <c r="J41" s="102"/>
      <c r="K41" s="41">
        <f t="shared" si="42"/>
        <v>8</v>
      </c>
      <c r="L41" s="147">
        <f t="shared" si="43"/>
        <v>0</v>
      </c>
      <c r="M41" s="213">
        <v>7</v>
      </c>
      <c r="N41" s="201">
        <v>16</v>
      </c>
      <c r="O41" s="201">
        <v>1</v>
      </c>
      <c r="P41" s="202">
        <f t="shared" si="44"/>
        <v>8</v>
      </c>
      <c r="Q41" s="214"/>
      <c r="R41" s="189"/>
      <c r="S41" s="202">
        <f t="shared" si="45"/>
        <v>0</v>
      </c>
      <c r="T41" s="201"/>
      <c r="U41" s="41">
        <f t="shared" si="46"/>
        <v>8</v>
      </c>
      <c r="V41" s="209">
        <f t="shared" si="47"/>
        <v>0</v>
      </c>
      <c r="W41" s="201">
        <v>7</v>
      </c>
      <c r="X41" s="201">
        <v>16</v>
      </c>
      <c r="Y41" s="201">
        <v>1</v>
      </c>
      <c r="Z41" s="202">
        <f t="shared" si="48"/>
        <v>8</v>
      </c>
      <c r="AA41" s="201"/>
      <c r="AB41" s="219"/>
      <c r="AC41" s="202">
        <f t="shared" si="49"/>
        <v>0</v>
      </c>
      <c r="AD41" s="201"/>
      <c r="AE41" s="41">
        <f t="shared" si="50"/>
        <v>8</v>
      </c>
      <c r="AF41" s="209">
        <f t="shared" si="51"/>
        <v>0</v>
      </c>
      <c r="AG41" s="69"/>
      <c r="AH41" s="216">
        <v>0</v>
      </c>
      <c r="AI41" s="217">
        <f>+K18+(IF(ISBLANK($K$5),-8,0))</f>
        <v>0</v>
      </c>
      <c r="AJ41" s="217">
        <f>IF(ISBLANK($U$5),-8,0)+U18</f>
        <v>0</v>
      </c>
      <c r="AK41" s="217">
        <f>IF(ISBLANK($AE$5),-8,0)+AE18</f>
        <v>0</v>
      </c>
      <c r="AL41" s="217">
        <f t="shared" si="52"/>
        <v>0</v>
      </c>
      <c r="AM41" s="217">
        <f t="shared" si="53"/>
        <v>0</v>
      </c>
      <c r="AN41" s="217">
        <f t="shared" si="54"/>
        <v>0</v>
      </c>
      <c r="AO41" s="217">
        <f t="shared" si="55"/>
        <v>0</v>
      </c>
      <c r="AP41" s="218">
        <f t="shared" si="56"/>
        <v>0</v>
      </c>
      <c r="AQ41" s="69"/>
      <c r="AR41" s="928">
        <f t="shared" si="57"/>
        <v>0</v>
      </c>
      <c r="AS41" s="929"/>
      <c r="AT41" s="207">
        <f t="shared" si="58"/>
        <v>6</v>
      </c>
      <c r="AU41" s="69"/>
      <c r="AV41" s="69"/>
      <c r="AW41" s="930"/>
      <c r="AX41" s="931"/>
    </row>
    <row r="42" spans="1:57" s="116" customFormat="1" ht="14.1" customHeight="1">
      <c r="A42" s="212"/>
      <c r="B42" s="91" t="str">
        <f t="shared" si="39"/>
        <v>Angel Colina N.</v>
      </c>
      <c r="C42" s="102"/>
      <c r="D42" s="102"/>
      <c r="E42" s="102"/>
      <c r="F42" s="143">
        <f t="shared" si="40"/>
        <v>0</v>
      </c>
      <c r="G42" s="144"/>
      <c r="H42" s="144"/>
      <c r="I42" s="143">
        <f t="shared" si="41"/>
        <v>0</v>
      </c>
      <c r="J42" s="102"/>
      <c r="K42" s="41">
        <f t="shared" si="42"/>
        <v>0</v>
      </c>
      <c r="L42" s="147">
        <f t="shared" si="43"/>
        <v>0</v>
      </c>
      <c r="M42" s="201"/>
      <c r="N42" s="201"/>
      <c r="O42" s="201"/>
      <c r="P42" s="202">
        <f t="shared" si="44"/>
        <v>0</v>
      </c>
      <c r="Q42" s="214"/>
      <c r="R42" s="189"/>
      <c r="S42" s="202">
        <f t="shared" si="45"/>
        <v>0</v>
      </c>
      <c r="T42" s="201"/>
      <c r="U42" s="41">
        <f t="shared" si="46"/>
        <v>0</v>
      </c>
      <c r="V42" s="209">
        <f t="shared" si="47"/>
        <v>0</v>
      </c>
      <c r="W42" s="201">
        <v>7</v>
      </c>
      <c r="X42" s="201">
        <v>16</v>
      </c>
      <c r="Y42" s="201">
        <v>1</v>
      </c>
      <c r="Z42" s="202">
        <f t="shared" si="48"/>
        <v>8</v>
      </c>
      <c r="AA42" s="201"/>
      <c r="AB42" s="219"/>
      <c r="AC42" s="202">
        <f>+AB42-AA42</f>
        <v>0</v>
      </c>
      <c r="AD42" s="201"/>
      <c r="AE42" s="41">
        <f t="shared" si="50"/>
        <v>8</v>
      </c>
      <c r="AF42" s="209">
        <f t="shared" si="51"/>
        <v>0</v>
      </c>
      <c r="AG42" s="69"/>
      <c r="AH42" s="216">
        <v>0</v>
      </c>
      <c r="AI42" s="217">
        <f>+K20+(IF(ISBLANK($K$5),-8,0))</f>
        <v>0</v>
      </c>
      <c r="AJ42" s="217">
        <f>IF(ISBLANK($U$5),-8,0)+U20</f>
        <v>0</v>
      </c>
      <c r="AK42" s="217">
        <f>IF(ISBLANK($AE$5),-8,0)+AE20</f>
        <v>0</v>
      </c>
      <c r="AL42" s="217">
        <f t="shared" si="52"/>
        <v>16</v>
      </c>
      <c r="AM42" s="217">
        <f t="shared" si="53"/>
        <v>-8</v>
      </c>
      <c r="AN42" s="217">
        <f t="shared" si="54"/>
        <v>-8</v>
      </c>
      <c r="AO42" s="217">
        <f t="shared" si="55"/>
        <v>0</v>
      </c>
      <c r="AP42" s="218">
        <f t="shared" si="56"/>
        <v>0</v>
      </c>
      <c r="AQ42" s="69"/>
      <c r="AR42" s="928">
        <f t="shared" si="57"/>
        <v>0</v>
      </c>
      <c r="AS42" s="929"/>
      <c r="AT42" s="207">
        <f t="shared" si="58"/>
        <v>5</v>
      </c>
      <c r="AU42" s="69"/>
      <c r="AV42" s="69"/>
      <c r="AW42" s="930"/>
      <c r="AX42" s="931"/>
    </row>
    <row r="43" spans="1:57" ht="14.1" customHeight="1" thickBot="1">
      <c r="B43" s="118" t="str">
        <f t="shared" si="39"/>
        <v>Pedro Hostos S.</v>
      </c>
      <c r="C43" s="119">
        <v>7</v>
      </c>
      <c r="D43" s="119">
        <v>17</v>
      </c>
      <c r="E43" s="119">
        <v>1</v>
      </c>
      <c r="F43" s="120">
        <f t="shared" si="40"/>
        <v>9</v>
      </c>
      <c r="G43" s="121"/>
      <c r="H43" s="121"/>
      <c r="I43" s="120">
        <f t="shared" si="41"/>
        <v>0</v>
      </c>
      <c r="J43" s="119"/>
      <c r="K43" s="120">
        <f t="shared" si="42"/>
        <v>8</v>
      </c>
      <c r="L43" s="122">
        <f t="shared" si="43"/>
        <v>1</v>
      </c>
      <c r="M43" s="119">
        <v>7</v>
      </c>
      <c r="N43" s="119">
        <v>16</v>
      </c>
      <c r="O43" s="119">
        <v>1</v>
      </c>
      <c r="P43" s="120">
        <f t="shared" si="44"/>
        <v>8</v>
      </c>
      <c r="Q43" s="121"/>
      <c r="R43" s="220"/>
      <c r="S43" s="120">
        <f t="shared" si="45"/>
        <v>0</v>
      </c>
      <c r="T43" s="119"/>
      <c r="U43" s="120">
        <f t="shared" si="46"/>
        <v>8</v>
      </c>
      <c r="V43" s="122">
        <f t="shared" si="47"/>
        <v>0</v>
      </c>
      <c r="W43" s="119">
        <v>7</v>
      </c>
      <c r="X43" s="119">
        <v>16</v>
      </c>
      <c r="Y43" s="119">
        <v>1</v>
      </c>
      <c r="Z43" s="120">
        <f t="shared" si="48"/>
        <v>8</v>
      </c>
      <c r="AA43" s="121"/>
      <c r="AB43" s="121"/>
      <c r="AC43" s="120">
        <f t="shared" si="49"/>
        <v>0</v>
      </c>
      <c r="AD43" s="119"/>
      <c r="AE43" s="120">
        <f t="shared" si="50"/>
        <v>8</v>
      </c>
      <c r="AF43" s="122">
        <f t="shared" si="51"/>
        <v>0</v>
      </c>
      <c r="AG43" s="221"/>
      <c r="AH43" s="222">
        <v>0</v>
      </c>
      <c r="AI43" s="223">
        <f>+K21+(IF(ISBLANK($K$5),-8,0))</f>
        <v>0</v>
      </c>
      <c r="AJ43" s="223">
        <f>IF(ISBLANK($U$5),-8,0)+U21</f>
        <v>0</v>
      </c>
      <c r="AK43" s="223">
        <f>IF(ISBLANK($AE$5),-8,0)+AE21</f>
        <v>0</v>
      </c>
      <c r="AL43" s="223">
        <f t="shared" si="52"/>
        <v>0</v>
      </c>
      <c r="AM43" s="223">
        <f t="shared" si="53"/>
        <v>0</v>
      </c>
      <c r="AN43" s="223">
        <f t="shared" si="54"/>
        <v>0</v>
      </c>
      <c r="AO43" s="223">
        <f t="shared" si="55"/>
        <v>0</v>
      </c>
      <c r="AP43" s="224">
        <f t="shared" si="56"/>
        <v>0</v>
      </c>
      <c r="AQ43" s="69"/>
      <c r="AR43" s="932">
        <f t="shared" si="57"/>
        <v>0</v>
      </c>
      <c r="AS43" s="933"/>
      <c r="AT43" s="225">
        <f t="shared" si="58"/>
        <v>6</v>
      </c>
      <c r="AU43" s="69"/>
      <c r="AV43" s="69"/>
      <c r="AW43" s="934"/>
      <c r="AX43" s="935"/>
    </row>
    <row r="44" spans="1:57" ht="14.1" customHeight="1" thickTop="1">
      <c r="B44" s="39" t="str">
        <f t="shared" si="39"/>
        <v>Miguel Tejada Ll.</v>
      </c>
      <c r="C44" s="56"/>
      <c r="D44" s="43"/>
      <c r="E44" s="54"/>
      <c r="F44" s="53">
        <f>+D44-C44-E44</f>
        <v>0</v>
      </c>
      <c r="G44" s="43"/>
      <c r="H44" s="22"/>
      <c r="I44" s="53">
        <f>+H44-G44</f>
        <v>0</v>
      </c>
      <c r="J44" s="54"/>
      <c r="K44" s="55">
        <f>+I44+F44-L44</f>
        <v>0</v>
      </c>
      <c r="L44" s="135">
        <f t="shared" si="43"/>
        <v>0</v>
      </c>
      <c r="M44" s="56">
        <v>7</v>
      </c>
      <c r="N44" s="43">
        <v>16</v>
      </c>
      <c r="O44" s="54">
        <v>1</v>
      </c>
      <c r="P44" s="53">
        <f>+N44-M44-O44</f>
        <v>8</v>
      </c>
      <c r="Q44" s="117"/>
      <c r="R44" s="226"/>
      <c r="S44" s="53">
        <f>+R44-Q44</f>
        <v>0</v>
      </c>
      <c r="T44" s="54"/>
      <c r="U44" s="55">
        <f>+S44+P44-V44</f>
        <v>8</v>
      </c>
      <c r="V44" s="135">
        <f t="shared" si="47"/>
        <v>0</v>
      </c>
      <c r="W44" s="56">
        <v>7</v>
      </c>
      <c r="X44" s="43">
        <v>16</v>
      </c>
      <c r="Y44" s="54">
        <v>1</v>
      </c>
      <c r="Z44" s="53">
        <f>+X44-W44-Y44</f>
        <v>8</v>
      </c>
      <c r="AA44" s="43"/>
      <c r="AB44" s="64"/>
      <c r="AC44" s="53">
        <f>+AB44-AA44</f>
        <v>0</v>
      </c>
      <c r="AD44" s="54"/>
      <c r="AE44" s="55">
        <f>+AC44+Z44-AF44</f>
        <v>8</v>
      </c>
      <c r="AF44" s="135">
        <f t="shared" si="51"/>
        <v>0</v>
      </c>
      <c r="AG44" s="69"/>
      <c r="AH44" s="178">
        <v>0</v>
      </c>
      <c r="AI44" s="179">
        <f>+K22+(IF(ISBLANK($K$5),-8,0))</f>
        <v>-8</v>
      </c>
      <c r="AJ44" s="179">
        <f>IF(ISBLANK($U$5),-8,0)+U22</f>
        <v>0</v>
      </c>
      <c r="AK44" s="179">
        <f>IF(ISBLANK($AE$5),-8,0)+AE22</f>
        <v>0</v>
      </c>
      <c r="AL44" s="179">
        <f t="shared" si="52"/>
        <v>0</v>
      </c>
      <c r="AM44" s="179">
        <f t="shared" si="53"/>
        <v>-8</v>
      </c>
      <c r="AN44" s="179">
        <f t="shared" si="54"/>
        <v>0</v>
      </c>
      <c r="AO44" s="179">
        <f t="shared" si="55"/>
        <v>0</v>
      </c>
      <c r="AP44" s="180">
        <f t="shared" si="56"/>
        <v>-16</v>
      </c>
      <c r="AQ44" s="69"/>
      <c r="AR44" s="919">
        <f t="shared" si="57"/>
        <v>0</v>
      </c>
      <c r="AS44" s="920"/>
      <c r="AT44" s="227">
        <f t="shared" si="58"/>
        <v>4</v>
      </c>
      <c r="AU44" s="69"/>
      <c r="AV44" s="69"/>
      <c r="AW44" s="921"/>
      <c r="AX44" s="922"/>
    </row>
    <row r="45" spans="1:57" ht="14.1" customHeight="1">
      <c r="B45" s="142" t="str">
        <f t="shared" si="39"/>
        <v>Jose Lares P.</v>
      </c>
      <c r="C45" s="50"/>
      <c r="D45" s="51"/>
      <c r="E45" s="52"/>
      <c r="F45" s="185">
        <f t="shared" ref="F45:F46" si="61">+D45-C45-E45</f>
        <v>0</v>
      </c>
      <c r="G45" s="51"/>
      <c r="H45" s="51"/>
      <c r="I45" s="185">
        <f t="shared" ref="I45:I46" si="62">+H45-G45</f>
        <v>0</v>
      </c>
      <c r="J45" s="52"/>
      <c r="K45" s="106">
        <f t="shared" ref="K45:K46" si="63">+I45+F45-L45</f>
        <v>0</v>
      </c>
      <c r="L45" s="575">
        <f t="shared" si="43"/>
        <v>0</v>
      </c>
      <c r="M45" s="51">
        <v>7</v>
      </c>
      <c r="N45" s="51">
        <v>16</v>
      </c>
      <c r="O45" s="52">
        <v>1</v>
      </c>
      <c r="P45" s="185">
        <f t="shared" ref="P45:P46" si="64">+N45-M45-O45</f>
        <v>8</v>
      </c>
      <c r="Q45" s="576"/>
      <c r="R45" s="174"/>
      <c r="S45" s="185">
        <f t="shared" ref="S45:S46" si="65">+R45-Q45</f>
        <v>0</v>
      </c>
      <c r="T45" s="52"/>
      <c r="U45" s="106">
        <f t="shared" ref="U45:U46" si="66">+S45+P45-V45</f>
        <v>8</v>
      </c>
      <c r="V45" s="575">
        <f t="shared" si="47"/>
        <v>0</v>
      </c>
      <c r="W45" s="50">
        <v>7</v>
      </c>
      <c r="X45" s="51">
        <v>16</v>
      </c>
      <c r="Y45" s="52">
        <v>1</v>
      </c>
      <c r="Z45" s="185">
        <f t="shared" ref="Z45:Z46" si="67">+X45-W45-Y45</f>
        <v>8</v>
      </c>
      <c r="AA45" s="51"/>
      <c r="AB45" s="51"/>
      <c r="AC45" s="185">
        <f t="shared" ref="AC45:AC46" si="68">+AB45-AA45</f>
        <v>0</v>
      </c>
      <c r="AD45" s="52"/>
      <c r="AE45" s="106">
        <f t="shared" ref="AE45:AE46" si="69">+AC45+Z45-AF45</f>
        <v>8</v>
      </c>
      <c r="AF45" s="575">
        <f t="shared" si="51"/>
        <v>0</v>
      </c>
      <c r="AG45" s="69"/>
      <c r="AH45" s="178">
        <v>0</v>
      </c>
      <c r="AI45" s="179">
        <f>+K23+(IF(ISBLANK($K$5),-8,0))</f>
        <v>0</v>
      </c>
      <c r="AJ45" s="179">
        <f>IF(ISBLANK($U$5),-8,0)+U23</f>
        <v>0</v>
      </c>
      <c r="AK45" s="179">
        <f>IF(ISBLANK($AE$5),-8,0)+AE23</f>
        <v>0</v>
      </c>
      <c r="AL45" s="179">
        <f t="shared" si="52"/>
        <v>0</v>
      </c>
      <c r="AM45" s="179">
        <f t="shared" si="53"/>
        <v>-8</v>
      </c>
      <c r="AN45" s="179">
        <f t="shared" si="54"/>
        <v>0</v>
      </c>
      <c r="AO45" s="179">
        <f t="shared" si="55"/>
        <v>0</v>
      </c>
      <c r="AP45" s="180">
        <f t="shared" si="56"/>
        <v>-8</v>
      </c>
      <c r="AQ45" s="69"/>
      <c r="AR45" s="919">
        <f t="shared" si="57"/>
        <v>0</v>
      </c>
      <c r="AS45" s="920"/>
      <c r="AT45" s="187">
        <f t="shared" si="58"/>
        <v>5</v>
      </c>
      <c r="AU45" s="69"/>
      <c r="AV45" s="69"/>
      <c r="AW45" s="921"/>
      <c r="AX45" s="922"/>
    </row>
    <row r="46" spans="1:57" ht="14.1" customHeight="1">
      <c r="B46" s="142" t="str">
        <f t="shared" si="39"/>
        <v>Jeeimy Davila C.</v>
      </c>
      <c r="C46" s="56">
        <v>7</v>
      </c>
      <c r="D46" s="43">
        <v>16</v>
      </c>
      <c r="E46" s="54">
        <v>1</v>
      </c>
      <c r="F46" s="53">
        <f t="shared" si="61"/>
        <v>8</v>
      </c>
      <c r="G46" s="43"/>
      <c r="H46" s="43"/>
      <c r="I46" s="53">
        <f t="shared" si="62"/>
        <v>0</v>
      </c>
      <c r="J46" s="54"/>
      <c r="K46" s="55">
        <f t="shared" si="63"/>
        <v>8</v>
      </c>
      <c r="L46" s="135">
        <f t="shared" si="43"/>
        <v>0</v>
      </c>
      <c r="M46" s="51">
        <v>7</v>
      </c>
      <c r="N46" s="51">
        <v>16</v>
      </c>
      <c r="O46" s="52">
        <v>1</v>
      </c>
      <c r="P46" s="185">
        <f t="shared" si="64"/>
        <v>8</v>
      </c>
      <c r="Q46" s="576"/>
      <c r="R46" s="174"/>
      <c r="S46" s="185">
        <f t="shared" si="65"/>
        <v>0</v>
      </c>
      <c r="T46" s="52"/>
      <c r="U46" s="106">
        <f t="shared" si="66"/>
        <v>8</v>
      </c>
      <c r="V46" s="575">
        <f t="shared" si="47"/>
        <v>0</v>
      </c>
      <c r="W46" s="50">
        <v>7</v>
      </c>
      <c r="X46" s="51">
        <v>16</v>
      </c>
      <c r="Y46" s="52">
        <v>1</v>
      </c>
      <c r="Z46" s="185">
        <f t="shared" si="67"/>
        <v>8</v>
      </c>
      <c r="AA46" s="51"/>
      <c r="AB46" s="51"/>
      <c r="AC46" s="185">
        <f t="shared" si="68"/>
        <v>0</v>
      </c>
      <c r="AD46" s="52"/>
      <c r="AE46" s="106">
        <f t="shared" si="69"/>
        <v>8</v>
      </c>
      <c r="AF46" s="575">
        <f t="shared" si="51"/>
        <v>0</v>
      </c>
      <c r="AG46" s="69"/>
      <c r="AH46" s="178">
        <v>0</v>
      </c>
      <c r="AI46" s="179">
        <f t="shared" ref="AI46:AI47" si="70">+K24+(IF(ISBLANK($K$5),-8,0))</f>
        <v>0</v>
      </c>
      <c r="AJ46" s="179">
        <f t="shared" ref="AJ46:AJ47" si="71">IF(ISBLANK($U$5),-8,0)+U24</f>
        <v>0</v>
      </c>
      <c r="AK46" s="179">
        <f t="shared" ref="AK46:AK47" si="72">IF(ISBLANK($AE$5),-8,0)+AE24</f>
        <v>0</v>
      </c>
      <c r="AL46" s="179">
        <f t="shared" si="52"/>
        <v>0</v>
      </c>
      <c r="AM46" s="179">
        <f t="shared" si="53"/>
        <v>0</v>
      </c>
      <c r="AN46" s="179">
        <f t="shared" si="54"/>
        <v>0</v>
      </c>
      <c r="AO46" s="179">
        <f t="shared" si="55"/>
        <v>0</v>
      </c>
      <c r="AP46" s="180">
        <f t="shared" si="56"/>
        <v>0</v>
      </c>
      <c r="AQ46" s="69"/>
      <c r="AR46" s="919">
        <f t="shared" ref="AR46" si="73">+X85*Q85</f>
        <v>0</v>
      </c>
      <c r="AS46" s="920"/>
      <c r="AT46" s="187">
        <f t="shared" si="58"/>
        <v>6</v>
      </c>
      <c r="AU46" s="69"/>
      <c r="AV46" s="69"/>
      <c r="AW46" s="921"/>
      <c r="AX46" s="922"/>
    </row>
    <row r="47" spans="1:57" ht="14.1" customHeight="1" thickBot="1">
      <c r="B47" s="566" t="str">
        <f t="shared" si="39"/>
        <v xml:space="preserve">   </v>
      </c>
      <c r="C47" s="610"/>
      <c r="D47" s="611"/>
      <c r="E47" s="612"/>
      <c r="F47" s="613">
        <f t="shared" si="40"/>
        <v>0</v>
      </c>
      <c r="G47" s="611"/>
      <c r="H47" s="611"/>
      <c r="I47" s="613">
        <f t="shared" si="41"/>
        <v>0</v>
      </c>
      <c r="J47" s="612"/>
      <c r="K47" s="614">
        <f t="shared" si="42"/>
        <v>0</v>
      </c>
      <c r="L47" s="615">
        <f t="shared" si="43"/>
        <v>0</v>
      </c>
      <c r="M47" s="568"/>
      <c r="N47" s="568"/>
      <c r="O47" s="569"/>
      <c r="P47" s="570">
        <f t="shared" si="44"/>
        <v>0</v>
      </c>
      <c r="Q47" s="573"/>
      <c r="R47" s="574"/>
      <c r="S47" s="570">
        <f t="shared" si="45"/>
        <v>0</v>
      </c>
      <c r="T47" s="569"/>
      <c r="U47" s="571">
        <f t="shared" si="46"/>
        <v>0</v>
      </c>
      <c r="V47" s="572">
        <f t="shared" si="47"/>
        <v>0</v>
      </c>
      <c r="W47" s="567"/>
      <c r="X47" s="568"/>
      <c r="Y47" s="569"/>
      <c r="Z47" s="570">
        <f t="shared" si="48"/>
        <v>0</v>
      </c>
      <c r="AA47" s="568"/>
      <c r="AB47" s="568"/>
      <c r="AC47" s="570">
        <f t="shared" si="49"/>
        <v>0</v>
      </c>
      <c r="AD47" s="569"/>
      <c r="AE47" s="571">
        <f t="shared" si="50"/>
        <v>0</v>
      </c>
      <c r="AF47" s="572">
        <f t="shared" si="51"/>
        <v>0</v>
      </c>
      <c r="AG47" s="69"/>
      <c r="AH47" s="178">
        <v>0</v>
      </c>
      <c r="AI47" s="179">
        <f t="shared" si="70"/>
        <v>-8</v>
      </c>
      <c r="AJ47" s="179">
        <f t="shared" si="71"/>
        <v>-8</v>
      </c>
      <c r="AK47" s="179">
        <f t="shared" si="72"/>
        <v>-8</v>
      </c>
      <c r="AL47" s="179">
        <f t="shared" si="52"/>
        <v>0</v>
      </c>
      <c r="AM47" s="179">
        <f t="shared" si="53"/>
        <v>-8</v>
      </c>
      <c r="AN47" s="179">
        <f t="shared" si="54"/>
        <v>-8</v>
      </c>
      <c r="AO47" s="179">
        <f t="shared" si="55"/>
        <v>-8</v>
      </c>
      <c r="AP47" s="180">
        <f t="shared" si="56"/>
        <v>-48</v>
      </c>
      <c r="AQ47" s="69"/>
      <c r="AR47" s="919">
        <f>+X86*Q86</f>
        <v>0</v>
      </c>
      <c r="AS47" s="920"/>
      <c r="AT47" s="187">
        <f t="shared" si="58"/>
        <v>0</v>
      </c>
      <c r="AU47" s="69"/>
      <c r="AV47" s="69"/>
      <c r="AW47" s="921"/>
      <c r="AX47" s="922"/>
    </row>
    <row r="48" spans="1:57" ht="14.1" customHeight="1">
      <c r="B48" s="239"/>
      <c r="C48" s="240"/>
      <c r="O48" s="241"/>
      <c r="P48" s="242"/>
      <c r="Q48" s="243"/>
      <c r="R48" s="243"/>
      <c r="S48" s="242"/>
      <c r="T48" s="241"/>
      <c r="U48" s="244"/>
      <c r="V48" s="245"/>
      <c r="W48" s="69"/>
      <c r="X48" s="246"/>
      <c r="Y48" s="247"/>
      <c r="Z48" s="248"/>
      <c r="AA48" s="249"/>
      <c r="AH48" s="250"/>
      <c r="AP48" s="250"/>
      <c r="AR48" s="936">
        <f>SUM(AP11:AQ25)</f>
        <v>91</v>
      </c>
      <c r="AS48" s="937"/>
      <c r="AT48" s="251">
        <f>SUM(AT33:AT47)</f>
        <v>82</v>
      </c>
    </row>
    <row r="49" spans="1:58" ht="10.15" customHeight="1">
      <c r="B49" s="239"/>
      <c r="O49" s="241"/>
      <c r="P49" s="242"/>
      <c r="Q49" s="243"/>
      <c r="R49" s="243"/>
      <c r="S49" s="242"/>
      <c r="T49" s="241"/>
      <c r="U49" s="244"/>
      <c r="V49" s="244"/>
      <c r="W49" s="69"/>
      <c r="X49" s="246"/>
      <c r="Y49" s="247"/>
      <c r="Z49" s="248"/>
      <c r="AA49" s="249"/>
      <c r="AW49" s="938">
        <f>SUM(AW33:AX47)*-1</f>
        <v>50</v>
      </c>
      <c r="AX49" s="939"/>
    </row>
    <row r="50" spans="1:58" ht="14.1" customHeight="1">
      <c r="C50" s="240" t="s">
        <v>25</v>
      </c>
      <c r="E50" s="252"/>
      <c r="O50" s="241"/>
      <c r="P50" s="242"/>
      <c r="Q50" s="243"/>
      <c r="R50" s="243"/>
      <c r="S50" s="242"/>
      <c r="T50" s="241"/>
      <c r="U50" s="244"/>
      <c r="V50" s="244"/>
      <c r="W50" s="69"/>
      <c r="X50" s="246"/>
      <c r="Y50" s="247"/>
      <c r="Z50" s="248"/>
      <c r="AA50" s="249"/>
      <c r="AC50" s="253" t="s">
        <v>26</v>
      </c>
      <c r="AD50" s="254"/>
      <c r="AE50" s="254"/>
      <c r="AF50" s="254"/>
      <c r="AG50" s="254"/>
      <c r="AH50" s="254"/>
      <c r="AI50" s="254"/>
      <c r="AJ50" s="254"/>
      <c r="AK50" s="254"/>
      <c r="AL50" s="254"/>
      <c r="AM50" s="253" t="s">
        <v>27</v>
      </c>
      <c r="AO50" s="255"/>
      <c r="AW50" s="940"/>
      <c r="AX50" s="941"/>
    </row>
    <row r="51" spans="1:58" ht="14.1" customHeight="1">
      <c r="C51" s="240"/>
      <c r="D51" s="256"/>
      <c r="E51" s="252"/>
      <c r="O51" s="241"/>
      <c r="P51" s="242"/>
      <c r="Q51" s="243"/>
      <c r="R51" s="243"/>
      <c r="S51" s="242"/>
      <c r="T51" s="241"/>
      <c r="U51" s="244"/>
      <c r="V51" s="244"/>
      <c r="W51" s="69"/>
      <c r="X51" s="246"/>
      <c r="Y51" s="247"/>
      <c r="Z51" s="248"/>
      <c r="AA51" s="249"/>
      <c r="AC51" s="253"/>
      <c r="AD51" s="254"/>
      <c r="AE51" s="254"/>
      <c r="AF51" s="254"/>
      <c r="AG51" s="254"/>
      <c r="AH51" s="254"/>
      <c r="AI51" s="254"/>
      <c r="AJ51" s="254"/>
      <c r="AK51" s="254"/>
      <c r="AL51" s="254"/>
      <c r="AM51" s="253"/>
      <c r="AO51" s="255"/>
      <c r="AW51" s="257"/>
      <c r="AX51" s="257"/>
    </row>
    <row r="52" spans="1:58" ht="14.1" customHeight="1">
      <c r="D52" s="258">
        <v>915</v>
      </c>
      <c r="E52" s="259">
        <v>1545</v>
      </c>
      <c r="F52" s="260"/>
      <c r="G52" s="258"/>
      <c r="H52" s="258"/>
      <c r="I52" s="260"/>
      <c r="J52" s="258"/>
      <c r="K52" s="261"/>
      <c r="L52" s="261"/>
      <c r="M52" s="258">
        <v>847</v>
      </c>
      <c r="N52" s="258">
        <v>1520</v>
      </c>
      <c r="O52" s="262"/>
      <c r="P52" s="263"/>
      <c r="Q52" s="264"/>
      <c r="R52" s="264"/>
      <c r="S52" s="263"/>
      <c r="T52" s="262"/>
      <c r="U52" s="265"/>
      <c r="V52" s="265"/>
      <c r="W52" s="266">
        <v>720</v>
      </c>
      <c r="X52" s="266">
        <v>1615</v>
      </c>
      <c r="Y52" s="247"/>
      <c r="Z52" s="248"/>
      <c r="AA52" s="249"/>
      <c r="AC52" s="253"/>
      <c r="AD52" s="254"/>
      <c r="AE52" s="254"/>
      <c r="AF52" s="254"/>
      <c r="AG52" s="254"/>
      <c r="AH52" s="254"/>
      <c r="AI52" s="254"/>
      <c r="AJ52" s="254"/>
      <c r="AK52" s="254"/>
      <c r="AL52" s="254"/>
      <c r="AM52" s="253"/>
      <c r="AO52" s="255"/>
      <c r="AW52" s="257"/>
      <c r="AX52" s="257"/>
    </row>
    <row r="53" spans="1:58" ht="14.1" customHeight="1">
      <c r="O53" s="241"/>
      <c r="P53" s="242"/>
      <c r="Q53" s="243"/>
      <c r="R53" s="243"/>
      <c r="S53" s="242"/>
      <c r="T53" s="241"/>
      <c r="U53" s="244"/>
      <c r="V53" s="244"/>
      <c r="W53" s="69"/>
      <c r="X53" s="246"/>
      <c r="Y53" s="247"/>
      <c r="Z53" s="248"/>
      <c r="AA53" s="249"/>
      <c r="AC53" s="253"/>
      <c r="AD53" s="254"/>
      <c r="AE53" s="254"/>
      <c r="AF53" s="254"/>
      <c r="AG53" s="254"/>
      <c r="AH53" s="254"/>
      <c r="AI53" s="254"/>
      <c r="AJ53" s="254"/>
      <c r="AK53" s="254"/>
      <c r="AL53" s="254"/>
      <c r="AM53" s="253"/>
      <c r="AO53" s="255"/>
      <c r="AW53" s="257"/>
      <c r="AX53" s="257"/>
    </row>
    <row r="54" spans="1:58" ht="14.1" customHeight="1">
      <c r="O54" s="241"/>
      <c r="P54" s="242"/>
      <c r="Q54" s="243"/>
      <c r="R54" s="243"/>
      <c r="S54" s="242"/>
      <c r="T54" s="241"/>
      <c r="U54" s="244"/>
      <c r="V54" s="244"/>
      <c r="W54" s="69"/>
      <c r="X54" s="246"/>
      <c r="Y54" s="247"/>
      <c r="Z54" s="248"/>
      <c r="AA54" s="249"/>
      <c r="AC54" s="253"/>
      <c r="AD54" s="254"/>
      <c r="AE54" s="254"/>
      <c r="AF54" s="254"/>
      <c r="AG54" s="254"/>
      <c r="AH54" s="254"/>
      <c r="AI54" s="254"/>
      <c r="AJ54" s="254"/>
      <c r="AK54" s="254"/>
      <c r="AL54" s="254"/>
      <c r="AM54" s="253"/>
      <c r="AO54" s="255"/>
      <c r="AW54" s="257"/>
      <c r="AX54" s="257"/>
    </row>
    <row r="55" spans="1:58" ht="14.1" customHeight="1" thickBot="1">
      <c r="O55" s="241"/>
      <c r="P55" s="242"/>
      <c r="Q55" s="243"/>
      <c r="R55" s="243"/>
      <c r="S55" s="242"/>
      <c r="T55" s="241"/>
      <c r="U55" s="244"/>
      <c r="V55" s="244"/>
      <c r="W55" s="69"/>
      <c r="X55" s="246"/>
      <c r="Y55" s="247"/>
      <c r="Z55" s="248"/>
      <c r="AA55" s="249"/>
      <c r="AC55" s="253"/>
      <c r="AD55" s="254"/>
      <c r="AE55" s="254"/>
      <c r="AF55" s="254"/>
      <c r="AG55" s="254"/>
      <c r="AH55" s="254"/>
      <c r="AI55" s="254"/>
      <c r="AJ55" s="254"/>
      <c r="AK55" s="254"/>
      <c r="AL55" s="254"/>
      <c r="AM55" s="253"/>
      <c r="AO55" s="255"/>
      <c r="AW55" s="257"/>
      <c r="AX55" s="257"/>
    </row>
    <row r="56" spans="1:58" ht="6.95" customHeight="1">
      <c r="C56" s="955">
        <f>+C5</f>
        <v>43874</v>
      </c>
      <c r="D56" s="744"/>
      <c r="E56" s="744"/>
      <c r="F56" s="744"/>
      <c r="G56" s="744"/>
      <c r="H56" s="744"/>
      <c r="I56" s="744"/>
      <c r="J56" s="744"/>
      <c r="K56" s="971"/>
      <c r="L56" s="972"/>
      <c r="M56" s="744">
        <f>1+C56</f>
        <v>43875</v>
      </c>
      <c r="N56" s="744"/>
      <c r="O56" s="744"/>
      <c r="P56" s="744"/>
      <c r="Q56" s="744"/>
      <c r="R56" s="744"/>
      <c r="S56" s="744"/>
      <c r="T56" s="744"/>
      <c r="U56" s="967"/>
      <c r="V56" s="968"/>
      <c r="W56" s="975">
        <f>1+M56</f>
        <v>43876</v>
      </c>
      <c r="X56" s="976"/>
      <c r="Y56" s="976"/>
      <c r="Z56" s="976"/>
      <c r="AA56" s="976"/>
      <c r="AB56" s="976"/>
      <c r="AC56" s="976"/>
      <c r="AD56" s="976"/>
      <c r="AE56" s="979"/>
      <c r="AF56" s="980"/>
      <c r="AG56" s="948">
        <f>1+W56</f>
        <v>43877</v>
      </c>
      <c r="AH56" s="949"/>
      <c r="AI56" s="949"/>
      <c r="AJ56" s="949"/>
      <c r="AK56" s="949"/>
      <c r="AL56" s="949"/>
      <c r="AM56" s="949"/>
      <c r="AN56" s="949"/>
      <c r="AO56" s="791" t="s">
        <v>2</v>
      </c>
      <c r="AW56" s="257"/>
      <c r="AX56" s="257"/>
    </row>
    <row r="57" spans="1:58" s="267" customFormat="1" ht="6.95" customHeight="1" thickBot="1">
      <c r="A57" s="1"/>
      <c r="C57" s="956"/>
      <c r="D57" s="745"/>
      <c r="E57" s="745"/>
      <c r="F57" s="745"/>
      <c r="G57" s="745"/>
      <c r="H57" s="745"/>
      <c r="I57" s="745"/>
      <c r="J57" s="745"/>
      <c r="K57" s="973"/>
      <c r="L57" s="974"/>
      <c r="M57" s="745"/>
      <c r="N57" s="745"/>
      <c r="O57" s="745"/>
      <c r="P57" s="745"/>
      <c r="Q57" s="745"/>
      <c r="R57" s="745"/>
      <c r="S57" s="745"/>
      <c r="T57" s="745"/>
      <c r="U57" s="969"/>
      <c r="V57" s="970"/>
      <c r="W57" s="977"/>
      <c r="X57" s="978"/>
      <c r="Y57" s="978"/>
      <c r="Z57" s="978"/>
      <c r="AA57" s="978"/>
      <c r="AB57" s="978"/>
      <c r="AC57" s="978"/>
      <c r="AD57" s="978"/>
      <c r="AE57" s="981"/>
      <c r="AF57" s="982"/>
      <c r="AG57" s="950"/>
      <c r="AH57" s="951"/>
      <c r="AI57" s="951"/>
      <c r="AJ57" s="951"/>
      <c r="AK57" s="951"/>
      <c r="AL57" s="951"/>
      <c r="AM57" s="951"/>
      <c r="AN57" s="951"/>
      <c r="AO57" s="792"/>
      <c r="AW57" s="257"/>
      <c r="AX57" s="257"/>
    </row>
    <row r="58" spans="1:58" ht="14.1" customHeight="1" thickBot="1">
      <c r="B58" s="268" t="str">
        <f>+B89</f>
        <v>CEQR</v>
      </c>
      <c r="C58" s="231"/>
      <c r="D58" s="232"/>
      <c r="E58" s="233"/>
      <c r="F58" s="234">
        <f>+D58-C58-E58</f>
        <v>0</v>
      </c>
      <c r="G58" s="232"/>
      <c r="H58" s="232"/>
      <c r="I58" s="234">
        <f>+H58-G58</f>
        <v>0</v>
      </c>
      <c r="J58" s="233"/>
      <c r="K58" s="235">
        <f>+I58+F58-L58</f>
        <v>0</v>
      </c>
      <c r="L58" s="269">
        <f>IF(C58&gt;0,(F58+I58)+IF(K$5&gt;0,0+F58,-8),0)</f>
        <v>0</v>
      </c>
      <c r="M58" s="270"/>
      <c r="N58" s="232"/>
      <c r="O58" s="233"/>
      <c r="P58" s="234">
        <f>+N58-M58-O58</f>
        <v>0</v>
      </c>
      <c r="Q58" s="271"/>
      <c r="R58" s="160"/>
      <c r="S58" s="234">
        <f>+R58-Q58</f>
        <v>0</v>
      </c>
      <c r="T58" s="233"/>
      <c r="U58" s="235">
        <f>+S58+P58-V58</f>
        <v>0</v>
      </c>
      <c r="V58" s="269">
        <f>IF(M58&gt;0,(P58+S58)+IF(U$5&gt;0,0+P58,-8),0)</f>
        <v>0</v>
      </c>
      <c r="W58" s="232"/>
      <c r="X58" s="232"/>
      <c r="Y58" s="233"/>
      <c r="Z58" s="234">
        <f>+X58-W58-Y58</f>
        <v>0</v>
      </c>
      <c r="AA58" s="232"/>
      <c r="AB58" s="272"/>
      <c r="AC58" s="234">
        <f>+AB58-AA58</f>
        <v>0</v>
      </c>
      <c r="AD58" s="233"/>
      <c r="AE58" s="235">
        <f>+AC58+Z58-IF(AE$5&gt;0,AF58/2,AF58)</f>
        <v>0</v>
      </c>
      <c r="AF58" s="269">
        <f>IF(W58&gt;0,IF(AE$5&gt;0,(Z58+AC58)*2,(Z58+AC58-8)),0)*IF(Z58&lt;9,IF(AE$5&gt;0,1,2),1)+IF(Z58&gt;8,AC58,0)</f>
        <v>0</v>
      </c>
      <c r="AG58" s="273"/>
      <c r="AH58" s="273"/>
      <c r="AI58" s="274"/>
      <c r="AJ58" s="275">
        <f>+AH58-AG58-AI58</f>
        <v>0</v>
      </c>
      <c r="AK58" s="276"/>
      <c r="AL58" s="276"/>
      <c r="AM58" s="277">
        <f>+AL58-AK58</f>
        <v>0</v>
      </c>
      <c r="AN58" s="274">
        <v>-3</v>
      </c>
      <c r="AO58" s="278">
        <f>(AJ58*2+AM58)</f>
        <v>0</v>
      </c>
      <c r="AP58" s="952">
        <f>+L58+V58+AF58+AO58+L62+V62+AF62-AN58</f>
        <v>3</v>
      </c>
      <c r="AQ58" s="953"/>
      <c r="AR58" s="954">
        <f>ROUND(BD58*AP58,1)</f>
        <v>29.4</v>
      </c>
      <c r="AS58" s="954"/>
      <c r="AT58" s="279" t="e">
        <f>IF(AT62&gt;0,AT62*$AT$10,0)</f>
        <v>#REF!</v>
      </c>
      <c r="AU58" s="69"/>
      <c r="AV58" s="100">
        <f>+L58</f>
        <v>0</v>
      </c>
      <c r="AW58" s="100">
        <f>+V58</f>
        <v>0</v>
      </c>
      <c r="AX58" s="100">
        <f>+AF58</f>
        <v>0</v>
      </c>
      <c r="AY58" s="101">
        <f>+AO58</f>
        <v>0</v>
      </c>
      <c r="AZ58" s="100">
        <f>+L62</f>
        <v>0</v>
      </c>
      <c r="BA58" s="100">
        <f>+V62</f>
        <v>0</v>
      </c>
      <c r="BB58" s="100">
        <f>+AF62</f>
        <v>0</v>
      </c>
      <c r="BC58" s="66"/>
      <c r="BD58" s="36">
        <f>+I89</f>
        <v>9.7916660714285708</v>
      </c>
      <c r="BE58" s="67">
        <f>+BD58*AP58</f>
        <v>29.374998214285711</v>
      </c>
      <c r="BF58" s="68">
        <f>+BD58*AY58</f>
        <v>0</v>
      </c>
    </row>
    <row r="59" spans="1:58" ht="14.1" customHeight="1" thickBot="1">
      <c r="C59" s="280"/>
      <c r="D59" s="280"/>
      <c r="E59" s="281"/>
      <c r="F59" s="282"/>
      <c r="G59" s="280"/>
      <c r="H59" s="280"/>
      <c r="I59" s="282"/>
      <c r="J59" s="281"/>
      <c r="K59" s="283"/>
      <c r="L59" s="284"/>
      <c r="M59" s="280"/>
      <c r="N59" s="280"/>
      <c r="O59" s="281"/>
      <c r="P59" s="282"/>
      <c r="Q59" s="285"/>
      <c r="R59" s="286"/>
      <c r="S59" s="282"/>
      <c r="T59" s="281"/>
      <c r="U59" s="283"/>
      <c r="V59" s="284"/>
      <c r="W59" s="280"/>
      <c r="X59" s="280"/>
      <c r="Y59" s="281"/>
      <c r="Z59" s="282"/>
      <c r="AA59" s="280"/>
      <c r="AB59" s="287"/>
      <c r="AC59" s="282"/>
      <c r="AD59" s="281"/>
      <c r="AE59" s="283"/>
      <c r="AF59" s="284"/>
      <c r="AG59" s="243"/>
      <c r="AH59" s="243"/>
      <c r="AI59" s="241"/>
      <c r="AJ59" s="288"/>
      <c r="AK59" s="289"/>
      <c r="AL59" s="289"/>
      <c r="AM59" s="242"/>
      <c r="AN59" s="241"/>
      <c r="AO59" s="244"/>
      <c r="AP59" s="243"/>
      <c r="AQ59" s="243"/>
      <c r="AR59" s="290"/>
      <c r="AS59" s="290"/>
      <c r="AT59" s="291"/>
      <c r="AU59" s="69"/>
      <c r="AV59" s="66"/>
      <c r="AW59" s="66"/>
      <c r="AX59" s="66"/>
      <c r="AY59" s="292"/>
      <c r="AZ59" s="66"/>
      <c r="BA59" s="66"/>
      <c r="BB59" s="66"/>
      <c r="BC59" s="66"/>
      <c r="BD59" s="293"/>
      <c r="BE59" s="294"/>
      <c r="BF59" s="295"/>
    </row>
    <row r="60" spans="1:58" ht="6.95" customHeight="1">
      <c r="C60" s="955">
        <f>+C27</f>
        <v>43878</v>
      </c>
      <c r="D60" s="744"/>
      <c r="E60" s="744"/>
      <c r="F60" s="744"/>
      <c r="G60" s="744"/>
      <c r="H60" s="744"/>
      <c r="I60" s="744"/>
      <c r="J60" s="744"/>
      <c r="K60" s="957"/>
      <c r="L60" s="958"/>
      <c r="M60" s="961">
        <f>1+C60</f>
        <v>43879</v>
      </c>
      <c r="N60" s="962"/>
      <c r="O60" s="962"/>
      <c r="P60" s="962"/>
      <c r="Q60" s="962"/>
      <c r="R60" s="962"/>
      <c r="S60" s="962"/>
      <c r="T60" s="963"/>
      <c r="U60" s="967"/>
      <c r="V60" s="968"/>
      <c r="W60" s="744">
        <f>1+M60</f>
        <v>43880</v>
      </c>
      <c r="X60" s="744"/>
      <c r="Y60" s="744"/>
      <c r="Z60" s="744"/>
      <c r="AA60" s="744"/>
      <c r="AB60" s="744"/>
      <c r="AC60" s="744"/>
      <c r="AD60" s="744"/>
      <c r="AE60" s="967"/>
      <c r="AF60" s="968"/>
      <c r="AG60" s="254"/>
      <c r="AH60" s="254"/>
      <c r="AI60" s="254"/>
      <c r="AJ60" s="254"/>
      <c r="AK60" s="254"/>
      <c r="AL60" s="254"/>
      <c r="AM60" s="253"/>
      <c r="AO60" s="255"/>
      <c r="AW60" s="257"/>
      <c r="AX60" s="257"/>
    </row>
    <row r="61" spans="1:58" s="267" customFormat="1" ht="6.95" customHeight="1" thickBot="1">
      <c r="A61" s="1"/>
      <c r="C61" s="956"/>
      <c r="D61" s="745"/>
      <c r="E61" s="745"/>
      <c r="F61" s="745"/>
      <c r="G61" s="745"/>
      <c r="H61" s="745"/>
      <c r="I61" s="745"/>
      <c r="J61" s="745"/>
      <c r="K61" s="959"/>
      <c r="L61" s="960"/>
      <c r="M61" s="964"/>
      <c r="N61" s="965"/>
      <c r="O61" s="965"/>
      <c r="P61" s="965"/>
      <c r="Q61" s="965"/>
      <c r="R61" s="965"/>
      <c r="S61" s="965"/>
      <c r="T61" s="966"/>
      <c r="U61" s="969"/>
      <c r="V61" s="970"/>
      <c r="W61" s="745"/>
      <c r="X61" s="745"/>
      <c r="Y61" s="745"/>
      <c r="Z61" s="745"/>
      <c r="AA61" s="745"/>
      <c r="AB61" s="745"/>
      <c r="AC61" s="745"/>
      <c r="AD61" s="745"/>
      <c r="AE61" s="969"/>
      <c r="AF61" s="970"/>
      <c r="AG61" s="296"/>
      <c r="AH61" s="296"/>
      <c r="AI61" s="296"/>
      <c r="AJ61" s="296"/>
      <c r="AK61" s="296"/>
      <c r="AL61" s="296"/>
      <c r="AM61" s="297"/>
      <c r="AO61" s="298"/>
      <c r="AW61" s="257"/>
      <c r="AX61" s="257"/>
    </row>
    <row r="62" spans="1:58" ht="14.1" customHeight="1" thickBot="1">
      <c r="B62" s="268" t="str">
        <f>+B58</f>
        <v>CEQR</v>
      </c>
      <c r="C62" s="231"/>
      <c r="D62" s="232"/>
      <c r="E62" s="233"/>
      <c r="F62" s="234">
        <f>+D62-C62-E62</f>
        <v>0</v>
      </c>
      <c r="G62" s="271"/>
      <c r="H62" s="160"/>
      <c r="I62" s="234">
        <f>+H62-G62</f>
        <v>0</v>
      </c>
      <c r="J62" s="233"/>
      <c r="K62" s="235">
        <f>+I62+F62-L62</f>
        <v>0</v>
      </c>
      <c r="L62" s="269">
        <f>IF(C62&gt;0,(F62+I62)+IF(K$27&gt;0,0+F62,-8),0)</f>
        <v>0</v>
      </c>
      <c r="M62" s="276"/>
      <c r="N62" s="276"/>
      <c r="O62" s="274"/>
      <c r="P62" s="277">
        <f>+N62-M62-O62</f>
        <v>0</v>
      </c>
      <c r="Q62" s="273"/>
      <c r="R62" s="276"/>
      <c r="S62" s="234">
        <f>+R62-Q62</f>
        <v>0</v>
      </c>
      <c r="T62" s="274"/>
      <c r="U62" s="299">
        <f>+S62+P62-V62</f>
        <v>0</v>
      </c>
      <c r="V62" s="300">
        <f>IF(M62&gt;0,(P62+S62)+IF(U$27&gt;0,0+P62,-8),0)</f>
        <v>0</v>
      </c>
      <c r="W62" s="301"/>
      <c r="X62" s="276"/>
      <c r="Y62" s="274"/>
      <c r="Z62" s="277">
        <f>+X62-W62-Y62</f>
        <v>0</v>
      </c>
      <c r="AA62" s="276"/>
      <c r="AB62" s="276"/>
      <c r="AC62" s="234">
        <f>+AB62-AA62</f>
        <v>0</v>
      </c>
      <c r="AD62" s="274"/>
      <c r="AE62" s="299">
        <f>+AC62+Z62-AF62</f>
        <v>0</v>
      </c>
      <c r="AF62" s="236">
        <f>IF(W62&gt;0,(Z62+AC62)+IF(AE$27&gt;0,0+Z62,-8),0)</f>
        <v>0</v>
      </c>
      <c r="AG62" s="69"/>
      <c r="AH62" s="302">
        <v>0</v>
      </c>
      <c r="AI62" s="303">
        <f>+K58+(IF(ISBLANK($K$56),-8,0))</f>
        <v>-8</v>
      </c>
      <c r="AJ62" s="303">
        <f>IF(ISBLANK($U$56),-8,0)+U58</f>
        <v>-8</v>
      </c>
      <c r="AK62" s="304">
        <f>IF(ISBLANK($AE$56),-8,0)+AE58</f>
        <v>-8</v>
      </c>
      <c r="AL62" s="303">
        <f>IF(ISBLANK($AO$56),-8,0)+AM58+AW62</f>
        <v>0</v>
      </c>
      <c r="AM62" s="303">
        <f>IF(ISBLANK($K$60),-8,0)+K62</f>
        <v>-8</v>
      </c>
      <c r="AN62" s="303">
        <f>IF(ISBLANK($U$60),-8,0)+U62</f>
        <v>-8</v>
      </c>
      <c r="AO62" s="303">
        <f>IF(ISBLANK($AE$60),-8,0)+AE62</f>
        <v>-8</v>
      </c>
      <c r="AP62" s="305">
        <f>SUM(AH62:AO62)</f>
        <v>-48</v>
      </c>
      <c r="AQ62" s="306"/>
      <c r="AR62" s="994">
        <f>+X89*Q89</f>
        <v>0</v>
      </c>
      <c r="AS62" s="995"/>
      <c r="AT62" s="307" t="e">
        <f>IF(#REF!+#REF!&gt;0,1,0)+IF(#REF!+#REF!&gt;0,1,0)+IF(#REF!+#REF!&gt;0,1,0)+IF(#REF!&gt;3,1,0)+IF(K62+L62&gt;0,1,0)+IF(U62+V62&gt;0,1,0)+IF(AE62+AF62&gt;0,1,0)</f>
        <v>#REF!</v>
      </c>
      <c r="AU62" s="69"/>
      <c r="AV62" s="69"/>
      <c r="AW62" s="921"/>
      <c r="AX62" s="922"/>
    </row>
    <row r="63" spans="1:58" ht="14.1" customHeight="1">
      <c r="O63" s="241"/>
      <c r="P63" s="242"/>
      <c r="Q63" s="243"/>
      <c r="R63" s="243"/>
      <c r="S63" s="242"/>
      <c r="T63" s="241"/>
      <c r="U63" s="244"/>
      <c r="V63" s="244"/>
      <c r="W63" s="69"/>
      <c r="X63" s="246"/>
      <c r="Y63" s="247"/>
      <c r="Z63" s="248"/>
      <c r="AA63" s="249"/>
      <c r="AC63" s="253"/>
      <c r="AD63" s="254"/>
      <c r="AE63" s="254"/>
      <c r="AF63" s="254"/>
      <c r="AG63" s="254"/>
      <c r="AH63" s="254"/>
      <c r="AI63" s="254"/>
      <c r="AJ63" s="254"/>
      <c r="AK63" s="996"/>
      <c r="AL63" s="996"/>
      <c r="AM63" s="253"/>
      <c r="AO63" s="255"/>
      <c r="AW63" s="257"/>
      <c r="AX63" s="257"/>
    </row>
    <row r="64" spans="1:58" ht="14.1" customHeight="1">
      <c r="O64" s="241"/>
      <c r="P64" s="242"/>
      <c r="Q64" s="243"/>
      <c r="R64" s="243"/>
      <c r="S64" s="242"/>
      <c r="T64" s="241"/>
      <c r="U64" s="244"/>
      <c r="V64" s="244"/>
      <c r="W64" s="69"/>
      <c r="X64" s="246"/>
      <c r="Y64" s="247"/>
      <c r="AW64" s="257"/>
      <c r="AX64" s="257"/>
    </row>
    <row r="65" spans="1:50" ht="18" customHeight="1">
      <c r="C65" s="240" t="s">
        <v>28</v>
      </c>
      <c r="O65" s="241"/>
      <c r="P65" s="242"/>
      <c r="Q65" s="243"/>
      <c r="R65" s="243"/>
      <c r="S65" s="242"/>
      <c r="T65" s="241"/>
      <c r="U65" s="244"/>
      <c r="V65" s="244"/>
      <c r="W65" s="69"/>
      <c r="X65" s="246"/>
      <c r="Y65" s="247"/>
      <c r="AW65" s="257"/>
      <c r="AX65" s="257"/>
    </row>
    <row r="66" spans="1:50" ht="3" customHeight="1">
      <c r="Q66" s="308"/>
      <c r="R66" s="309"/>
      <c r="S66" s="310"/>
      <c r="T66" s="311"/>
      <c r="AX66" s="257"/>
    </row>
    <row r="67" spans="1:50" ht="14.1" customHeight="1" thickBot="1">
      <c r="B67" s="7" t="s">
        <v>29</v>
      </c>
      <c r="C67" s="997" t="s">
        <v>30</v>
      </c>
      <c r="D67" s="997"/>
      <c r="E67" s="997" t="s">
        <v>31</v>
      </c>
      <c r="F67" s="997"/>
      <c r="G67" s="998" t="s">
        <v>32</v>
      </c>
      <c r="H67" s="999"/>
      <c r="I67" s="1004" t="s">
        <v>33</v>
      </c>
      <c r="J67" s="1005"/>
      <c r="K67" s="1006" t="s">
        <v>34</v>
      </c>
      <c r="L67" s="1006"/>
      <c r="M67" s="6"/>
      <c r="N67" s="1007" t="s">
        <v>35</v>
      </c>
      <c r="O67" s="1007"/>
      <c r="P67" s="6"/>
      <c r="Q67" s="1008" t="s">
        <v>36</v>
      </c>
      <c r="R67" s="1009"/>
      <c r="U67" s="1019" t="s">
        <v>37</v>
      </c>
      <c r="V67" s="1022" t="s">
        <v>38</v>
      </c>
      <c r="W67" s="1025" t="s">
        <v>39</v>
      </c>
      <c r="X67" s="983" t="s">
        <v>40</v>
      </c>
      <c r="AX67" s="257"/>
    </row>
    <row r="68" spans="1:50" ht="14.1" customHeight="1">
      <c r="B68" s="7" t="s">
        <v>41</v>
      </c>
      <c r="C68" s="997"/>
      <c r="D68" s="997"/>
      <c r="E68" s="997"/>
      <c r="F68" s="997"/>
      <c r="G68" s="1000"/>
      <c r="H68" s="1001"/>
      <c r="I68" s="1004"/>
      <c r="J68" s="1005"/>
      <c r="K68" s="1006"/>
      <c r="L68" s="1006"/>
      <c r="M68" s="6"/>
      <c r="N68" s="1007"/>
      <c r="O68" s="1007"/>
      <c r="P68" s="6"/>
      <c r="Q68" s="1010"/>
      <c r="R68" s="1011"/>
      <c r="U68" s="1020"/>
      <c r="V68" s="1023"/>
      <c r="W68" s="1026"/>
      <c r="X68" s="984"/>
      <c r="AA68" s="312"/>
      <c r="AB68" s="313"/>
      <c r="AC68" s="314"/>
      <c r="AD68" s="315"/>
      <c r="AE68" s="316"/>
      <c r="AF68" s="316"/>
      <c r="AG68" s="316"/>
      <c r="AH68" s="316"/>
      <c r="AI68" s="316"/>
      <c r="AJ68" s="316"/>
      <c r="AK68" s="316"/>
      <c r="AL68" s="316"/>
      <c r="AM68" s="316"/>
      <c r="AN68" s="314"/>
      <c r="AO68" s="314"/>
      <c r="AP68" s="314"/>
      <c r="AQ68" s="314"/>
      <c r="AR68" s="317"/>
      <c r="AX68" s="257"/>
    </row>
    <row r="69" spans="1:50" ht="14.1" customHeight="1">
      <c r="B69" s="7" t="s">
        <v>42</v>
      </c>
      <c r="C69" s="997"/>
      <c r="D69" s="997"/>
      <c r="E69" s="997"/>
      <c r="F69" s="997"/>
      <c r="G69" s="1000"/>
      <c r="H69" s="1001"/>
      <c r="I69" s="1004"/>
      <c r="J69" s="1005"/>
      <c r="K69" s="1006"/>
      <c r="L69" s="1006"/>
      <c r="M69" s="6"/>
      <c r="N69" s="1007"/>
      <c r="O69" s="1007"/>
      <c r="P69" s="6"/>
      <c r="Q69" s="1012"/>
      <c r="R69" s="1013"/>
      <c r="U69" s="1020"/>
      <c r="V69" s="1023"/>
      <c r="W69" s="1026"/>
      <c r="X69" s="984"/>
      <c r="AA69" s="318"/>
      <c r="AB69" s="319" t="s">
        <v>43</v>
      </c>
      <c r="AC69" s="320"/>
      <c r="AD69" s="320"/>
      <c r="AE69" s="320"/>
      <c r="AF69" s="321"/>
      <c r="AG69" s="321"/>
      <c r="AH69" s="320"/>
      <c r="AI69" s="320"/>
      <c r="AJ69" s="320"/>
      <c r="AK69" s="320"/>
      <c r="AL69" s="320"/>
      <c r="AM69" s="320"/>
      <c r="AN69" s="320"/>
      <c r="AO69" s="322"/>
      <c r="AP69" s="322"/>
      <c r="AQ69" s="323"/>
      <c r="AR69" s="324"/>
      <c r="AT69" s="254"/>
      <c r="AX69" s="257"/>
    </row>
    <row r="70" spans="1:50" ht="27" thickBot="1">
      <c r="B70" s="325" t="s">
        <v>44</v>
      </c>
      <c r="C70" s="986">
        <f>+E70*7</f>
        <v>217</v>
      </c>
      <c r="D70" s="986"/>
      <c r="E70" s="987">
        <f>+K70/30</f>
        <v>31</v>
      </c>
      <c r="F70" s="987"/>
      <c r="G70" s="1000"/>
      <c r="H70" s="1001"/>
      <c r="I70" s="988">
        <f>+E70/8</f>
        <v>3.875</v>
      </c>
      <c r="J70" s="989"/>
      <c r="K70" s="990">
        <f>850+80</f>
        <v>930</v>
      </c>
      <c r="L70" s="990"/>
      <c r="M70" s="326"/>
      <c r="N70" s="991">
        <f>+I70/6*7</f>
        <v>4.5208333333333339</v>
      </c>
      <c r="O70" s="992"/>
      <c r="P70" s="326"/>
      <c r="Q70" s="993">
        <f>+$I$71-I70</f>
        <v>1.3562500000000002</v>
      </c>
      <c r="R70" s="993"/>
      <c r="U70" s="1020"/>
      <c r="V70" s="1023"/>
      <c r="W70" s="1026"/>
      <c r="X70" s="984"/>
      <c r="AA70" s="327"/>
      <c r="AB70" s="328"/>
      <c r="AC70" s="328"/>
      <c r="AD70" s="328"/>
      <c r="AE70" s="328"/>
      <c r="AF70" s="328"/>
      <c r="AG70" s="328"/>
      <c r="AH70" s="328"/>
      <c r="AI70" s="328"/>
      <c r="AJ70" s="328"/>
      <c r="AK70" s="328"/>
      <c r="AL70" s="328"/>
      <c r="AM70" s="328"/>
      <c r="AN70" s="328"/>
      <c r="AO70" s="329" t="s">
        <v>45</v>
      </c>
      <c r="AP70" s="330"/>
      <c r="AQ70" s="328"/>
      <c r="AR70" s="331"/>
    </row>
    <row r="71" spans="1:50" ht="24.75">
      <c r="B71" s="332" t="s">
        <v>46</v>
      </c>
      <c r="C71" s="1014">
        <f>+E71*7</f>
        <v>292.95</v>
      </c>
      <c r="D71" s="1014"/>
      <c r="E71" s="1015">
        <f>+K71/30</f>
        <v>41.85</v>
      </c>
      <c r="F71" s="1015"/>
      <c r="G71" s="1002"/>
      <c r="H71" s="1003"/>
      <c r="I71" s="1016">
        <f>+E71/8</f>
        <v>5.2312500000000002</v>
      </c>
      <c r="J71" s="1017"/>
      <c r="K71" s="1018">
        <f>+K70*1.35</f>
        <v>1255.5</v>
      </c>
      <c r="L71" s="1018"/>
      <c r="M71" s="326"/>
      <c r="N71" s="991">
        <f>+I71/6*7</f>
        <v>6.1031250000000004</v>
      </c>
      <c r="O71" s="992"/>
      <c r="P71" s="326"/>
      <c r="Q71" s="993">
        <f>+$I$71-I71</f>
        <v>0</v>
      </c>
      <c r="R71" s="993"/>
      <c r="U71" s="1020"/>
      <c r="V71" s="1023"/>
      <c r="W71" s="1026"/>
      <c r="X71" s="984"/>
      <c r="AA71" s="333"/>
      <c r="AB71" s="333"/>
      <c r="AC71" s="333"/>
      <c r="AD71" s="333"/>
      <c r="AE71" s="333"/>
      <c r="AF71" s="167"/>
      <c r="AG71" s="167"/>
      <c r="AH71" s="167"/>
      <c r="AJ71" s="296"/>
      <c r="AK71" s="296"/>
      <c r="AL71" s="296"/>
      <c r="AM71" s="296"/>
      <c r="AN71" s="296"/>
      <c r="AO71" s="296"/>
      <c r="AP71" s="296"/>
      <c r="AQ71" s="296"/>
      <c r="AR71" s="296"/>
    </row>
    <row r="72" spans="1:50" ht="2.1" customHeight="1" thickBot="1">
      <c r="B72" s="334"/>
      <c r="C72" s="258"/>
      <c r="D72" s="258"/>
      <c r="G72" s="335"/>
      <c r="H72" s="335"/>
      <c r="I72" s="336"/>
      <c r="J72" s="336"/>
      <c r="K72" s="337"/>
      <c r="L72" s="337"/>
      <c r="M72" s="6"/>
      <c r="N72" s="338"/>
      <c r="O72" s="338"/>
      <c r="P72" s="6"/>
      <c r="Q72" s="339"/>
      <c r="R72" s="339"/>
      <c r="U72" s="1021"/>
      <c r="V72" s="1024"/>
      <c r="W72" s="1027"/>
      <c r="X72" s="985"/>
      <c r="AA72" s="3"/>
    </row>
    <row r="73" spans="1:50" ht="16.5">
      <c r="A73" s="1">
        <v>1</v>
      </c>
      <c r="B73" s="340" t="s">
        <v>47</v>
      </c>
      <c r="C73" s="1040">
        <f>6*3+7*33.8</f>
        <v>254.59999999999997</v>
      </c>
      <c r="D73" s="1041"/>
      <c r="E73" s="1030">
        <f t="shared" ref="E73:E79" si="74">+C73/7</f>
        <v>36.371428571428567</v>
      </c>
      <c r="F73" s="1031"/>
      <c r="G73" s="341"/>
      <c r="H73" s="341"/>
      <c r="I73" s="1032">
        <f t="shared" ref="I73:I85" si="75">+E73/8</f>
        <v>4.5464285714285708</v>
      </c>
      <c r="J73" s="1033"/>
      <c r="K73" s="1034">
        <f t="shared" ref="K73:K85" si="76">+E73*30</f>
        <v>1091.1428571428569</v>
      </c>
      <c r="L73" s="1034"/>
      <c r="M73" s="6"/>
      <c r="N73" s="1035">
        <f t="shared" ref="N73:N89" si="77">+I73/6*7</f>
        <v>5.3041666666666654</v>
      </c>
      <c r="O73" s="1035"/>
      <c r="P73" s="6"/>
      <c r="Q73" s="1036">
        <f>+$I$71-I73</f>
        <v>0.68482142857142936</v>
      </c>
      <c r="R73" s="1037"/>
      <c r="U73" s="342">
        <f t="shared" ref="U73:U85" si="78">+AE33+U33+K33+AO11+AE11+U11+K11</f>
        <v>48.5</v>
      </c>
      <c r="V73" s="343">
        <v>48</v>
      </c>
      <c r="W73" s="344">
        <f t="shared" ref="W73:W89" si="79">+V73-U73</f>
        <v>-0.5</v>
      </c>
      <c r="X73" s="345">
        <f t="shared" ref="X73:X85" si="80">+J11+T11+AD11+J33+T33+AD33</f>
        <v>0</v>
      </c>
      <c r="Y73" s="1038">
        <f>+X73*Q73</f>
        <v>0</v>
      </c>
      <c r="Z73" s="1039"/>
      <c r="AA73" s="346"/>
      <c r="AB73" s="347"/>
      <c r="AC73" s="348"/>
      <c r="AD73" s="349"/>
      <c r="AE73" s="350"/>
      <c r="AF73" s="350"/>
      <c r="AG73" s="350"/>
      <c r="AH73" s="350"/>
      <c r="AI73" s="350"/>
      <c r="AJ73" s="350"/>
      <c r="AK73" s="350"/>
      <c r="AL73" s="350"/>
      <c r="AM73" s="350"/>
      <c r="AN73" s="348"/>
      <c r="AO73" s="348"/>
      <c r="AP73" s="348"/>
      <c r="AQ73" s="348"/>
      <c r="AR73" s="351"/>
    </row>
    <row r="74" spans="1:50" ht="16.5">
      <c r="A74" s="1">
        <v>2</v>
      </c>
      <c r="B74" s="340" t="s">
        <v>48</v>
      </c>
      <c r="C74" s="1040">
        <f>6*3+7*38.5</f>
        <v>287.5</v>
      </c>
      <c r="D74" s="1041"/>
      <c r="E74" s="1030">
        <f t="shared" si="74"/>
        <v>41.071428571428569</v>
      </c>
      <c r="F74" s="1031"/>
      <c r="G74" s="341"/>
      <c r="H74" s="341"/>
      <c r="I74" s="1032">
        <f t="shared" si="75"/>
        <v>5.1339285714285712</v>
      </c>
      <c r="J74" s="1033"/>
      <c r="K74" s="1034">
        <f t="shared" si="76"/>
        <v>1232.1428571428571</v>
      </c>
      <c r="L74" s="1034"/>
      <c r="M74" s="6"/>
      <c r="N74" s="1035">
        <f t="shared" si="77"/>
        <v>5.989583333333333</v>
      </c>
      <c r="O74" s="1035"/>
      <c r="P74" s="6"/>
      <c r="Q74" s="1036">
        <f>+$I$71-I74</f>
        <v>9.7321428571429003E-2</v>
      </c>
      <c r="R74" s="1037"/>
      <c r="U74" s="342">
        <f t="shared" si="78"/>
        <v>66.5</v>
      </c>
      <c r="V74" s="343">
        <v>48</v>
      </c>
      <c r="W74" s="344">
        <f t="shared" si="79"/>
        <v>-18.5</v>
      </c>
      <c r="X74" s="345">
        <f t="shared" si="80"/>
        <v>0</v>
      </c>
      <c r="Y74" s="1038">
        <f>+X74*Q74</f>
        <v>0</v>
      </c>
      <c r="Z74" s="1039"/>
      <c r="AA74" s="352"/>
      <c r="AB74" s="353" t="s">
        <v>49</v>
      </c>
      <c r="AC74" s="354"/>
      <c r="AD74" s="354"/>
      <c r="AE74" s="354"/>
      <c r="AF74" s="355"/>
      <c r="AG74" s="355"/>
      <c r="AH74" s="354"/>
      <c r="AI74" s="354"/>
      <c r="AJ74" s="354"/>
      <c r="AK74" s="354"/>
      <c r="AL74" s="354"/>
      <c r="AM74" s="354"/>
      <c r="AN74" s="354"/>
      <c r="AO74" s="356"/>
      <c r="AP74" s="356"/>
      <c r="AQ74" s="357"/>
      <c r="AR74" s="358"/>
    </row>
    <row r="75" spans="1:50" ht="16.5">
      <c r="A75" s="1">
        <v>5</v>
      </c>
      <c r="B75" s="340" t="s">
        <v>52</v>
      </c>
      <c r="C75" s="1028">
        <f>6*3+7*38.5</f>
        <v>287.5</v>
      </c>
      <c r="D75" s="1029"/>
      <c r="E75" s="1030">
        <f t="shared" si="74"/>
        <v>41.071428571428569</v>
      </c>
      <c r="F75" s="1031"/>
      <c r="G75" s="341"/>
      <c r="H75" s="341"/>
      <c r="I75" s="1032">
        <f t="shared" si="75"/>
        <v>5.1339285714285712</v>
      </c>
      <c r="J75" s="1033"/>
      <c r="K75" s="1034">
        <f t="shared" si="76"/>
        <v>1232.1428571428571</v>
      </c>
      <c r="L75" s="1034"/>
      <c r="M75" s="6"/>
      <c r="N75" s="1035">
        <f t="shared" si="77"/>
        <v>5.989583333333333</v>
      </c>
      <c r="O75" s="1035"/>
      <c r="P75" s="6"/>
      <c r="Q75" s="1036">
        <f>+$I$71-I75</f>
        <v>9.7321428571429003E-2</v>
      </c>
      <c r="R75" s="1037"/>
      <c r="U75" s="342">
        <f t="shared" si="78"/>
        <v>64.5</v>
      </c>
      <c r="V75" s="343">
        <v>48</v>
      </c>
      <c r="W75" s="344">
        <f t="shared" si="79"/>
        <v>-16.5</v>
      </c>
      <c r="X75" s="345">
        <f t="shared" si="80"/>
        <v>0</v>
      </c>
    </row>
    <row r="76" spans="1:50" ht="16.5">
      <c r="A76" s="1">
        <v>7</v>
      </c>
      <c r="B76" s="365" t="s">
        <v>53</v>
      </c>
      <c r="C76" s="1042">
        <f>6*3+7*(38.5)</f>
        <v>287.5</v>
      </c>
      <c r="D76" s="1043"/>
      <c r="E76" s="1030">
        <f t="shared" si="74"/>
        <v>41.071428571428569</v>
      </c>
      <c r="F76" s="1031"/>
      <c r="G76" s="1046"/>
      <c r="H76" s="1047"/>
      <c r="I76" s="1032">
        <f t="shared" si="75"/>
        <v>5.1339285714285712</v>
      </c>
      <c r="J76" s="1033"/>
      <c r="K76" s="1034">
        <f t="shared" si="76"/>
        <v>1232.1428571428571</v>
      </c>
      <c r="L76" s="1034"/>
      <c r="M76" s="6"/>
      <c r="N76" s="1035">
        <f>+I76/6*7</f>
        <v>5.989583333333333</v>
      </c>
      <c r="O76" s="1035"/>
      <c r="P76" s="6"/>
      <c r="Q76" s="1036">
        <f>+$I$71-I76</f>
        <v>9.7321428571429003E-2</v>
      </c>
      <c r="R76" s="1037"/>
      <c r="U76" s="342">
        <f t="shared" si="78"/>
        <v>45</v>
      </c>
      <c r="V76" s="343">
        <v>48</v>
      </c>
      <c r="W76" s="344">
        <f>+V76-U76</f>
        <v>3</v>
      </c>
      <c r="X76" s="345">
        <f t="shared" si="80"/>
        <v>0</v>
      </c>
      <c r="AD76"/>
    </row>
    <row r="77" spans="1:50" ht="16.5">
      <c r="A77" s="1">
        <v>2</v>
      </c>
      <c r="B77" s="359" t="s">
        <v>62</v>
      </c>
      <c r="C77" s="1042">
        <f>6*3+7*(28.4286)</f>
        <v>217.00020000000001</v>
      </c>
      <c r="D77" s="1043"/>
      <c r="E77" s="1030">
        <f>+C77/7</f>
        <v>31.000028571428572</v>
      </c>
      <c r="F77" s="1031"/>
      <c r="G77" s="1044"/>
      <c r="H77" s="1045"/>
      <c r="I77" s="1032">
        <f>+E77/8</f>
        <v>3.8750035714285715</v>
      </c>
      <c r="J77" s="1033"/>
      <c r="K77" s="1034">
        <f>+E77*30</f>
        <v>930.00085714285717</v>
      </c>
      <c r="L77" s="1034"/>
      <c r="M77" s="6"/>
      <c r="N77" s="1035">
        <f>+I77/6*7</f>
        <v>4.5208375000000007</v>
      </c>
      <c r="O77" s="1035"/>
      <c r="P77" s="6"/>
      <c r="Q77" s="1036">
        <f>+$I$71-I77</f>
        <v>1.3562464285714286</v>
      </c>
      <c r="R77" s="1037"/>
      <c r="U77" s="342">
        <f t="shared" si="78"/>
        <v>48</v>
      </c>
      <c r="V77" s="343">
        <v>48</v>
      </c>
      <c r="W77" s="344">
        <f>+V77-U77</f>
        <v>0</v>
      </c>
      <c r="X77" s="345">
        <f t="shared" si="80"/>
        <v>0</v>
      </c>
    </row>
    <row r="78" spans="1:50" ht="16.5">
      <c r="B78" s="359" t="s">
        <v>55</v>
      </c>
      <c r="C78" s="1042">
        <f t="shared" ref="C78:C83" si="81">6*3+7*(28.4286)</f>
        <v>217.00020000000001</v>
      </c>
      <c r="D78" s="1043"/>
      <c r="E78" s="1030">
        <f t="shared" si="74"/>
        <v>31.000028571428572</v>
      </c>
      <c r="F78" s="1031"/>
      <c r="G78" s="1044"/>
      <c r="H78" s="1045"/>
      <c r="I78" s="1032">
        <f t="shared" si="75"/>
        <v>3.8750035714285715</v>
      </c>
      <c r="J78" s="1033"/>
      <c r="K78" s="1034">
        <f t="shared" si="76"/>
        <v>930.00085714285717</v>
      </c>
      <c r="L78" s="1034"/>
      <c r="M78" s="6"/>
      <c r="N78" s="1050">
        <f t="shared" si="77"/>
        <v>4.5208375000000007</v>
      </c>
      <c r="O78" s="1051"/>
      <c r="P78" s="6"/>
      <c r="Q78" s="1048">
        <f t="shared" ref="Q78:Q89" si="82">+$I$71-I78</f>
        <v>1.3562464285714286</v>
      </c>
      <c r="R78" s="1049"/>
      <c r="U78" s="342">
        <f t="shared" si="78"/>
        <v>48</v>
      </c>
      <c r="V78" s="343">
        <v>48</v>
      </c>
      <c r="W78" s="344">
        <f t="shared" si="79"/>
        <v>0</v>
      </c>
      <c r="X78" s="345">
        <f t="shared" si="80"/>
        <v>0</v>
      </c>
      <c r="Y78" s="1038">
        <f>+X78*Q78</f>
        <v>0</v>
      </c>
      <c r="Z78" s="1039"/>
      <c r="AA78" s="372"/>
      <c r="AB78" s="682"/>
      <c r="AC78" s="682"/>
      <c r="AD78" s="682"/>
      <c r="AE78" s="296"/>
      <c r="AF78" s="296"/>
      <c r="AG78" s="681"/>
      <c r="AH78" s="681"/>
      <c r="AI78" s="681"/>
      <c r="AJ78" s="681"/>
      <c r="AK78" s="681"/>
      <c r="AL78" s="681"/>
      <c r="AM78" s="681"/>
      <c r="AN78" s="681"/>
      <c r="AO78" s="681"/>
      <c r="AP78" s="681"/>
      <c r="AQ78" s="681"/>
      <c r="AR78" s="681"/>
      <c r="AS78" s="296"/>
      <c r="AT78" s="296"/>
    </row>
    <row r="79" spans="1:50" ht="16.5">
      <c r="B79" s="359" t="s">
        <v>56</v>
      </c>
      <c r="C79" s="1042">
        <f t="shared" si="81"/>
        <v>217.00020000000001</v>
      </c>
      <c r="D79" s="1043"/>
      <c r="E79" s="1030">
        <f t="shared" si="74"/>
        <v>31.000028571428572</v>
      </c>
      <c r="F79" s="1031"/>
      <c r="G79" s="1044"/>
      <c r="H79" s="1045"/>
      <c r="I79" s="1032">
        <f t="shared" si="75"/>
        <v>3.8750035714285715</v>
      </c>
      <c r="J79" s="1033"/>
      <c r="K79" s="1034">
        <f t="shared" si="76"/>
        <v>930.00085714285717</v>
      </c>
      <c r="L79" s="1034"/>
      <c r="M79" s="6"/>
      <c r="N79" s="1050">
        <f t="shared" si="77"/>
        <v>4.5208375000000007</v>
      </c>
      <c r="O79" s="1051"/>
      <c r="P79" s="6"/>
      <c r="Q79" s="1048">
        <f t="shared" si="82"/>
        <v>1.3562464285714286</v>
      </c>
      <c r="R79" s="1049"/>
      <c r="U79" s="342">
        <f t="shared" si="78"/>
        <v>56</v>
      </c>
      <c r="V79" s="343">
        <v>48</v>
      </c>
      <c r="W79" s="344">
        <f t="shared" si="79"/>
        <v>-8</v>
      </c>
      <c r="X79" s="345">
        <f t="shared" si="80"/>
        <v>0</v>
      </c>
      <c r="Y79" s="1038">
        <f>+X79*Q79</f>
        <v>0</v>
      </c>
      <c r="Z79" s="1039"/>
      <c r="AA79" s="372"/>
      <c r="AB79" s="682"/>
      <c r="AC79" s="682"/>
      <c r="AD79" s="682"/>
      <c r="AE79" s="296"/>
      <c r="AF79" s="296"/>
      <c r="AG79" s="681"/>
      <c r="AH79" s="681"/>
      <c r="AI79" s="681"/>
      <c r="AJ79" s="681"/>
      <c r="AK79" s="681"/>
      <c r="AL79" s="681"/>
      <c r="AM79" s="681"/>
      <c r="AN79" s="681"/>
      <c r="AO79" s="681"/>
      <c r="AP79" s="681"/>
      <c r="AQ79" s="681"/>
      <c r="AR79" s="681"/>
      <c r="AS79" s="296"/>
      <c r="AT79" s="296"/>
    </row>
    <row r="80" spans="1:50" ht="16.5">
      <c r="A80" s="366"/>
      <c r="B80" s="359" t="s">
        <v>57</v>
      </c>
      <c r="C80" s="1042">
        <f t="shared" si="81"/>
        <v>217.00020000000001</v>
      </c>
      <c r="D80" s="1043"/>
      <c r="E80" s="1030">
        <f>+C80/7</f>
        <v>31.000028571428572</v>
      </c>
      <c r="F80" s="1031"/>
      <c r="G80" s="1044"/>
      <c r="H80" s="1045"/>
      <c r="I80" s="1032">
        <f t="shared" si="75"/>
        <v>3.8750035714285715</v>
      </c>
      <c r="J80" s="1033"/>
      <c r="K80" s="1034">
        <f t="shared" si="76"/>
        <v>930.00085714285717</v>
      </c>
      <c r="L80" s="1034"/>
      <c r="M80" s="6"/>
      <c r="N80" s="1050">
        <f>+I80/6*7</f>
        <v>4.5208375000000007</v>
      </c>
      <c r="O80" s="1051"/>
      <c r="P80" s="6"/>
      <c r="Q80" s="1048">
        <f t="shared" si="82"/>
        <v>1.3562464285714286</v>
      </c>
      <c r="R80" s="1049"/>
      <c r="U80" s="342">
        <f t="shared" si="78"/>
        <v>48</v>
      </c>
      <c r="V80" s="343">
        <v>48</v>
      </c>
      <c r="W80" s="344">
        <f>+V80-U80</f>
        <v>0</v>
      </c>
      <c r="X80" s="345">
        <f t="shared" si="80"/>
        <v>0</v>
      </c>
      <c r="Y80" s="1038">
        <f>+X80*Q80</f>
        <v>0</v>
      </c>
      <c r="Z80" s="1039"/>
      <c r="AA80" s="372"/>
      <c r="AB80" s="682"/>
      <c r="AC80" s="682"/>
      <c r="AD80" s="682"/>
      <c r="AE80" s="296"/>
      <c r="AF80" s="296"/>
      <c r="AG80" s="681"/>
      <c r="AH80" s="681"/>
      <c r="AI80" s="681"/>
      <c r="AJ80" s="681"/>
      <c r="AK80" s="667"/>
      <c r="AL80" s="667"/>
      <c r="AM80" s="667"/>
      <c r="AN80" s="667"/>
      <c r="AO80" s="667"/>
      <c r="AP80" s="667"/>
      <c r="AQ80" s="667"/>
      <c r="AR80" s="667"/>
      <c r="AS80" s="296"/>
      <c r="AT80" s="296"/>
    </row>
    <row r="81" spans="1:46" ht="16.5">
      <c r="A81" s="366"/>
      <c r="B81" s="359" t="s">
        <v>58</v>
      </c>
      <c r="C81" s="1042">
        <f t="shared" si="81"/>
        <v>217.00020000000001</v>
      </c>
      <c r="D81" s="1043"/>
      <c r="E81" s="1030">
        <f>+C81/7</f>
        <v>31.000028571428572</v>
      </c>
      <c r="F81" s="1031"/>
      <c r="G81" s="1044"/>
      <c r="H81" s="1045"/>
      <c r="I81" s="1032">
        <f t="shared" si="75"/>
        <v>3.8750035714285715</v>
      </c>
      <c r="J81" s="1033"/>
      <c r="K81" s="1034">
        <f t="shared" si="76"/>
        <v>930.00085714285717</v>
      </c>
      <c r="L81" s="1034"/>
      <c r="M81" s="6"/>
      <c r="N81" s="1050">
        <f>+I81/6*7</f>
        <v>4.5208375000000007</v>
      </c>
      <c r="O81" s="1051"/>
      <c r="P81" s="6"/>
      <c r="Q81" s="1048">
        <f t="shared" si="82"/>
        <v>1.3562464285714286</v>
      </c>
      <c r="R81" s="1049"/>
      <c r="U81" s="342">
        <f t="shared" si="78"/>
        <v>48</v>
      </c>
      <c r="V81" s="343">
        <v>48</v>
      </c>
      <c r="W81" s="344">
        <f>+V81-U81</f>
        <v>0</v>
      </c>
      <c r="X81" s="345">
        <f t="shared" si="80"/>
        <v>0</v>
      </c>
      <c r="Z81" s="372"/>
      <c r="AA81" s="372"/>
      <c r="AB81" s="682"/>
      <c r="AC81" s="682"/>
      <c r="AD81" s="682"/>
      <c r="AE81" s="296"/>
      <c r="AF81" s="296"/>
      <c r="AG81" s="681"/>
      <c r="AH81" s="681"/>
      <c r="AI81" s="681"/>
      <c r="AJ81" s="681"/>
      <c r="AK81" s="667"/>
      <c r="AL81" s="667"/>
      <c r="AM81" s="667"/>
      <c r="AN81" s="667"/>
      <c r="AO81" s="667"/>
      <c r="AP81" s="667"/>
      <c r="AQ81" s="667"/>
      <c r="AR81" s="667"/>
      <c r="AS81" s="296"/>
      <c r="AT81" s="296"/>
    </row>
    <row r="82" spans="1:46" ht="16.5">
      <c r="A82" s="366"/>
      <c r="B82" s="359" t="s">
        <v>63</v>
      </c>
      <c r="C82" s="1042">
        <f>6*3+7*(28.4286)</f>
        <v>217.00020000000001</v>
      </c>
      <c r="D82" s="1043"/>
      <c r="E82" s="1030">
        <f>+C82/7</f>
        <v>31.000028571428572</v>
      </c>
      <c r="F82" s="1031"/>
      <c r="G82" s="1044"/>
      <c r="H82" s="1045"/>
      <c r="I82" s="1032">
        <f>+E82/8</f>
        <v>3.8750035714285715</v>
      </c>
      <c r="J82" s="1033"/>
      <c r="K82" s="1034">
        <f>+E82*30</f>
        <v>930.00085714285717</v>
      </c>
      <c r="L82" s="1034"/>
      <c r="M82" s="6"/>
      <c r="N82" s="1050">
        <f>+I82/6*7</f>
        <v>4.5208375000000007</v>
      </c>
      <c r="O82" s="1051"/>
      <c r="P82" s="6"/>
      <c r="Q82" s="1048">
        <f>+$I$71-I82</f>
        <v>1.3562464285714286</v>
      </c>
      <c r="R82" s="1049"/>
      <c r="U82" s="342">
        <f t="shared" si="78"/>
        <v>48</v>
      </c>
      <c r="V82" s="343">
        <v>48</v>
      </c>
      <c r="W82" s="344">
        <f>+V82-U82</f>
        <v>0</v>
      </c>
      <c r="X82" s="345">
        <f t="shared" si="80"/>
        <v>0</v>
      </c>
      <c r="Z82" s="372"/>
      <c r="AA82" s="372"/>
      <c r="AB82" s="682"/>
      <c r="AC82" s="682"/>
      <c r="AD82" s="682"/>
      <c r="AE82" s="296"/>
      <c r="AF82" s="296"/>
      <c r="AG82" s="681"/>
      <c r="AH82" s="681"/>
      <c r="AI82" s="681"/>
      <c r="AJ82" s="681"/>
      <c r="AK82" s="667"/>
      <c r="AL82" s="667"/>
      <c r="AM82" s="667"/>
      <c r="AN82" s="667"/>
      <c r="AO82" s="667"/>
      <c r="AP82" s="667"/>
      <c r="AQ82" s="667"/>
      <c r="AR82" s="667"/>
      <c r="AS82" s="296"/>
      <c r="AT82" s="296"/>
    </row>
    <row r="83" spans="1:46" ht="16.5">
      <c r="A83" s="366"/>
      <c r="B83" s="359" t="s">
        <v>59</v>
      </c>
      <c r="C83" s="1042">
        <f t="shared" si="81"/>
        <v>217.00020000000001</v>
      </c>
      <c r="D83" s="1043"/>
      <c r="E83" s="1030">
        <f>+C83/7</f>
        <v>31.000028571428572</v>
      </c>
      <c r="F83" s="1031"/>
      <c r="G83" s="1044"/>
      <c r="H83" s="1045"/>
      <c r="I83" s="1032">
        <f t="shared" si="75"/>
        <v>3.8750035714285715</v>
      </c>
      <c r="J83" s="1033"/>
      <c r="K83" s="1034">
        <f t="shared" si="76"/>
        <v>930.00085714285717</v>
      </c>
      <c r="L83" s="1034"/>
      <c r="M83" s="6"/>
      <c r="N83" s="1050">
        <f>+I83/6*7</f>
        <v>4.5208375000000007</v>
      </c>
      <c r="O83" s="1051"/>
      <c r="P83" s="6"/>
      <c r="Q83" s="1048">
        <f t="shared" si="82"/>
        <v>1.3562464285714286</v>
      </c>
      <c r="R83" s="1049"/>
      <c r="U83" s="342">
        <f t="shared" si="78"/>
        <v>48</v>
      </c>
      <c r="V83" s="343">
        <v>48</v>
      </c>
      <c r="W83" s="344">
        <f>+V83-U83</f>
        <v>0</v>
      </c>
      <c r="X83" s="345">
        <f t="shared" si="80"/>
        <v>0</v>
      </c>
      <c r="Z83" s="372"/>
      <c r="AA83" s="372"/>
      <c r="AB83" s="682"/>
      <c r="AC83" s="682"/>
      <c r="AD83" s="682"/>
      <c r="AE83" s="296"/>
      <c r="AF83" s="296"/>
      <c r="AG83" s="681"/>
      <c r="AH83" s="681"/>
      <c r="AI83" s="681"/>
      <c r="AJ83" s="681"/>
      <c r="AK83" s="681"/>
      <c r="AL83" s="681"/>
      <c r="AM83" s="681"/>
      <c r="AN83" s="681"/>
      <c r="AO83" s="681"/>
      <c r="AP83" s="681"/>
      <c r="AQ83" s="681"/>
      <c r="AR83" s="681"/>
      <c r="AS83" s="296"/>
      <c r="AT83" s="296"/>
    </row>
    <row r="84" spans="1:46" ht="16.5">
      <c r="A84" s="1">
        <v>2</v>
      </c>
      <c r="B84" s="340" t="s">
        <v>61</v>
      </c>
      <c r="C84" s="1040">
        <v>304.26666666666665</v>
      </c>
      <c r="D84" s="1041"/>
      <c r="E84" s="1030">
        <f>+C84/7</f>
        <v>43.466666666666661</v>
      </c>
      <c r="F84" s="1031"/>
      <c r="G84" s="341"/>
      <c r="H84" s="341"/>
      <c r="I84" s="1032">
        <f t="shared" si="75"/>
        <v>5.4333333333333327</v>
      </c>
      <c r="J84" s="1033"/>
      <c r="K84" s="1034">
        <f t="shared" si="76"/>
        <v>1303.9999999999998</v>
      </c>
      <c r="L84" s="1034"/>
      <c r="M84" s="6"/>
      <c r="N84" s="1035">
        <f t="shared" si="77"/>
        <v>6.3388888888888886</v>
      </c>
      <c r="O84" s="1035"/>
      <c r="P84" s="6"/>
      <c r="Q84" s="1036">
        <f t="shared" si="82"/>
        <v>-0.2020833333333325</v>
      </c>
      <c r="R84" s="1037"/>
      <c r="U84" s="342">
        <f t="shared" si="78"/>
        <v>32</v>
      </c>
      <c r="V84" s="343">
        <v>48</v>
      </c>
      <c r="W84" s="344">
        <f t="shared" si="79"/>
        <v>16</v>
      </c>
      <c r="X84" s="345">
        <f t="shared" si="80"/>
        <v>0</v>
      </c>
    </row>
    <row r="85" spans="1:46" ht="16.5">
      <c r="A85" s="366"/>
      <c r="B85" s="359" t="s">
        <v>64</v>
      </c>
      <c r="C85" s="1042">
        <f>6*3+7*(28.4286)</f>
        <v>217.00020000000001</v>
      </c>
      <c r="D85" s="1043"/>
      <c r="E85" s="1030">
        <f t="shared" ref="E85:E89" si="83">+C85/7</f>
        <v>31.000028571428572</v>
      </c>
      <c r="F85" s="1031"/>
      <c r="G85" s="1044"/>
      <c r="H85" s="1045"/>
      <c r="I85" s="1032">
        <f t="shared" si="75"/>
        <v>3.8750035714285715</v>
      </c>
      <c r="J85" s="1033"/>
      <c r="K85" s="1034">
        <f t="shared" si="76"/>
        <v>930.00085714285717</v>
      </c>
      <c r="L85" s="1034"/>
      <c r="M85" s="6"/>
      <c r="N85" s="1050">
        <f t="shared" si="77"/>
        <v>4.5208375000000007</v>
      </c>
      <c r="O85" s="1051"/>
      <c r="P85" s="6"/>
      <c r="Q85" s="1048">
        <f t="shared" si="82"/>
        <v>1.3562464285714286</v>
      </c>
      <c r="R85" s="1049"/>
      <c r="U85" s="342">
        <f t="shared" si="78"/>
        <v>40</v>
      </c>
      <c r="V85" s="343">
        <v>48</v>
      </c>
      <c r="W85" s="344">
        <f t="shared" si="79"/>
        <v>8</v>
      </c>
      <c r="X85" s="345">
        <f t="shared" si="80"/>
        <v>0</v>
      </c>
      <c r="Z85" s="372"/>
      <c r="AA85" s="372"/>
      <c r="AB85" s="682"/>
      <c r="AC85" s="682"/>
      <c r="AD85" s="682"/>
      <c r="AE85" s="296"/>
      <c r="AF85" s="296"/>
      <c r="AG85" s="681"/>
      <c r="AH85" s="681"/>
      <c r="AI85" s="681"/>
      <c r="AJ85" s="681"/>
      <c r="AK85" s="667"/>
      <c r="AL85" s="667"/>
      <c r="AM85" s="667"/>
      <c r="AN85" s="667"/>
      <c r="AO85" s="667"/>
      <c r="AP85" s="667"/>
      <c r="AQ85" s="667"/>
      <c r="AR85" s="667"/>
      <c r="AS85" s="296"/>
      <c r="AT85" s="296"/>
    </row>
    <row r="86" spans="1:46" ht="16.5">
      <c r="A86" s="366"/>
      <c r="B86" s="359" t="s">
        <v>143</v>
      </c>
      <c r="C86" s="1028">
        <f>+G86*6</f>
        <v>198</v>
      </c>
      <c r="D86" s="1029"/>
      <c r="E86" s="1030">
        <f t="shared" si="83"/>
        <v>28.285714285714285</v>
      </c>
      <c r="F86" s="1031"/>
      <c r="G86" s="1044">
        <v>33</v>
      </c>
      <c r="H86" s="1045"/>
      <c r="I86" s="1032">
        <f>+G86/8</f>
        <v>4.125</v>
      </c>
      <c r="J86" s="1033"/>
      <c r="K86" s="1034">
        <f>+G86*30</f>
        <v>990</v>
      </c>
      <c r="L86" s="1034"/>
      <c r="M86" s="6"/>
      <c r="N86" s="1050">
        <f t="shared" si="77"/>
        <v>4.8125</v>
      </c>
      <c r="O86" s="1051"/>
      <c r="P86" s="6"/>
      <c r="Q86" s="1048">
        <f t="shared" si="82"/>
        <v>1.1062500000000002</v>
      </c>
      <c r="R86" s="1049"/>
      <c r="U86" s="342">
        <f>+AE47+U47+K47+AO25+AE25+U25+K25</f>
        <v>0</v>
      </c>
      <c r="V86" s="343">
        <v>48</v>
      </c>
      <c r="W86" s="344">
        <f t="shared" si="79"/>
        <v>48</v>
      </c>
      <c r="X86" s="345">
        <f>+J25+T25+AD25+J47+T47+AD47</f>
        <v>0</v>
      </c>
      <c r="Z86" s="372"/>
      <c r="AA86" s="372"/>
      <c r="AB86" s="682"/>
      <c r="AC86" s="682"/>
      <c r="AD86" s="682"/>
      <c r="AE86" s="296"/>
      <c r="AF86" s="296"/>
      <c r="AG86" s="681"/>
      <c r="AH86" s="681"/>
      <c r="AI86" s="681"/>
      <c r="AJ86" s="681"/>
      <c r="AK86" s="667"/>
      <c r="AL86" s="667"/>
      <c r="AM86" s="667"/>
      <c r="AN86" s="667"/>
      <c r="AO86" s="667"/>
      <c r="AP86" s="667"/>
      <c r="AQ86" s="667"/>
      <c r="AR86" s="667"/>
      <c r="AS86" s="296"/>
      <c r="AT86" s="296"/>
    </row>
    <row r="87" spans="1:46" ht="16.5">
      <c r="A87" s="366"/>
      <c r="B87" s="359"/>
      <c r="C87" s="675"/>
      <c r="D87" s="676"/>
      <c r="E87" s="668"/>
      <c r="F87" s="669"/>
      <c r="G87" s="673"/>
      <c r="H87" s="674"/>
      <c r="I87" s="670"/>
      <c r="J87" s="671"/>
      <c r="K87" s="672"/>
      <c r="L87" s="672"/>
      <c r="M87" s="6"/>
      <c r="N87" s="677"/>
      <c r="O87" s="678"/>
      <c r="P87" s="6"/>
      <c r="Q87" s="679"/>
      <c r="R87" s="680"/>
      <c r="U87" s="342"/>
      <c r="V87" s="343"/>
      <c r="W87" s="344"/>
      <c r="X87" s="345"/>
      <c r="Z87" s="372"/>
      <c r="AA87" s="372"/>
      <c r="AB87" s="682"/>
      <c r="AC87" s="682"/>
      <c r="AD87" s="682"/>
      <c r="AE87" s="296"/>
      <c r="AF87" s="296"/>
      <c r="AG87" s="681"/>
      <c r="AH87" s="681"/>
      <c r="AI87" s="681"/>
      <c r="AJ87" s="681"/>
      <c r="AK87" s="667"/>
      <c r="AL87" s="667"/>
      <c r="AM87" s="667"/>
      <c r="AN87" s="667"/>
      <c r="AO87" s="667"/>
      <c r="AP87" s="667"/>
      <c r="AQ87" s="667"/>
      <c r="AR87" s="667"/>
      <c r="AS87" s="296"/>
      <c r="AT87" s="296"/>
    </row>
    <row r="88" spans="1:46" s="371" customFormat="1" ht="16.5">
      <c r="A88" s="366">
        <v>6</v>
      </c>
      <c r="B88" s="365" t="s">
        <v>142</v>
      </c>
      <c r="C88" s="1028">
        <f>+G88*6</f>
        <v>186</v>
      </c>
      <c r="D88" s="1029"/>
      <c r="E88" s="1030">
        <f t="shared" si="83"/>
        <v>26.571428571428573</v>
      </c>
      <c r="F88" s="1031"/>
      <c r="G88" s="1044">
        <v>31</v>
      </c>
      <c r="H88" s="1045"/>
      <c r="I88" s="1032">
        <f>+G88/8</f>
        <v>3.875</v>
      </c>
      <c r="J88" s="1033"/>
      <c r="K88" s="1034">
        <f>+G88*30</f>
        <v>930</v>
      </c>
      <c r="L88" s="1034"/>
      <c r="M88" s="374"/>
      <c r="N88" s="1035">
        <f t="shared" si="77"/>
        <v>4.5208333333333339</v>
      </c>
      <c r="O88" s="1035"/>
      <c r="P88" s="6"/>
      <c r="Q88" s="1036">
        <f t="shared" ref="Q88" si="84">+$I$71-I88</f>
        <v>1.3562500000000002</v>
      </c>
      <c r="R88" s="1037"/>
      <c r="S88" s="3"/>
      <c r="T88" s="3"/>
      <c r="U88" s="342">
        <f>+AE48+U48+K48+AO26+AE26+U26+K26</f>
        <v>0</v>
      </c>
      <c r="V88" s="343">
        <v>48</v>
      </c>
      <c r="W88" s="344">
        <f t="shared" si="79"/>
        <v>48</v>
      </c>
      <c r="X88" s="345">
        <f>+J26+T26+AD26+J48+T48+AD48</f>
        <v>0</v>
      </c>
      <c r="Y88" s="367"/>
      <c r="Z88" s="682"/>
      <c r="AA88" s="682"/>
      <c r="AB88" s="682"/>
      <c r="AC88" s="682"/>
      <c r="AD88" s="682"/>
      <c r="AE88" s="296"/>
      <c r="AF88" s="296"/>
      <c r="AG88" s="681"/>
      <c r="AH88" s="681"/>
      <c r="AI88" s="370"/>
      <c r="AJ88" s="370"/>
      <c r="AK88" s="370"/>
      <c r="AL88" s="370"/>
      <c r="AM88" s="681"/>
      <c r="AN88" s="681"/>
      <c r="AO88" s="681"/>
      <c r="AP88" s="681"/>
      <c r="AQ88" s="681"/>
      <c r="AR88" s="681"/>
      <c r="AS88" s="296"/>
      <c r="AT88" s="296"/>
    </row>
    <row r="89" spans="1:46" ht="16.5">
      <c r="B89" s="375" t="s">
        <v>65</v>
      </c>
      <c r="C89" s="1054">
        <f>6*3+7*(G89)</f>
        <v>548.33330000000001</v>
      </c>
      <c r="D89" s="1055"/>
      <c r="E89" s="1056">
        <f t="shared" si="83"/>
        <v>78.333328571428567</v>
      </c>
      <c r="F89" s="1057"/>
      <c r="G89" s="1058">
        <v>75.761899999999997</v>
      </c>
      <c r="H89" s="1059"/>
      <c r="I89" s="1060">
        <f>+E89/8</f>
        <v>9.7916660714285708</v>
      </c>
      <c r="J89" s="1061"/>
      <c r="K89" s="1062">
        <f>+E89*30</f>
        <v>2349.9998571428569</v>
      </c>
      <c r="L89" s="1063"/>
      <c r="M89" s="6"/>
      <c r="N89" s="1035">
        <f t="shared" si="77"/>
        <v>11.423610416666666</v>
      </c>
      <c r="O89" s="1035"/>
      <c r="P89" s="6"/>
      <c r="Q89" s="1048">
        <f t="shared" si="82"/>
        <v>-4.5604160714285706</v>
      </c>
      <c r="R89" s="1049"/>
      <c r="U89" s="342">
        <f>+AE48+U48+K48+AO26+AE26+U26+K26</f>
        <v>0</v>
      </c>
      <c r="V89" s="343">
        <v>48</v>
      </c>
      <c r="W89" s="344">
        <f t="shared" si="79"/>
        <v>48</v>
      </c>
      <c r="X89" s="345">
        <f>+J26+T26+AD26+J48+T48+AD48</f>
        <v>0</v>
      </c>
      <c r="Z89" s="372"/>
      <c r="AA89" s="372"/>
      <c r="AB89" s="682"/>
      <c r="AC89" s="682"/>
      <c r="AD89" s="682"/>
      <c r="AE89" s="296"/>
      <c r="AF89" s="296"/>
      <c r="AG89" s="681"/>
      <c r="AH89" s="681"/>
      <c r="AI89" s="681"/>
      <c r="AJ89" s="681"/>
      <c r="AK89" s="681"/>
      <c r="AL89" s="681"/>
      <c r="AM89" s="681"/>
      <c r="AN89" s="681"/>
      <c r="AO89" s="681"/>
      <c r="AP89" s="681"/>
      <c r="AQ89" s="296"/>
      <c r="AR89" s="296"/>
      <c r="AS89" s="296"/>
      <c r="AT89" s="296"/>
    </row>
    <row r="90" spans="1:46">
      <c r="AE90" s="376"/>
      <c r="AF90" s="376"/>
      <c r="AJ90" s="376"/>
      <c r="AK90" s="376"/>
    </row>
    <row r="91" spans="1:46" ht="26.25" thickBot="1">
      <c r="B91" s="377" t="s">
        <v>66</v>
      </c>
      <c r="H91" s="1052">
        <v>43191</v>
      </c>
      <c r="I91" s="1052"/>
      <c r="J91" s="1052"/>
      <c r="K91" s="1052"/>
      <c r="L91" s="1052"/>
      <c r="M91" s="1052"/>
      <c r="N91" s="1052"/>
      <c r="AD91" s="378"/>
      <c r="AE91" s="378"/>
      <c r="AF91" s="378"/>
      <c r="AG91" s="167"/>
      <c r="AH91" s="167"/>
      <c r="AI91" s="167"/>
      <c r="AJ91" s="376"/>
      <c r="AK91" s="376"/>
    </row>
    <row r="92" spans="1:46" ht="16.5" thickBot="1">
      <c r="B92" s="379">
        <v>1100</v>
      </c>
      <c r="C92" s="240" t="s">
        <v>67</v>
      </c>
      <c r="AD92" s="296"/>
      <c r="AE92" s="296"/>
      <c r="AF92" s="296"/>
      <c r="AG92" s="296"/>
      <c r="AH92" s="296"/>
      <c r="AI92" s="296"/>
      <c r="AJ92" s="296"/>
      <c r="AK92" s="296"/>
      <c r="AL92" s="296"/>
      <c r="AM92" s="296"/>
      <c r="AN92" s="296"/>
      <c r="AO92" s="296"/>
      <c r="AP92" s="267"/>
      <c r="AQ92" s="267"/>
      <c r="AR92" s="267"/>
      <c r="AS92" s="267"/>
      <c r="AT92" s="267"/>
    </row>
    <row r="93" spans="1:46" ht="15.75">
      <c r="B93" s="168">
        <f>+B92/30*7</f>
        <v>256.66666666666663</v>
      </c>
      <c r="C93" s="240" t="s">
        <v>68</v>
      </c>
      <c r="D93" s="380"/>
      <c r="O93" s="1053" t="s">
        <v>69</v>
      </c>
      <c r="P93" s="1053"/>
      <c r="Q93" s="1053"/>
      <c r="R93" s="1053"/>
      <c r="S93" s="1053"/>
      <c r="T93" s="1053"/>
      <c r="U93" s="1053"/>
      <c r="V93" s="1053"/>
      <c r="W93" s="1053"/>
      <c r="X93" s="1053"/>
      <c r="Y93" s="1053"/>
      <c r="Z93" s="1053"/>
      <c r="AD93" s="296"/>
      <c r="AE93" s="681"/>
      <c r="AF93" s="681"/>
      <c r="AG93" s="296"/>
      <c r="AH93" s="296"/>
      <c r="AI93" s="296"/>
      <c r="AJ93" s="681"/>
      <c r="AK93" s="681"/>
      <c r="AL93" s="296"/>
      <c r="AM93" s="296"/>
      <c r="AN93" s="296"/>
      <c r="AO93" s="296"/>
      <c r="AP93" s="267"/>
      <c r="AQ93" s="267"/>
      <c r="AR93" s="267"/>
      <c r="AS93" s="267"/>
      <c r="AT93" s="267"/>
    </row>
    <row r="94" spans="1:46">
      <c r="B94" s="168">
        <f>+B93-18</f>
        <v>238.66666666666663</v>
      </c>
      <c r="C94" s="240" t="s">
        <v>70</v>
      </c>
      <c r="O94" s="1053">
        <f>+B92</f>
        <v>1100</v>
      </c>
      <c r="P94" s="1053"/>
      <c r="Q94" s="1053" t="s">
        <v>71</v>
      </c>
      <c r="R94" s="1053"/>
      <c r="S94" s="1053"/>
      <c r="T94" s="1053"/>
      <c r="U94" s="1053"/>
      <c r="V94" s="1053"/>
      <c r="W94" s="1053"/>
      <c r="X94" s="1053"/>
      <c r="Y94" s="1053"/>
      <c r="Z94" s="1053"/>
      <c r="AA94" s="7" t="s">
        <v>72</v>
      </c>
      <c r="AD94" s="296"/>
      <c r="AE94" s="681"/>
      <c r="AF94" s="681"/>
      <c r="AG94" s="296"/>
      <c r="AH94" s="296"/>
      <c r="AI94" s="296"/>
      <c r="AJ94" s="681"/>
      <c r="AK94" s="681"/>
      <c r="AL94" s="296"/>
      <c r="AM94" s="296"/>
      <c r="AN94" s="296"/>
      <c r="AO94" s="296"/>
      <c r="AP94" s="267"/>
      <c r="AQ94" s="267"/>
      <c r="AR94" s="267"/>
      <c r="AS94" s="267"/>
      <c r="AT94" s="267"/>
    </row>
    <row r="95" spans="1:46">
      <c r="B95" s="381">
        <f>+B94/7+0</f>
        <v>34.095238095238088</v>
      </c>
      <c r="C95" s="382" t="s">
        <v>73</v>
      </c>
      <c r="D95" s="383"/>
      <c r="O95" s="1053">
        <f>+O94/30*7</f>
        <v>256.66666666666663</v>
      </c>
      <c r="P95" s="1053"/>
      <c r="Q95" s="1053" t="s">
        <v>74</v>
      </c>
      <c r="R95" s="1053"/>
      <c r="S95" s="1053"/>
      <c r="T95" s="1053"/>
      <c r="U95" s="1053"/>
      <c r="V95" s="1053"/>
      <c r="W95" s="1053"/>
      <c r="X95" s="1053"/>
      <c r="Y95" s="1053"/>
      <c r="Z95" s="1053"/>
      <c r="AA95" s="1064">
        <f>+O95*0.87</f>
        <v>223.29999999999995</v>
      </c>
      <c r="AB95" s="1064"/>
      <c r="AD95" s="296"/>
      <c r="AE95" s="384"/>
      <c r="AF95" s="384"/>
      <c r="AG95" s="296"/>
      <c r="AH95" s="296"/>
      <c r="AI95" s="296"/>
      <c r="AJ95" s="384"/>
      <c r="AK95" s="384"/>
      <c r="AL95" s="385"/>
      <c r="AM95" s="385"/>
      <c r="AN95" s="385"/>
      <c r="AO95" s="385"/>
      <c r="AP95" s="386"/>
      <c r="AQ95" s="386"/>
      <c r="AR95" s="267"/>
      <c r="AS95" s="267"/>
      <c r="AT95" s="267"/>
    </row>
    <row r="96" spans="1:46">
      <c r="O96" s="1053">
        <f>+O95/7</f>
        <v>36.666666666666664</v>
      </c>
      <c r="P96" s="1053"/>
      <c r="Q96" s="1053" t="s">
        <v>75</v>
      </c>
      <c r="R96" s="1053"/>
      <c r="S96" s="1053"/>
      <c r="T96" s="1053"/>
      <c r="U96" s="1053"/>
      <c r="V96" s="1053"/>
      <c r="W96" s="1053"/>
      <c r="X96" s="1053"/>
      <c r="Y96" s="1053"/>
      <c r="Z96" s="1053"/>
      <c r="AD96" s="296"/>
      <c r="AE96" s="681"/>
      <c r="AF96" s="681"/>
      <c r="AG96" s="296"/>
      <c r="AH96" s="296"/>
      <c r="AI96" s="296"/>
      <c r="AJ96" s="681"/>
      <c r="AK96" s="681"/>
      <c r="AL96" s="387"/>
      <c r="AM96" s="387"/>
      <c r="AN96" s="385"/>
      <c r="AO96" s="385"/>
      <c r="AP96" s="386"/>
      <c r="AQ96" s="386"/>
      <c r="AR96" s="267"/>
      <c r="AS96" s="267"/>
      <c r="AT96" s="267"/>
    </row>
    <row r="97" spans="2:46" ht="15.75">
      <c r="B97" s="388">
        <f>+B95</f>
        <v>34.095238095238088</v>
      </c>
      <c r="C97" s="389" t="s">
        <v>76</v>
      </c>
      <c r="D97" s="390"/>
      <c r="E97" s="390"/>
      <c r="F97" s="390"/>
      <c r="O97" s="1065">
        <f>(O95-18)/7</f>
        <v>34.095238095238088</v>
      </c>
      <c r="P97" s="1065"/>
      <c r="Q97" s="1065" t="s">
        <v>77</v>
      </c>
      <c r="R97" s="1065"/>
      <c r="S97" s="1065"/>
      <c r="T97" s="1065"/>
      <c r="U97" s="1065"/>
      <c r="V97" s="1065"/>
      <c r="W97" s="1065"/>
      <c r="X97" s="1065"/>
      <c r="Y97" s="1065"/>
      <c r="Z97" s="1065"/>
      <c r="AD97" s="296"/>
      <c r="AE97" s="391"/>
      <c r="AF97" s="391"/>
      <c r="AG97" s="392"/>
      <c r="AH97" s="392"/>
      <c r="AI97" s="392"/>
      <c r="AJ97" s="391"/>
      <c r="AK97" s="391"/>
      <c r="AL97" s="385"/>
      <c r="AM97" s="385"/>
      <c r="AN97" s="385"/>
      <c r="AO97" s="385"/>
      <c r="AP97" s="386"/>
      <c r="AQ97" s="386"/>
      <c r="AR97" s="267"/>
      <c r="AS97" s="267"/>
      <c r="AT97" s="267"/>
    </row>
    <row r="98" spans="2:46">
      <c r="B98" s="168">
        <v>3</v>
      </c>
      <c r="C98" s="240" t="s">
        <v>78</v>
      </c>
      <c r="O98" s="1053">
        <v>3</v>
      </c>
      <c r="P98" s="1053"/>
      <c r="Q98" s="1053" t="s">
        <v>79</v>
      </c>
      <c r="R98" s="1053"/>
      <c r="S98" s="1053"/>
      <c r="T98" s="1053"/>
      <c r="U98" s="1053"/>
      <c r="V98" s="1053"/>
      <c r="W98" s="1053"/>
      <c r="X98" s="1053"/>
      <c r="Y98" s="1053"/>
      <c r="Z98" s="1053"/>
      <c r="AD98" s="296"/>
      <c r="AE98" s="296"/>
      <c r="AF98" s="391"/>
      <c r="AG98" s="392"/>
      <c r="AH98" s="392"/>
      <c r="AI98" s="392"/>
      <c r="AJ98" s="391"/>
      <c r="AK98" s="296"/>
      <c r="AL98" s="385"/>
      <c r="AM98" s="385"/>
      <c r="AN98" s="385"/>
      <c r="AO98" s="385"/>
      <c r="AP98" s="386"/>
      <c r="AQ98" s="386"/>
      <c r="AR98" s="267"/>
      <c r="AS98" s="267"/>
      <c r="AT98" s="267"/>
    </row>
    <row r="99" spans="2:46">
      <c r="B99" s="381">
        <f>+B98+B97</f>
        <v>37.095238095238088</v>
      </c>
      <c r="C99" s="382" t="s">
        <v>80</v>
      </c>
      <c r="D99" s="393"/>
      <c r="E99" s="394"/>
      <c r="F99" s="395"/>
      <c r="G99" s="393"/>
      <c r="H99" s="393"/>
      <c r="I99" s="395"/>
      <c r="J99" s="393"/>
      <c r="K99" s="396"/>
      <c r="L99" s="396"/>
      <c r="M99" s="383"/>
      <c r="O99" s="1053">
        <f>+O98+O97</f>
        <v>37.095238095238088</v>
      </c>
      <c r="P99" s="1053"/>
      <c r="AD99" s="296"/>
      <c r="AE99" s="681"/>
      <c r="AF99" s="681"/>
      <c r="AG99" s="296"/>
      <c r="AH99" s="296"/>
      <c r="AI99" s="296"/>
      <c r="AJ99" s="681"/>
      <c r="AK99" s="681"/>
      <c r="AL99" s="387"/>
      <c r="AM99" s="387"/>
      <c r="AN99" s="387"/>
      <c r="AO99" s="387"/>
      <c r="AP99" s="397"/>
      <c r="AQ99" s="267"/>
      <c r="AR99" s="267"/>
      <c r="AS99" s="267"/>
      <c r="AT99" s="267"/>
    </row>
    <row r="100" spans="2:46">
      <c r="B100" s="168"/>
      <c r="AD100" s="296"/>
      <c r="AE100" s="398"/>
      <c r="AF100" s="398"/>
      <c r="AG100" s="398"/>
      <c r="AH100" s="296"/>
      <c r="AI100" s="296"/>
      <c r="AJ100" s="398"/>
      <c r="AK100" s="398"/>
      <c r="AL100" s="385"/>
      <c r="AM100" s="296"/>
      <c r="AN100" s="296"/>
      <c r="AO100" s="296"/>
      <c r="AP100" s="267"/>
      <c r="AQ100" s="267"/>
      <c r="AR100" s="267"/>
      <c r="AS100" s="267"/>
      <c r="AT100" s="267"/>
    </row>
    <row r="101" spans="2:46">
      <c r="B101" s="168">
        <f>+B99*6</f>
        <v>222.57142857142853</v>
      </c>
      <c r="C101" s="240" t="s">
        <v>81</v>
      </c>
      <c r="O101" s="1053" t="s">
        <v>82</v>
      </c>
      <c r="P101" s="1053"/>
      <c r="Q101" s="1053"/>
      <c r="R101" s="1053"/>
      <c r="S101" s="1053"/>
      <c r="T101" s="1053"/>
      <c r="U101" s="1053"/>
      <c r="V101" s="1053"/>
      <c r="W101" s="1053"/>
      <c r="X101" s="1053"/>
      <c r="Y101" s="1053"/>
      <c r="Z101" s="1053"/>
      <c r="AD101" s="296"/>
      <c r="AE101" s="296"/>
      <c r="AF101" s="296"/>
      <c r="AG101" s="296"/>
      <c r="AH101" s="296"/>
      <c r="AI101" s="385"/>
      <c r="AJ101" s="385"/>
      <c r="AK101" s="387"/>
      <c r="AL101" s="667"/>
      <c r="AM101" s="681"/>
      <c r="AN101" s="667"/>
      <c r="AO101" s="296"/>
      <c r="AP101" s="267"/>
      <c r="AQ101" s="267"/>
      <c r="AR101" s="267"/>
      <c r="AS101" s="267"/>
      <c r="AT101" s="267"/>
    </row>
    <row r="102" spans="2:46">
      <c r="B102" s="399">
        <f>+B97</f>
        <v>34.095238095238088</v>
      </c>
      <c r="C102" s="400" t="s">
        <v>83</v>
      </c>
      <c r="D102" s="401"/>
      <c r="E102" s="402"/>
      <c r="F102" s="403"/>
      <c r="G102" s="401"/>
      <c r="H102" s="401"/>
      <c r="I102" s="403"/>
      <c r="J102" s="401"/>
      <c r="K102" s="404"/>
      <c r="L102" s="405"/>
      <c r="O102" s="1053">
        <f>+O94*1.1</f>
        <v>1210</v>
      </c>
      <c r="P102" s="1053"/>
      <c r="Q102" s="1053" t="s">
        <v>71</v>
      </c>
      <c r="R102" s="1053"/>
      <c r="S102" s="1053"/>
      <c r="T102" s="1053"/>
      <c r="U102" s="1053"/>
      <c r="V102" s="1053"/>
      <c r="W102" s="1053"/>
      <c r="X102" s="1053"/>
      <c r="Y102" s="1053"/>
      <c r="Z102" s="1053"/>
      <c r="AA102" s="7" t="s">
        <v>84</v>
      </c>
      <c r="AG102" s="267"/>
      <c r="AH102" s="267"/>
      <c r="AI102" s="386"/>
      <c r="AJ102" s="386"/>
      <c r="AK102" s="386"/>
      <c r="AL102" s="267"/>
      <c r="AM102" s="267"/>
      <c r="AN102" s="267"/>
      <c r="AO102" s="267"/>
    </row>
    <row r="103" spans="2:46">
      <c r="B103" s="381">
        <f>+B102+B101</f>
        <v>256.66666666666663</v>
      </c>
      <c r="C103" s="382" t="s">
        <v>85</v>
      </c>
      <c r="D103" s="393"/>
      <c r="E103" s="394"/>
      <c r="F103" s="395"/>
      <c r="G103" s="393"/>
      <c r="H103" s="393"/>
      <c r="I103" s="395"/>
      <c r="J103" s="393"/>
      <c r="K103" s="406"/>
      <c r="L103" s="405"/>
      <c r="O103" s="1053">
        <f>+O102/30*7</f>
        <v>282.33333333333337</v>
      </c>
      <c r="P103" s="1053"/>
      <c r="Q103" s="1053" t="s">
        <v>74</v>
      </c>
      <c r="R103" s="1053"/>
      <c r="S103" s="1053"/>
      <c r="T103" s="1053"/>
      <c r="U103" s="1053"/>
      <c r="V103" s="1053"/>
      <c r="W103" s="1053"/>
      <c r="X103" s="1053"/>
      <c r="Y103" s="1053"/>
      <c r="Z103" s="1053"/>
      <c r="AA103" s="1064">
        <f>+O103*0.87</f>
        <v>245.63000000000002</v>
      </c>
      <c r="AB103" s="1064"/>
      <c r="AG103" s="267"/>
      <c r="AH103" s="267"/>
      <c r="AI103" s="386"/>
      <c r="AJ103" s="386"/>
      <c r="AK103" s="407"/>
      <c r="AL103" s="267"/>
      <c r="AM103" s="267"/>
      <c r="AN103" s="267"/>
      <c r="AO103" s="267"/>
    </row>
    <row r="104" spans="2:46">
      <c r="B104" s="408"/>
      <c r="C104" s="409"/>
      <c r="D104" s="333"/>
      <c r="E104" s="410"/>
      <c r="F104" s="411"/>
      <c r="G104" s="333"/>
      <c r="H104" s="333"/>
      <c r="I104" s="411"/>
      <c r="J104" s="333"/>
      <c r="K104" s="405"/>
      <c r="L104" s="405"/>
      <c r="O104" s="1053">
        <f>+O103/7</f>
        <v>40.333333333333336</v>
      </c>
      <c r="P104" s="1053"/>
      <c r="Q104" s="1053" t="s">
        <v>75</v>
      </c>
      <c r="R104" s="1053"/>
      <c r="S104" s="1053"/>
      <c r="T104" s="1053"/>
      <c r="U104" s="1053"/>
      <c r="V104" s="1053"/>
      <c r="W104" s="1053"/>
      <c r="X104" s="1053"/>
      <c r="Y104" s="1053"/>
      <c r="Z104" s="1053"/>
      <c r="AG104" s="267"/>
      <c r="AH104" s="267"/>
      <c r="AI104" s="412"/>
      <c r="AJ104" s="413"/>
      <c r="AK104" s="407"/>
      <c r="AL104" s="267"/>
      <c r="AM104" s="267"/>
      <c r="AN104" s="267"/>
      <c r="AO104" s="267"/>
    </row>
    <row r="105" spans="2:46" ht="15.75">
      <c r="B105" s="414">
        <f>+B103/7</f>
        <v>36.666666666666664</v>
      </c>
      <c r="C105" s="415" t="s">
        <v>86</v>
      </c>
      <c r="D105" s="416"/>
      <c r="E105" s="417"/>
      <c r="F105" s="418"/>
      <c r="G105" s="419"/>
      <c r="H105" s="419"/>
      <c r="I105" s="411"/>
      <c r="J105" s="333"/>
      <c r="K105" s="405"/>
      <c r="L105" s="405"/>
      <c r="O105" s="1065">
        <f>(O103-18)/7</f>
        <v>37.761904761904766</v>
      </c>
      <c r="P105" s="1065"/>
      <c r="Q105" s="1065" t="s">
        <v>77</v>
      </c>
      <c r="R105" s="1065"/>
      <c r="S105" s="1065"/>
      <c r="T105" s="1065"/>
      <c r="U105" s="1065"/>
      <c r="V105" s="1065"/>
      <c r="W105" s="1065"/>
      <c r="X105" s="1065"/>
      <c r="Y105" s="1065"/>
      <c r="Z105" s="1065"/>
      <c r="AG105" s="267"/>
      <c r="AH105" s="267"/>
      <c r="AI105" s="267"/>
      <c r="AJ105" s="267"/>
      <c r="AK105" s="407"/>
      <c r="AL105" s="267"/>
      <c r="AM105" s="267"/>
      <c r="AN105" s="267"/>
      <c r="AO105" s="267"/>
    </row>
    <row r="106" spans="2:46">
      <c r="B106" s="408"/>
      <c r="C106" s="409"/>
      <c r="D106" s="333"/>
      <c r="E106" s="410"/>
      <c r="F106" s="411"/>
      <c r="G106" s="333"/>
      <c r="H106" s="333"/>
      <c r="I106" s="411"/>
      <c r="J106" s="333"/>
      <c r="K106" s="405"/>
      <c r="L106" s="405"/>
      <c r="O106" s="1053">
        <v>3</v>
      </c>
      <c r="P106" s="1053"/>
      <c r="Q106" s="1053" t="s">
        <v>79</v>
      </c>
      <c r="R106" s="1053"/>
      <c r="S106" s="1053"/>
      <c r="T106" s="1053"/>
      <c r="U106" s="1053"/>
      <c r="V106" s="1053"/>
      <c r="W106" s="1053"/>
      <c r="X106" s="1053"/>
      <c r="Y106" s="1053"/>
      <c r="Z106" s="1053"/>
      <c r="AG106" s="267"/>
      <c r="AH106" s="267"/>
      <c r="AI106" s="267"/>
      <c r="AJ106" s="267"/>
      <c r="AK106" s="267"/>
      <c r="AL106" s="267"/>
      <c r="AM106" s="267"/>
      <c r="AN106" s="267"/>
      <c r="AO106" s="267"/>
    </row>
    <row r="107" spans="2:46">
      <c r="B107" s="408"/>
      <c r="C107" s="409"/>
      <c r="D107" s="333"/>
      <c r="E107" s="410"/>
      <c r="F107" s="411"/>
      <c r="G107" s="333"/>
      <c r="H107" s="333"/>
      <c r="I107" s="411"/>
      <c r="J107" s="333"/>
      <c r="K107" s="405"/>
      <c r="L107" s="405"/>
      <c r="O107" s="1053">
        <f>+O106+O105</f>
        <v>40.761904761904766</v>
      </c>
      <c r="P107" s="1053"/>
      <c r="AG107" s="267"/>
      <c r="AH107" s="267"/>
      <c r="AI107" s="267"/>
      <c r="AJ107" s="267"/>
      <c r="AK107" s="267"/>
      <c r="AL107" s="267"/>
      <c r="AM107" s="267"/>
      <c r="AN107" s="267"/>
      <c r="AO107" s="267"/>
    </row>
    <row r="108" spans="2:46">
      <c r="AG108" s="267"/>
      <c r="AH108" s="267"/>
      <c r="AI108" s="267"/>
      <c r="AJ108" s="267"/>
      <c r="AK108" s="267"/>
      <c r="AL108" s="267"/>
      <c r="AM108" s="267"/>
      <c r="AN108" s="267"/>
      <c r="AO108" s="267"/>
    </row>
    <row r="109" spans="2:46" ht="26.25" thickBot="1">
      <c r="B109" s="377" t="s">
        <v>87</v>
      </c>
      <c r="H109" s="1052">
        <v>43167</v>
      </c>
      <c r="I109" s="1052"/>
      <c r="J109" s="1052"/>
      <c r="K109" s="1052"/>
      <c r="L109" s="1052"/>
      <c r="M109" s="1052"/>
      <c r="N109" s="1052"/>
      <c r="O109" s="420" t="s">
        <v>88</v>
      </c>
      <c r="P109" s="421"/>
      <c r="Q109" s="422"/>
      <c r="AG109" s="267"/>
      <c r="AH109" s="267"/>
      <c r="AI109" s="267"/>
      <c r="AJ109" s="267"/>
      <c r="AK109" s="267"/>
      <c r="AL109" s="267"/>
      <c r="AM109" s="267"/>
      <c r="AN109" s="267"/>
      <c r="AO109" s="267"/>
    </row>
    <row r="110" spans="2:46" ht="16.5" thickBot="1">
      <c r="B110" s="379">
        <v>850</v>
      </c>
      <c r="C110" s="240" t="s">
        <v>67</v>
      </c>
      <c r="AD110" s="296"/>
      <c r="AE110" s="296"/>
      <c r="AF110" s="296"/>
      <c r="AG110" s="296"/>
      <c r="AH110" s="296"/>
      <c r="AI110" s="296"/>
      <c r="AJ110" s="296"/>
      <c r="AK110" s="296"/>
      <c r="AL110" s="296"/>
      <c r="AM110" s="296"/>
      <c r="AN110" s="296"/>
      <c r="AO110" s="296"/>
      <c r="AP110" s="267"/>
      <c r="AQ110" s="267"/>
      <c r="AR110" s="267"/>
      <c r="AS110" s="267"/>
      <c r="AT110" s="267"/>
    </row>
    <row r="111" spans="2:46" ht="15.75">
      <c r="B111" s="423">
        <f>+B110/30*7</f>
        <v>198.33333333333331</v>
      </c>
      <c r="C111" s="240" t="s">
        <v>68</v>
      </c>
      <c r="D111" s="380"/>
      <c r="O111" s="1053" t="s">
        <v>69</v>
      </c>
      <c r="P111" s="1053"/>
      <c r="Q111" s="1053"/>
      <c r="R111" s="1053"/>
      <c r="S111" s="1053"/>
      <c r="T111" s="1053"/>
      <c r="U111" s="1053"/>
      <c r="V111" s="1053"/>
      <c r="W111" s="1053"/>
      <c r="X111" s="1053"/>
      <c r="Y111" s="1053"/>
      <c r="Z111" s="1053"/>
      <c r="AD111" s="296"/>
      <c r="AE111" s="681"/>
      <c r="AF111" s="681"/>
      <c r="AG111" s="296"/>
      <c r="AH111" s="296"/>
      <c r="AI111" s="296"/>
      <c r="AJ111" s="681"/>
      <c r="AK111" s="681"/>
      <c r="AL111" s="296"/>
      <c r="AM111" s="296"/>
      <c r="AN111" s="296"/>
      <c r="AO111" s="296"/>
      <c r="AP111" s="267"/>
      <c r="AQ111" s="267"/>
      <c r="AR111" s="267"/>
      <c r="AS111" s="267"/>
      <c r="AT111" s="267"/>
    </row>
    <row r="112" spans="2:46">
      <c r="B112" s="423">
        <f>+B111-18</f>
        <v>180.33333333333331</v>
      </c>
      <c r="C112" s="240" t="s">
        <v>70</v>
      </c>
      <c r="O112" s="1053">
        <f>+B110</f>
        <v>850</v>
      </c>
      <c r="P112" s="1053"/>
      <c r="Q112" s="1053" t="s">
        <v>71</v>
      </c>
      <c r="R112" s="1053"/>
      <c r="S112" s="1053"/>
      <c r="T112" s="1053"/>
      <c r="U112" s="1053"/>
      <c r="V112" s="1053"/>
      <c r="W112" s="1053"/>
      <c r="X112" s="1053"/>
      <c r="Y112" s="1053"/>
      <c r="Z112" s="1053"/>
      <c r="AA112" s="7" t="s">
        <v>72</v>
      </c>
      <c r="AD112" s="296"/>
      <c r="AE112" s="996">
        <v>198.32</v>
      </c>
      <c r="AF112" s="996"/>
      <c r="AG112" s="996"/>
      <c r="AH112" s="296"/>
      <c r="AI112" s="996"/>
      <c r="AJ112" s="996"/>
      <c r="AK112" s="996"/>
      <c r="AL112" s="1068">
        <f>+AL113+AL114</f>
        <v>192.18149689334777</v>
      </c>
      <c r="AM112" s="1068"/>
      <c r="AN112" s="1068"/>
      <c r="AO112" s="1068">
        <f>+AL112-18</f>
        <v>174.18149689334777</v>
      </c>
      <c r="AP112" s="1068"/>
      <c r="AQ112" s="1068"/>
      <c r="AR112" s="267"/>
      <c r="AS112" s="267"/>
      <c r="AT112" s="267"/>
    </row>
    <row r="113" spans="2:46">
      <c r="B113" s="424">
        <f>+B112/7</f>
        <v>25.761904761904759</v>
      </c>
      <c r="C113" s="382" t="s">
        <v>73</v>
      </c>
      <c r="D113" s="383"/>
      <c r="O113" s="1053">
        <f>+O112/30*7</f>
        <v>198.33333333333331</v>
      </c>
      <c r="P113" s="1053"/>
      <c r="Q113" s="1053" t="s">
        <v>74</v>
      </c>
      <c r="R113" s="1053"/>
      <c r="S113" s="1053"/>
      <c r="T113" s="1053"/>
      <c r="U113" s="1053"/>
      <c r="V113" s="1053"/>
      <c r="W113" s="1053"/>
      <c r="X113" s="1053"/>
      <c r="Y113" s="1053"/>
      <c r="Z113" s="1053"/>
      <c r="AA113" s="1064">
        <f>+O113*0.87</f>
        <v>172.54999999999998</v>
      </c>
      <c r="AB113" s="1064"/>
      <c r="AD113" s="296"/>
      <c r="AE113" s="996">
        <v>22.89</v>
      </c>
      <c r="AF113" s="996"/>
      <c r="AG113" s="996"/>
      <c r="AH113" s="296"/>
      <c r="AI113" s="1069">
        <f>+AE113/AE112</f>
        <v>0.11541952400161357</v>
      </c>
      <c r="AJ113" s="1069"/>
      <c r="AK113" s="1069"/>
      <c r="AL113" s="1068">
        <f>+AI113*AL114/AI114</f>
        <v>22.181496893347781</v>
      </c>
      <c r="AM113" s="1068"/>
      <c r="AN113" s="1068"/>
      <c r="AO113" s="1070">
        <f>+AO112/7</f>
        <v>24.883070984763968</v>
      </c>
      <c r="AP113" s="1071"/>
      <c r="AQ113" s="1072"/>
      <c r="AR113" s="267"/>
      <c r="AS113" s="267"/>
      <c r="AT113" s="267"/>
    </row>
    <row r="114" spans="2:46">
      <c r="O114" s="1053">
        <f>+O113/7</f>
        <v>28.333333333333332</v>
      </c>
      <c r="P114" s="1053"/>
      <c r="Q114" s="1053" t="s">
        <v>75</v>
      </c>
      <c r="R114" s="1053"/>
      <c r="S114" s="1053"/>
      <c r="T114" s="1053"/>
      <c r="U114" s="1053"/>
      <c r="V114" s="1053"/>
      <c r="W114" s="1053"/>
      <c r="X114" s="1053"/>
      <c r="Y114" s="1053"/>
      <c r="Z114" s="1053"/>
      <c r="AD114" s="296"/>
      <c r="AE114" s="996">
        <v>175.43</v>
      </c>
      <c r="AF114" s="996"/>
      <c r="AG114" s="996"/>
      <c r="AH114" s="296"/>
      <c r="AI114" s="1066">
        <f>1-AI113</f>
        <v>0.88458047599838641</v>
      </c>
      <c r="AJ114" s="1067"/>
      <c r="AK114" s="1067"/>
      <c r="AL114" s="1068">
        <v>170</v>
      </c>
      <c r="AM114" s="1068"/>
      <c r="AN114" s="1068"/>
      <c r="AO114" s="996"/>
      <c r="AP114" s="996"/>
      <c r="AQ114" s="996"/>
      <c r="AR114" s="267"/>
      <c r="AS114" s="267"/>
      <c r="AT114" s="267"/>
    </row>
    <row r="115" spans="2:46" ht="15.75">
      <c r="B115" s="388">
        <f>+B113</f>
        <v>25.761904761904759</v>
      </c>
      <c r="C115" s="389" t="s">
        <v>76</v>
      </c>
      <c r="D115" s="390"/>
      <c r="E115" s="390"/>
      <c r="F115" s="390"/>
      <c r="O115" s="1065">
        <f>(O113-18)/7</f>
        <v>25.761904761904759</v>
      </c>
      <c r="P115" s="1065"/>
      <c r="Q115" s="1065" t="s">
        <v>77</v>
      </c>
      <c r="R115" s="1065"/>
      <c r="S115" s="1065"/>
      <c r="T115" s="1065"/>
      <c r="U115" s="1065"/>
      <c r="V115" s="1065"/>
      <c r="W115" s="1065"/>
      <c r="X115" s="1065"/>
      <c r="Y115" s="1065"/>
      <c r="Z115" s="1065"/>
      <c r="AD115" s="296"/>
      <c r="AE115" s="996"/>
      <c r="AF115" s="996"/>
      <c r="AG115" s="996"/>
      <c r="AH115" s="296"/>
      <c r="AI115" s="1067"/>
      <c r="AJ115" s="1067"/>
      <c r="AK115" s="1067"/>
      <c r="AL115" s="296"/>
      <c r="AM115" s="385"/>
      <c r="AN115" s="385"/>
      <c r="AO115" s="385"/>
      <c r="AP115" s="386"/>
      <c r="AQ115" s="386"/>
      <c r="AR115" s="267"/>
      <c r="AS115" s="267"/>
      <c r="AT115" s="267"/>
    </row>
    <row r="116" spans="2:46">
      <c r="B116" s="168">
        <v>3</v>
      </c>
      <c r="C116" s="240" t="s">
        <v>78</v>
      </c>
      <c r="O116" s="1053">
        <v>3</v>
      </c>
      <c r="P116" s="1053"/>
      <c r="Q116" s="1053" t="s">
        <v>79</v>
      </c>
      <c r="R116" s="1053"/>
      <c r="S116" s="1053"/>
      <c r="T116" s="1053"/>
      <c r="U116" s="1053"/>
      <c r="V116" s="1053"/>
      <c r="W116" s="1053"/>
      <c r="X116" s="1053"/>
      <c r="Y116" s="1053"/>
      <c r="Z116" s="1053"/>
      <c r="AD116" s="296"/>
      <c r="AE116" s="996">
        <v>198.39</v>
      </c>
      <c r="AF116" s="996"/>
      <c r="AG116" s="996"/>
      <c r="AH116" s="296"/>
      <c r="AI116" s="1067">
        <v>198.32</v>
      </c>
      <c r="AJ116" s="1067"/>
      <c r="AK116" s="1067"/>
      <c r="AL116" s="296"/>
      <c r="AM116" s="385"/>
      <c r="AN116" s="385"/>
      <c r="AO116" s="385"/>
      <c r="AP116" s="386"/>
      <c r="AQ116" s="386"/>
      <c r="AR116" s="267"/>
      <c r="AS116" s="267"/>
      <c r="AT116" s="267"/>
    </row>
    <row r="117" spans="2:46">
      <c r="B117" s="381">
        <f>+B116+B115</f>
        <v>28.761904761904759</v>
      </c>
      <c r="C117" s="382" t="s">
        <v>80</v>
      </c>
      <c r="D117" s="393"/>
      <c r="E117" s="394"/>
      <c r="F117" s="395"/>
      <c r="G117" s="393"/>
      <c r="H117" s="393"/>
      <c r="I117" s="395"/>
      <c r="J117" s="393"/>
      <c r="K117" s="396"/>
      <c r="L117" s="396"/>
      <c r="M117" s="383"/>
      <c r="O117" s="1053">
        <f>+O116+O115</f>
        <v>28.761904761904759</v>
      </c>
      <c r="P117" s="1053"/>
      <c r="AD117" s="296"/>
      <c r="AE117" s="1073">
        <f>+AE116/7*30</f>
        <v>850.24285714285702</v>
      </c>
      <c r="AF117" s="1073"/>
      <c r="AG117" s="1073"/>
      <c r="AH117" s="296"/>
      <c r="AI117" s="1074">
        <f>+AI116/7*30</f>
        <v>849.94285714285718</v>
      </c>
      <c r="AJ117" s="1074"/>
      <c r="AK117" s="1074"/>
      <c r="AL117" s="296"/>
      <c r="AM117" s="387"/>
      <c r="AN117" s="387"/>
      <c r="AO117" s="387"/>
      <c r="AP117" s="397"/>
      <c r="AQ117" s="267"/>
      <c r="AR117" s="267"/>
      <c r="AS117" s="267"/>
      <c r="AT117" s="267"/>
    </row>
    <row r="118" spans="2:46">
      <c r="B118" s="168"/>
      <c r="AD118" s="296"/>
      <c r="AE118" s="296"/>
      <c r="AF118" s="296"/>
      <c r="AG118" s="296"/>
      <c r="AH118" s="296"/>
      <c r="AI118" s="296"/>
      <c r="AJ118" s="296"/>
      <c r="AK118" s="296"/>
      <c r="AL118" s="296"/>
      <c r="AM118" s="296"/>
      <c r="AN118" s="296"/>
      <c r="AO118" s="296"/>
      <c r="AP118" s="267"/>
      <c r="AQ118" s="267"/>
      <c r="AR118" s="267"/>
      <c r="AS118" s="267"/>
      <c r="AT118" s="267"/>
    </row>
    <row r="119" spans="2:46">
      <c r="B119" s="168">
        <f>+B117*6</f>
        <v>172.57142857142856</v>
      </c>
      <c r="C119" s="240" t="s">
        <v>81</v>
      </c>
      <c r="O119" s="1053" t="s">
        <v>82</v>
      </c>
      <c r="P119" s="1053"/>
      <c r="Q119" s="1053"/>
      <c r="R119" s="1053"/>
      <c r="S119" s="1053"/>
      <c r="T119" s="1053"/>
      <c r="U119" s="1053"/>
      <c r="V119" s="1053"/>
      <c r="W119" s="1053"/>
      <c r="X119" s="1053"/>
      <c r="Y119" s="1053"/>
      <c r="Z119" s="1053"/>
      <c r="AD119" s="296"/>
      <c r="AE119" s="296"/>
      <c r="AF119" s="296"/>
      <c r="AG119" s="296"/>
      <c r="AH119" s="296"/>
      <c r="AI119" s="385"/>
      <c r="AJ119" s="385"/>
      <c r="AK119" s="387"/>
      <c r="AL119" s="667"/>
      <c r="AM119" s="681"/>
      <c r="AN119" s="667"/>
      <c r="AO119" s="296"/>
      <c r="AP119" s="267"/>
      <c r="AQ119" s="267"/>
      <c r="AR119" s="267"/>
      <c r="AS119" s="267"/>
      <c r="AT119" s="267"/>
    </row>
    <row r="120" spans="2:46">
      <c r="B120" s="399">
        <f>+B115</f>
        <v>25.761904761904759</v>
      </c>
      <c r="C120" s="400" t="s">
        <v>83</v>
      </c>
      <c r="D120" s="401"/>
      <c r="E120" s="402"/>
      <c r="F120" s="403"/>
      <c r="G120" s="401"/>
      <c r="H120" s="401"/>
      <c r="I120" s="403"/>
      <c r="J120" s="401"/>
      <c r="K120" s="404"/>
      <c r="L120" s="405"/>
      <c r="O120" s="1053">
        <f>+O112*1.1</f>
        <v>935.00000000000011</v>
      </c>
      <c r="P120" s="1053"/>
      <c r="Q120" s="1053" t="s">
        <v>71</v>
      </c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7" t="s">
        <v>84</v>
      </c>
      <c r="AG120" s="267"/>
      <c r="AH120" s="267"/>
      <c r="AI120" s="386"/>
      <c r="AJ120" s="386"/>
      <c r="AK120" s="386"/>
      <c r="AL120" s="267"/>
      <c r="AM120" s="267"/>
      <c r="AN120" s="267"/>
      <c r="AO120" s="267"/>
    </row>
    <row r="121" spans="2:46">
      <c r="B121" s="381">
        <f>+B120+B119</f>
        <v>198.33333333333331</v>
      </c>
      <c r="C121" s="382" t="s">
        <v>85</v>
      </c>
      <c r="D121" s="393"/>
      <c r="E121" s="394"/>
      <c r="F121" s="395"/>
      <c r="G121" s="393"/>
      <c r="H121" s="393"/>
      <c r="I121" s="395"/>
      <c r="J121" s="393"/>
      <c r="K121" s="406"/>
      <c r="L121" s="405"/>
      <c r="O121" s="1053">
        <f>+O120/30*7</f>
        <v>218.16666666666669</v>
      </c>
      <c r="P121" s="1053"/>
      <c r="Q121" s="1053" t="s">
        <v>74</v>
      </c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64">
        <f>+O121*0.87</f>
        <v>189.80500000000001</v>
      </c>
      <c r="AB121" s="1064"/>
      <c r="AG121" s="267"/>
      <c r="AH121" s="267"/>
      <c r="AI121" s="386"/>
      <c r="AJ121" s="386"/>
      <c r="AK121" s="407"/>
      <c r="AL121" s="267"/>
      <c r="AM121" s="267"/>
      <c r="AN121" s="267"/>
      <c r="AO121" s="267"/>
    </row>
    <row r="122" spans="2:46">
      <c r="B122" s="408"/>
      <c r="C122" s="409"/>
      <c r="D122" s="333"/>
      <c r="E122" s="410"/>
      <c r="F122" s="411"/>
      <c r="G122" s="333"/>
      <c r="H122" s="333"/>
      <c r="I122" s="411"/>
      <c r="J122" s="333"/>
      <c r="K122" s="405"/>
      <c r="L122" s="405"/>
      <c r="O122" s="1053">
        <f>+O121/7</f>
        <v>31.166666666666668</v>
      </c>
      <c r="P122" s="1053"/>
      <c r="Q122" s="1053" t="s">
        <v>75</v>
      </c>
      <c r="R122" s="1053"/>
      <c r="S122" s="1053"/>
      <c r="T122" s="1053"/>
      <c r="U122" s="1053"/>
      <c r="V122" s="1053"/>
      <c r="W122" s="1053"/>
      <c r="X122" s="1053"/>
      <c r="Y122" s="1053"/>
      <c r="Z122" s="1053"/>
      <c r="AG122" s="267"/>
      <c r="AH122" s="267"/>
      <c r="AI122" s="412"/>
      <c r="AJ122" s="413"/>
      <c r="AK122" s="407"/>
      <c r="AL122" s="267"/>
      <c r="AM122" s="267"/>
      <c r="AN122" s="267"/>
      <c r="AO122" s="267"/>
    </row>
    <row r="123" spans="2:46" ht="15.75">
      <c r="B123" s="426">
        <f>+B121/7</f>
        <v>28.333333333333332</v>
      </c>
      <c r="C123" s="415" t="s">
        <v>86</v>
      </c>
      <c r="D123" s="416"/>
      <c r="E123" s="417"/>
      <c r="F123" s="411"/>
      <c r="G123" s="333"/>
      <c r="H123" s="333"/>
      <c r="I123" s="411"/>
      <c r="J123" s="333"/>
      <c r="K123" s="405"/>
      <c r="L123" s="405"/>
      <c r="O123" s="1065">
        <f>(O121-18)/7</f>
        <v>28.595238095238098</v>
      </c>
      <c r="P123" s="1065"/>
      <c r="Q123" s="1065" t="s">
        <v>77</v>
      </c>
      <c r="R123" s="1065"/>
      <c r="S123" s="1065"/>
      <c r="T123" s="1065"/>
      <c r="U123" s="1065"/>
      <c r="V123" s="1065"/>
      <c r="W123" s="1065"/>
      <c r="X123" s="1065"/>
      <c r="Y123" s="1065"/>
      <c r="Z123" s="1065"/>
      <c r="AG123" s="267"/>
      <c r="AH123" s="267"/>
      <c r="AI123" s="267"/>
      <c r="AJ123" s="267"/>
      <c r="AK123" s="407"/>
      <c r="AL123" s="267"/>
      <c r="AM123" s="267"/>
      <c r="AN123" s="267"/>
      <c r="AO123" s="267"/>
    </row>
    <row r="124" spans="2:46">
      <c r="B124" s="408"/>
      <c r="C124" s="409"/>
      <c r="D124" s="333"/>
      <c r="E124" s="410"/>
      <c r="F124" s="411"/>
      <c r="G124" s="333"/>
      <c r="H124" s="333"/>
      <c r="I124" s="411"/>
      <c r="J124" s="333"/>
      <c r="K124" s="405"/>
      <c r="L124" s="405"/>
      <c r="O124" s="1053">
        <v>3</v>
      </c>
      <c r="P124" s="1053"/>
      <c r="Q124" s="1053" t="s">
        <v>79</v>
      </c>
      <c r="R124" s="1053"/>
      <c r="S124" s="1053"/>
      <c r="T124" s="1053"/>
      <c r="U124" s="1053"/>
      <c r="V124" s="1053"/>
      <c r="W124" s="1053"/>
      <c r="X124" s="1053"/>
      <c r="Y124" s="1053"/>
      <c r="Z124" s="1053"/>
      <c r="AG124" s="267"/>
      <c r="AH124" s="267"/>
      <c r="AI124" s="267"/>
      <c r="AJ124" s="267"/>
      <c r="AK124" s="267"/>
      <c r="AL124" s="267"/>
      <c r="AM124" s="267"/>
      <c r="AN124" s="267"/>
      <c r="AO124" s="267"/>
    </row>
    <row r="125" spans="2:46">
      <c r="B125" s="408">
        <v>28.333333333333332</v>
      </c>
      <c r="C125" s="409"/>
      <c r="D125" s="333"/>
      <c r="E125" s="410"/>
      <c r="F125" s="411"/>
      <c r="G125" s="333"/>
      <c r="H125" s="333"/>
      <c r="I125" s="411"/>
      <c r="J125" s="333"/>
      <c r="K125" s="405"/>
      <c r="L125" s="405"/>
      <c r="O125" s="1053">
        <f>+O124+O123</f>
        <v>31.595238095238098</v>
      </c>
      <c r="P125" s="1053"/>
      <c r="AG125" s="267"/>
      <c r="AH125" s="267"/>
      <c r="AI125" s="267"/>
      <c r="AJ125" s="267"/>
      <c r="AK125" s="267"/>
      <c r="AL125" s="267"/>
      <c r="AM125" s="267"/>
      <c r="AN125" s="267"/>
      <c r="AO125" s="267"/>
    </row>
    <row r="126" spans="2:46">
      <c r="B126" s="168"/>
      <c r="AG126" s="267"/>
      <c r="AH126" s="267"/>
      <c r="AI126" s="267"/>
      <c r="AJ126" s="267"/>
      <c r="AK126" s="267"/>
      <c r="AL126" s="267"/>
      <c r="AM126" s="267"/>
      <c r="AN126" s="267"/>
      <c r="AO126" s="267"/>
    </row>
    <row r="127" spans="2:46">
      <c r="B127" s="168"/>
      <c r="AG127" s="267"/>
      <c r="AH127" s="267"/>
      <c r="AI127" s="267"/>
      <c r="AJ127" s="267"/>
      <c r="AK127" s="267"/>
      <c r="AL127" s="267"/>
      <c r="AM127" s="267"/>
      <c r="AN127" s="267"/>
      <c r="AO127" s="267"/>
    </row>
    <row r="128" spans="2:46" ht="26.25" thickBot="1">
      <c r="B128" s="377" t="s">
        <v>89</v>
      </c>
      <c r="H128" s="1052">
        <v>42922</v>
      </c>
      <c r="I128" s="1052"/>
      <c r="J128" s="1052"/>
      <c r="K128" s="1052"/>
      <c r="L128" s="1052"/>
      <c r="M128" s="1052"/>
      <c r="N128" s="1052"/>
      <c r="AD128" s="378"/>
      <c r="AE128" s="378"/>
      <c r="AF128" s="378"/>
      <c r="AG128" s="167"/>
      <c r="AH128" s="167"/>
      <c r="AI128" s="167"/>
      <c r="AJ128" s="376"/>
      <c r="AK128" s="376"/>
    </row>
    <row r="129" spans="2:46" ht="16.5" thickBot="1">
      <c r="B129" s="379">
        <v>1231.53</v>
      </c>
      <c r="C129" s="240" t="s">
        <v>67</v>
      </c>
      <c r="AD129" s="296"/>
      <c r="AE129" s="296"/>
      <c r="AF129" s="296"/>
      <c r="AG129" s="296"/>
      <c r="AH129" s="296"/>
      <c r="AI129" s="296"/>
      <c r="AJ129" s="296"/>
      <c r="AK129" s="296"/>
      <c r="AL129" s="296"/>
      <c r="AM129" s="296"/>
      <c r="AN129" s="296"/>
      <c r="AO129" s="296"/>
      <c r="AP129" s="267"/>
      <c r="AQ129" s="267"/>
      <c r="AR129" s="267"/>
      <c r="AS129" s="267"/>
      <c r="AT129" s="267"/>
    </row>
    <row r="130" spans="2:46" ht="15.75">
      <c r="B130" s="168">
        <f>+B129/30*7</f>
        <v>287.35700000000003</v>
      </c>
      <c r="C130" s="240" t="s">
        <v>68</v>
      </c>
      <c r="D130" s="380"/>
      <c r="O130" s="1053" t="s">
        <v>69</v>
      </c>
      <c r="P130" s="1053"/>
      <c r="Q130" s="1053"/>
      <c r="R130" s="1053"/>
      <c r="S130" s="1053"/>
      <c r="T130" s="1053"/>
      <c r="U130" s="1053"/>
      <c r="V130" s="1053"/>
      <c r="W130" s="1053"/>
      <c r="X130" s="1053"/>
      <c r="Y130" s="1053"/>
      <c r="Z130" s="1053"/>
      <c r="AD130" s="296"/>
      <c r="AE130" s="681"/>
      <c r="AF130" s="681"/>
      <c r="AG130" s="296"/>
      <c r="AH130" s="296"/>
      <c r="AI130" s="296"/>
      <c r="AJ130" s="681"/>
      <c r="AK130" s="681"/>
      <c r="AL130" s="296"/>
      <c r="AM130" s="296"/>
      <c r="AN130" s="296"/>
      <c r="AO130" s="296"/>
      <c r="AP130" s="267"/>
      <c r="AQ130" s="267"/>
      <c r="AR130" s="267"/>
      <c r="AS130" s="267"/>
      <c r="AT130" s="267"/>
    </row>
    <row r="131" spans="2:46">
      <c r="B131" s="168">
        <f>+B130-18</f>
        <v>269.35700000000003</v>
      </c>
      <c r="C131" s="240" t="s">
        <v>70</v>
      </c>
      <c r="O131" s="1053">
        <f>+B129</f>
        <v>1231.53</v>
      </c>
      <c r="P131" s="1053"/>
      <c r="Q131" s="1053" t="s">
        <v>71</v>
      </c>
      <c r="R131" s="1053"/>
      <c r="S131" s="1053"/>
      <c r="T131" s="1053"/>
      <c r="U131" s="1053"/>
      <c r="V131" s="1053"/>
      <c r="W131" s="1053"/>
      <c r="X131" s="1053"/>
      <c r="Y131" s="1053"/>
      <c r="Z131" s="1053"/>
      <c r="AA131" s="7" t="s">
        <v>72</v>
      </c>
      <c r="AD131" s="296"/>
      <c r="AE131" s="681"/>
      <c r="AF131" s="681"/>
      <c r="AG131" s="296"/>
      <c r="AH131" s="296"/>
      <c r="AI131" s="296"/>
      <c r="AJ131" s="681"/>
      <c r="AK131" s="681"/>
      <c r="AL131" s="296"/>
      <c r="AM131" s="296"/>
      <c r="AN131" s="296"/>
      <c r="AO131" s="296"/>
      <c r="AP131" s="267"/>
      <c r="AQ131" s="267"/>
      <c r="AR131" s="267"/>
      <c r="AS131" s="267"/>
      <c r="AT131" s="267"/>
    </row>
    <row r="132" spans="2:46">
      <c r="B132" s="381">
        <f>+B131/7+0</f>
        <v>38.479571428571433</v>
      </c>
      <c r="C132" s="382" t="s">
        <v>73</v>
      </c>
      <c r="D132" s="383"/>
      <c r="O132" s="1053">
        <f>+O131/30*7</f>
        <v>287.35700000000003</v>
      </c>
      <c r="P132" s="1053"/>
      <c r="Q132" s="1053" t="s">
        <v>74</v>
      </c>
      <c r="R132" s="1053"/>
      <c r="S132" s="1053"/>
      <c r="T132" s="1053"/>
      <c r="U132" s="1053"/>
      <c r="V132" s="1053"/>
      <c r="W132" s="1053"/>
      <c r="X132" s="1053"/>
      <c r="Y132" s="1053"/>
      <c r="Z132" s="1053"/>
      <c r="AA132" s="1064">
        <f>+O132*0.87</f>
        <v>250.00059000000002</v>
      </c>
      <c r="AB132" s="1064"/>
      <c r="AD132" s="296"/>
      <c r="AE132" s="384"/>
      <c r="AF132" s="384"/>
      <c r="AG132" s="296"/>
      <c r="AH132" s="296"/>
      <c r="AI132" s="296"/>
      <c r="AJ132" s="384"/>
      <c r="AK132" s="384"/>
      <c r="AL132" s="385"/>
      <c r="AM132" s="385"/>
      <c r="AN132" s="385"/>
      <c r="AO132" s="385"/>
      <c r="AP132" s="386"/>
      <c r="AQ132" s="386"/>
      <c r="AR132" s="267"/>
      <c r="AS132" s="267"/>
      <c r="AT132" s="267"/>
    </row>
    <row r="133" spans="2:46">
      <c r="O133" s="1053">
        <f>+O132/7</f>
        <v>41.051000000000002</v>
      </c>
      <c r="P133" s="1053"/>
      <c r="Q133" s="1053" t="s">
        <v>75</v>
      </c>
      <c r="R133" s="1053"/>
      <c r="S133" s="1053"/>
      <c r="T133" s="1053"/>
      <c r="U133" s="1053"/>
      <c r="V133" s="1053"/>
      <c r="W133" s="1053"/>
      <c r="X133" s="1053"/>
      <c r="Y133" s="1053"/>
      <c r="Z133" s="1053"/>
      <c r="AD133" s="296"/>
      <c r="AE133" s="681"/>
      <c r="AF133" s="681"/>
      <c r="AG133" s="296"/>
      <c r="AH133" s="296"/>
      <c r="AI133" s="296"/>
      <c r="AJ133" s="681"/>
      <c r="AK133" s="681"/>
      <c r="AL133" s="387"/>
      <c r="AM133" s="387"/>
      <c r="AN133" s="385"/>
      <c r="AO133" s="385"/>
      <c r="AP133" s="386"/>
      <c r="AQ133" s="386"/>
      <c r="AR133" s="267"/>
      <c r="AS133" s="267"/>
      <c r="AT133" s="267"/>
    </row>
    <row r="134" spans="2:46" ht="15.75">
      <c r="B134" s="427">
        <f>+B132</f>
        <v>38.479571428571433</v>
      </c>
      <c r="C134" s="389" t="s">
        <v>76</v>
      </c>
      <c r="D134" s="390"/>
      <c r="E134" s="390"/>
      <c r="F134" s="390"/>
      <c r="O134" s="1065">
        <f>(O132-18)/7</f>
        <v>38.479571428571433</v>
      </c>
      <c r="P134" s="1065"/>
      <c r="Q134" s="1065" t="s">
        <v>77</v>
      </c>
      <c r="R134" s="1065"/>
      <c r="S134" s="1065"/>
      <c r="T134" s="1065"/>
      <c r="U134" s="1065"/>
      <c r="V134" s="1065"/>
      <c r="W134" s="1065"/>
      <c r="X134" s="1065"/>
      <c r="Y134" s="1065"/>
      <c r="Z134" s="1065"/>
      <c r="AD134" s="296"/>
      <c r="AE134" s="391"/>
      <c r="AF134" s="391"/>
      <c r="AG134" s="392"/>
      <c r="AH134" s="392"/>
      <c r="AI134" s="392"/>
      <c r="AJ134" s="391"/>
      <c r="AK134" s="391"/>
      <c r="AL134" s="385"/>
      <c r="AM134" s="385"/>
      <c r="AN134" s="385"/>
      <c r="AO134" s="385"/>
      <c r="AP134" s="386"/>
      <c r="AQ134" s="386"/>
      <c r="AR134" s="267"/>
      <c r="AS134" s="267"/>
      <c r="AT134" s="267"/>
    </row>
    <row r="135" spans="2:46">
      <c r="B135" s="168">
        <v>3</v>
      </c>
      <c r="C135" s="240" t="s">
        <v>78</v>
      </c>
      <c r="O135" s="1053">
        <v>3</v>
      </c>
      <c r="P135" s="1053"/>
      <c r="Q135" s="1053" t="s">
        <v>79</v>
      </c>
      <c r="R135" s="1053"/>
      <c r="S135" s="1053"/>
      <c r="T135" s="1053"/>
      <c r="U135" s="1053"/>
      <c r="V135" s="1053"/>
      <c r="W135" s="1053"/>
      <c r="X135" s="1053"/>
      <c r="Y135" s="1053"/>
      <c r="Z135" s="1053"/>
      <c r="AD135" s="296"/>
      <c r="AE135" s="296"/>
      <c r="AF135" s="391"/>
      <c r="AG135" s="392"/>
      <c r="AH135" s="392"/>
      <c r="AI135" s="392"/>
      <c r="AJ135" s="391"/>
      <c r="AK135" s="296"/>
      <c r="AL135" s="385"/>
      <c r="AM135" s="385"/>
      <c r="AN135" s="385"/>
      <c r="AO135" s="385"/>
      <c r="AP135" s="386"/>
      <c r="AQ135" s="386"/>
      <c r="AR135" s="267"/>
      <c r="AS135" s="267"/>
      <c r="AT135" s="267"/>
    </row>
    <row r="136" spans="2:46">
      <c r="B136" s="381">
        <f>+B135+B134</f>
        <v>41.479571428571433</v>
      </c>
      <c r="C136" s="382" t="s">
        <v>80</v>
      </c>
      <c r="D136" s="393"/>
      <c r="E136" s="394"/>
      <c r="F136" s="395"/>
      <c r="G136" s="393"/>
      <c r="H136" s="393"/>
      <c r="I136" s="395"/>
      <c r="J136" s="393"/>
      <c r="K136" s="396"/>
      <c r="L136" s="396"/>
      <c r="M136" s="383"/>
      <c r="O136" s="1053">
        <f>+O135+O134</f>
        <v>41.479571428571433</v>
      </c>
      <c r="P136" s="1053"/>
      <c r="AD136" s="296"/>
      <c r="AE136" s="681"/>
      <c r="AF136" s="681"/>
      <c r="AG136" s="296"/>
      <c r="AH136" s="296"/>
      <c r="AI136" s="296"/>
      <c r="AJ136" s="681"/>
      <c r="AK136" s="681"/>
      <c r="AL136" s="387"/>
      <c r="AM136" s="387"/>
      <c r="AN136" s="387"/>
      <c r="AO136" s="387"/>
      <c r="AP136" s="397"/>
      <c r="AQ136" s="267"/>
      <c r="AR136" s="267"/>
      <c r="AS136" s="267"/>
      <c r="AT136" s="267"/>
    </row>
    <row r="137" spans="2:46">
      <c r="B137" s="168"/>
      <c r="AD137" s="296"/>
      <c r="AE137" s="398"/>
      <c r="AF137" s="398"/>
      <c r="AG137" s="398"/>
      <c r="AH137" s="296"/>
      <c r="AI137" s="296"/>
      <c r="AJ137" s="398"/>
      <c r="AK137" s="398"/>
      <c r="AL137" s="385"/>
      <c r="AM137" s="296"/>
      <c r="AN137" s="296"/>
      <c r="AO137" s="296"/>
      <c r="AP137" s="267"/>
      <c r="AQ137" s="267"/>
      <c r="AR137" s="267"/>
      <c r="AS137" s="267"/>
      <c r="AT137" s="267"/>
    </row>
    <row r="138" spans="2:46">
      <c r="B138" s="168">
        <f>+B136*6</f>
        <v>248.8774285714286</v>
      </c>
      <c r="C138" s="240" t="s">
        <v>81</v>
      </c>
      <c r="O138" s="1053" t="s">
        <v>82</v>
      </c>
      <c r="P138" s="1053"/>
      <c r="Q138" s="1053"/>
      <c r="R138" s="1053"/>
      <c r="S138" s="1053"/>
      <c r="T138" s="1053"/>
      <c r="U138" s="1053"/>
      <c r="V138" s="1053"/>
      <c r="W138" s="1053"/>
      <c r="X138" s="1053"/>
      <c r="Y138" s="1053"/>
      <c r="Z138" s="1053"/>
      <c r="AD138" s="296"/>
      <c r="AE138" s="296"/>
      <c r="AF138" s="296"/>
      <c r="AG138" s="296"/>
      <c r="AH138" s="296"/>
      <c r="AI138" s="385"/>
      <c r="AJ138" s="385"/>
      <c r="AK138" s="387"/>
      <c r="AL138" s="667"/>
      <c r="AM138" s="681"/>
      <c r="AN138" s="667"/>
      <c r="AO138" s="296"/>
      <c r="AP138" s="267"/>
      <c r="AQ138" s="267"/>
      <c r="AR138" s="267"/>
      <c r="AS138" s="267"/>
      <c r="AT138" s="267"/>
    </row>
    <row r="139" spans="2:46">
      <c r="B139" s="399">
        <f>+B134</f>
        <v>38.479571428571433</v>
      </c>
      <c r="C139" s="400" t="s">
        <v>83</v>
      </c>
      <c r="D139" s="401"/>
      <c r="E139" s="402"/>
      <c r="F139" s="403"/>
      <c r="G139" s="401"/>
      <c r="H139" s="401"/>
      <c r="I139" s="403"/>
      <c r="J139" s="401"/>
      <c r="K139" s="404"/>
      <c r="L139" s="405"/>
      <c r="O139" s="1053">
        <f>+O131*1.1</f>
        <v>1354.683</v>
      </c>
      <c r="P139" s="1053"/>
      <c r="Q139" s="1053" t="s">
        <v>71</v>
      </c>
      <c r="R139" s="1053"/>
      <c r="S139" s="1053"/>
      <c r="T139" s="1053"/>
      <c r="U139" s="1053"/>
      <c r="V139" s="1053"/>
      <c r="W139" s="1053"/>
      <c r="X139" s="1053"/>
      <c r="Y139" s="1053"/>
      <c r="Z139" s="1053"/>
      <c r="AA139" s="7" t="s">
        <v>84</v>
      </c>
      <c r="AG139" s="267"/>
      <c r="AH139" s="267"/>
      <c r="AI139" s="386"/>
      <c r="AJ139" s="386"/>
      <c r="AK139" s="386"/>
      <c r="AL139" s="267"/>
      <c r="AM139" s="267"/>
      <c r="AN139" s="267"/>
      <c r="AO139" s="267"/>
    </row>
    <row r="140" spans="2:46">
      <c r="B140" s="381">
        <f>+B139+B138</f>
        <v>287.35700000000003</v>
      </c>
      <c r="C140" s="382" t="s">
        <v>85</v>
      </c>
      <c r="D140" s="393"/>
      <c r="E140" s="394"/>
      <c r="F140" s="395"/>
      <c r="G140" s="393"/>
      <c r="H140" s="393"/>
      <c r="I140" s="395"/>
      <c r="J140" s="393"/>
      <c r="K140" s="406"/>
      <c r="L140" s="405"/>
      <c r="O140" s="1053">
        <f>+O139/30*7</f>
        <v>316.09270000000004</v>
      </c>
      <c r="P140" s="1053"/>
      <c r="Q140" s="1053" t="s">
        <v>74</v>
      </c>
      <c r="R140" s="1053"/>
      <c r="S140" s="1053"/>
      <c r="T140" s="1053"/>
      <c r="U140" s="1053"/>
      <c r="V140" s="1053"/>
      <c r="W140" s="1053"/>
      <c r="X140" s="1053"/>
      <c r="Y140" s="1053"/>
      <c r="Z140" s="1053"/>
      <c r="AA140" s="1064">
        <f>+O140*0.87</f>
        <v>275.00064900000001</v>
      </c>
      <c r="AB140" s="1064"/>
      <c r="AG140" s="267"/>
      <c r="AH140" s="267"/>
      <c r="AI140" s="386"/>
      <c r="AJ140" s="386"/>
      <c r="AK140" s="407"/>
      <c r="AL140" s="267"/>
      <c r="AM140" s="267"/>
      <c r="AN140" s="267"/>
      <c r="AO140" s="267"/>
    </row>
    <row r="141" spans="2:46">
      <c r="B141" s="408"/>
      <c r="C141" s="409"/>
      <c r="D141" s="333"/>
      <c r="E141" s="410"/>
      <c r="F141" s="411"/>
      <c r="G141" s="333"/>
      <c r="H141" s="333"/>
      <c r="I141" s="411"/>
      <c r="J141" s="333"/>
      <c r="K141" s="405"/>
      <c r="L141" s="405"/>
      <c r="O141" s="1053">
        <f>+O140/7</f>
        <v>45.156100000000002</v>
      </c>
      <c r="P141" s="1053"/>
      <c r="Q141" s="1053" t="s">
        <v>75</v>
      </c>
      <c r="R141" s="1053"/>
      <c r="S141" s="1053"/>
      <c r="T141" s="1053"/>
      <c r="U141" s="1053"/>
      <c r="V141" s="1053"/>
      <c r="W141" s="1053"/>
      <c r="X141" s="1053"/>
      <c r="Y141" s="1053"/>
      <c r="Z141" s="1053"/>
      <c r="AG141" s="267"/>
      <c r="AH141" s="267"/>
      <c r="AI141" s="412"/>
      <c r="AJ141" s="413"/>
      <c r="AK141" s="407"/>
      <c r="AL141" s="267"/>
      <c r="AM141" s="267"/>
      <c r="AN141" s="267"/>
      <c r="AO141" s="267"/>
    </row>
    <row r="142" spans="2:46" ht="15.75">
      <c r="B142" s="426">
        <f>+B140/7</f>
        <v>41.051000000000002</v>
      </c>
      <c r="C142" s="415" t="s">
        <v>86</v>
      </c>
      <c r="D142" s="416"/>
      <c r="E142" s="417"/>
      <c r="F142" s="418"/>
      <c r="G142" s="419"/>
      <c r="H142" s="419"/>
      <c r="I142" s="411"/>
      <c r="J142" s="333"/>
      <c r="K142" s="405"/>
      <c r="L142" s="405"/>
      <c r="O142" s="1065">
        <f>(O140-18)/7</f>
        <v>42.584671428571433</v>
      </c>
      <c r="P142" s="1065"/>
      <c r="Q142" s="1065" t="s">
        <v>77</v>
      </c>
      <c r="R142" s="1065"/>
      <c r="S142" s="1065"/>
      <c r="T142" s="1065"/>
      <c r="U142" s="1065"/>
      <c r="V142" s="1065"/>
      <c r="W142" s="1065"/>
      <c r="X142" s="1065"/>
      <c r="Y142" s="1065"/>
      <c r="Z142" s="1065"/>
      <c r="AG142" s="267"/>
      <c r="AH142" s="267"/>
      <c r="AI142" s="267"/>
      <c r="AJ142" s="267"/>
      <c r="AK142" s="407"/>
      <c r="AL142" s="267"/>
      <c r="AM142" s="267"/>
      <c r="AN142" s="267"/>
      <c r="AO142" s="267"/>
    </row>
    <row r="143" spans="2:46">
      <c r="B143" s="408"/>
      <c r="C143" s="409"/>
      <c r="D143" s="333"/>
      <c r="E143" s="410"/>
      <c r="F143" s="411"/>
      <c r="G143" s="333"/>
      <c r="H143" s="333"/>
      <c r="I143" s="411"/>
      <c r="J143" s="333"/>
      <c r="K143" s="405"/>
      <c r="L143" s="405"/>
      <c r="O143" s="1053">
        <v>3</v>
      </c>
      <c r="P143" s="1053"/>
      <c r="Q143" s="1053" t="s">
        <v>79</v>
      </c>
      <c r="R143" s="1053"/>
      <c r="S143" s="1053"/>
      <c r="T143" s="1053"/>
      <c r="U143" s="1053"/>
      <c r="V143" s="1053"/>
      <c r="W143" s="1053"/>
      <c r="X143" s="1053"/>
      <c r="Y143" s="1053"/>
      <c r="Z143" s="1053"/>
      <c r="AG143" s="267"/>
      <c r="AH143" s="267"/>
      <c r="AI143" s="267"/>
      <c r="AJ143" s="267"/>
      <c r="AK143" s="267"/>
      <c r="AL143" s="267"/>
      <c r="AM143" s="267"/>
      <c r="AN143" s="267"/>
      <c r="AO143" s="267"/>
    </row>
    <row r="144" spans="2:46">
      <c r="B144" s="408"/>
      <c r="C144" s="409"/>
      <c r="D144" s="333"/>
      <c r="E144" s="410"/>
      <c r="F144" s="411"/>
      <c r="G144" s="333"/>
      <c r="H144" s="333"/>
      <c r="I144" s="411"/>
      <c r="J144" s="333"/>
      <c r="K144" s="405"/>
      <c r="L144" s="405"/>
      <c r="O144" s="1053">
        <f>+O143+O142</f>
        <v>45.584671428571433</v>
      </c>
      <c r="P144" s="1053"/>
      <c r="AG144" s="267"/>
      <c r="AH144" s="267"/>
      <c r="AI144" s="267"/>
      <c r="AJ144" s="267"/>
      <c r="AK144" s="267"/>
      <c r="AL144" s="267"/>
      <c r="AM144" s="267"/>
      <c r="AN144" s="267"/>
      <c r="AO144" s="267"/>
    </row>
    <row r="145" spans="2:46">
      <c r="B145" s="168"/>
      <c r="AG145" s="267"/>
      <c r="AH145" s="267"/>
      <c r="AI145" s="267"/>
      <c r="AJ145" s="267"/>
      <c r="AK145" s="267"/>
      <c r="AL145" s="267"/>
      <c r="AM145" s="267"/>
      <c r="AN145" s="267"/>
      <c r="AO145" s="267"/>
    </row>
    <row r="146" spans="2:46" ht="26.25" thickBot="1">
      <c r="B146" s="377" t="s">
        <v>53</v>
      </c>
      <c r="H146" s="1052">
        <v>42744</v>
      </c>
      <c r="I146" s="1052"/>
      <c r="J146" s="1052"/>
      <c r="K146" s="1052"/>
      <c r="L146" s="1052"/>
      <c r="M146" s="1052"/>
      <c r="N146" s="1052"/>
      <c r="AD146" s="378"/>
      <c r="AE146" s="378"/>
      <c r="AF146" s="378"/>
      <c r="AG146" s="167"/>
      <c r="AH146" s="167"/>
      <c r="AI146" s="167"/>
      <c r="AJ146" s="376"/>
      <c r="AK146" s="376"/>
    </row>
    <row r="147" spans="2:46" ht="16.5" thickBot="1">
      <c r="B147" s="379">
        <v>1232.1400000000001</v>
      </c>
      <c r="C147" s="240" t="s">
        <v>67</v>
      </c>
      <c r="AD147" s="296"/>
      <c r="AE147" s="296"/>
      <c r="AF147" s="296"/>
      <c r="AG147" s="296"/>
      <c r="AH147" s="296"/>
      <c r="AI147" s="296"/>
      <c r="AJ147" s="296"/>
      <c r="AK147" s="296"/>
      <c r="AL147" s="296"/>
      <c r="AM147" s="296"/>
      <c r="AN147" s="296"/>
      <c r="AO147" s="296"/>
      <c r="AP147" s="267"/>
      <c r="AQ147" s="267"/>
      <c r="AR147" s="267"/>
      <c r="AS147" s="267"/>
      <c r="AT147" s="267"/>
    </row>
    <row r="148" spans="2:46" ht="15.75">
      <c r="B148" s="168">
        <f>+B147/30*7</f>
        <v>287.49933333333337</v>
      </c>
      <c r="C148" s="240" t="s">
        <v>68</v>
      </c>
      <c r="D148" s="380"/>
      <c r="O148" s="1053" t="s">
        <v>69</v>
      </c>
      <c r="P148" s="1053"/>
      <c r="Q148" s="1053"/>
      <c r="R148" s="1053"/>
      <c r="S148" s="1053"/>
      <c r="T148" s="1053"/>
      <c r="U148" s="1053"/>
      <c r="V148" s="1053"/>
      <c r="W148" s="1053"/>
      <c r="X148" s="1053"/>
      <c r="Y148" s="1053"/>
      <c r="Z148" s="1053"/>
      <c r="AD148" s="296"/>
      <c r="AE148" s="681"/>
      <c r="AF148" s="681"/>
      <c r="AG148" s="296"/>
      <c r="AH148" s="296"/>
      <c r="AI148" s="296"/>
      <c r="AJ148" s="681"/>
      <c r="AK148" s="681"/>
      <c r="AL148" s="296"/>
      <c r="AM148" s="296"/>
      <c r="AN148" s="296"/>
      <c r="AO148" s="296"/>
      <c r="AP148" s="267"/>
      <c r="AQ148" s="267"/>
      <c r="AR148" s="267"/>
      <c r="AS148" s="267"/>
      <c r="AT148" s="267"/>
    </row>
    <row r="149" spans="2:46">
      <c r="B149" s="168">
        <f>+B148-18</f>
        <v>269.49933333333337</v>
      </c>
      <c r="C149" s="240" t="s">
        <v>70</v>
      </c>
      <c r="O149" s="1053">
        <f>+B147</f>
        <v>1232.1400000000001</v>
      </c>
      <c r="P149" s="1053"/>
      <c r="Q149" s="1053" t="s">
        <v>71</v>
      </c>
      <c r="R149" s="1053"/>
      <c r="S149" s="1053"/>
      <c r="T149" s="1053"/>
      <c r="U149" s="1053"/>
      <c r="V149" s="1053"/>
      <c r="W149" s="1053"/>
      <c r="X149" s="1053"/>
      <c r="Y149" s="1053"/>
      <c r="Z149" s="1053"/>
      <c r="AA149" s="7" t="s">
        <v>72</v>
      </c>
      <c r="AD149" s="296"/>
      <c r="AE149" s="681"/>
      <c r="AF149" s="681"/>
      <c r="AG149" s="296"/>
      <c r="AH149" s="296"/>
      <c r="AI149" s="296"/>
      <c r="AJ149" s="681"/>
      <c r="AK149" s="681"/>
      <c r="AL149" s="296"/>
      <c r="AM149" s="296"/>
      <c r="AN149" s="296"/>
      <c r="AO149" s="296"/>
      <c r="AP149" s="267"/>
      <c r="AQ149" s="267"/>
      <c r="AR149" s="267"/>
      <c r="AS149" s="267"/>
      <c r="AT149" s="267"/>
    </row>
    <row r="150" spans="2:46">
      <c r="B150" s="381">
        <f>+B149/7+0</f>
        <v>38.499904761904766</v>
      </c>
      <c r="C150" s="382" t="s">
        <v>73</v>
      </c>
      <c r="D150" s="383"/>
      <c r="O150" s="1053">
        <f>+O149/30*7</f>
        <v>287.49933333333337</v>
      </c>
      <c r="P150" s="1053"/>
      <c r="Q150" s="1053" t="s">
        <v>74</v>
      </c>
      <c r="R150" s="1053"/>
      <c r="S150" s="1053"/>
      <c r="T150" s="1053"/>
      <c r="U150" s="1053"/>
      <c r="V150" s="1053"/>
      <c r="W150" s="1053"/>
      <c r="X150" s="1053"/>
      <c r="Y150" s="1053"/>
      <c r="Z150" s="1053"/>
      <c r="AA150" s="1064">
        <f>+O150*0.87</f>
        <v>250.12442000000001</v>
      </c>
      <c r="AB150" s="1064"/>
      <c r="AD150" s="296"/>
      <c r="AE150" s="384"/>
      <c r="AF150" s="384"/>
      <c r="AG150" s="296"/>
      <c r="AH150" s="296"/>
      <c r="AI150" s="296"/>
      <c r="AJ150" s="384"/>
      <c r="AK150" s="384"/>
      <c r="AL150" s="385"/>
      <c r="AM150" s="385"/>
      <c r="AN150" s="385"/>
      <c r="AO150" s="385"/>
      <c r="AP150" s="386"/>
      <c r="AQ150" s="386"/>
      <c r="AR150" s="267"/>
      <c r="AS150" s="267"/>
      <c r="AT150" s="267"/>
    </row>
    <row r="151" spans="2:46">
      <c r="O151" s="1053">
        <f>+O150/7</f>
        <v>41.071333333333335</v>
      </c>
      <c r="P151" s="1053"/>
      <c r="Q151" s="1053" t="s">
        <v>75</v>
      </c>
      <c r="R151" s="1053"/>
      <c r="S151" s="1053"/>
      <c r="T151" s="1053"/>
      <c r="U151" s="1053"/>
      <c r="V151" s="1053"/>
      <c r="W151" s="1053"/>
      <c r="X151" s="1053"/>
      <c r="Y151" s="1053"/>
      <c r="Z151" s="1053"/>
      <c r="AD151" s="296"/>
      <c r="AE151" s="681"/>
      <c r="AF151" s="681"/>
      <c r="AG151" s="296"/>
      <c r="AH151" s="296"/>
      <c r="AI151" s="296"/>
      <c r="AJ151" s="681"/>
      <c r="AK151" s="681"/>
      <c r="AL151" s="387"/>
      <c r="AM151" s="387"/>
      <c r="AN151" s="385"/>
      <c r="AO151" s="385"/>
      <c r="AP151" s="386"/>
      <c r="AQ151" s="386"/>
      <c r="AR151" s="267"/>
      <c r="AS151" s="267"/>
      <c r="AT151" s="267"/>
    </row>
    <row r="152" spans="2:46" ht="15.75">
      <c r="B152" s="427">
        <f>+B150</f>
        <v>38.499904761904766</v>
      </c>
      <c r="C152" s="389" t="s">
        <v>76</v>
      </c>
      <c r="D152" s="390"/>
      <c r="E152" s="390"/>
      <c r="F152" s="390"/>
      <c r="O152" s="1065">
        <f>(O150-18)/7</f>
        <v>38.499904761904766</v>
      </c>
      <c r="P152" s="1065"/>
      <c r="Q152" s="1065" t="s">
        <v>77</v>
      </c>
      <c r="R152" s="1065"/>
      <c r="S152" s="1065"/>
      <c r="T152" s="1065"/>
      <c r="U152" s="1065"/>
      <c r="V152" s="1065"/>
      <c r="W152" s="1065"/>
      <c r="X152" s="1065"/>
      <c r="Y152" s="1065"/>
      <c r="Z152" s="1065"/>
      <c r="AD152" s="296"/>
      <c r="AE152" s="391"/>
      <c r="AF152" s="391"/>
      <c r="AG152" s="392"/>
      <c r="AH152" s="392"/>
      <c r="AI152" s="392"/>
      <c r="AJ152" s="391"/>
      <c r="AK152" s="391"/>
      <c r="AL152" s="385"/>
      <c r="AM152" s="385"/>
      <c r="AN152" s="385"/>
      <c r="AO152" s="385"/>
      <c r="AP152" s="386"/>
      <c r="AQ152" s="386"/>
      <c r="AR152" s="267"/>
      <c r="AS152" s="267"/>
      <c r="AT152" s="267"/>
    </row>
    <row r="153" spans="2:46">
      <c r="B153" s="168">
        <v>3</v>
      </c>
      <c r="C153" s="240" t="s">
        <v>78</v>
      </c>
      <c r="O153" s="1053">
        <v>3</v>
      </c>
      <c r="P153" s="1053"/>
      <c r="Q153" s="1053" t="s">
        <v>79</v>
      </c>
      <c r="R153" s="1053"/>
      <c r="S153" s="1053"/>
      <c r="T153" s="1053"/>
      <c r="U153" s="1053"/>
      <c r="V153" s="1053"/>
      <c r="W153" s="1053"/>
      <c r="X153" s="1053"/>
      <c r="Y153" s="1053"/>
      <c r="Z153" s="1053"/>
      <c r="AD153" s="296"/>
      <c r="AE153" s="296"/>
      <c r="AF153" s="996">
        <v>993814365</v>
      </c>
      <c r="AG153" s="996"/>
      <c r="AH153" s="996"/>
      <c r="AI153" s="996"/>
      <c r="AJ153" s="996"/>
      <c r="AK153" s="296"/>
      <c r="AL153" s="385"/>
      <c r="AM153" s="385"/>
      <c r="AN153" s="385"/>
      <c r="AO153" s="385"/>
      <c r="AP153" s="386"/>
      <c r="AQ153" s="386"/>
      <c r="AR153" s="267"/>
      <c r="AS153" s="267"/>
      <c r="AT153" s="267"/>
    </row>
    <row r="154" spans="2:46">
      <c r="B154" s="381">
        <f>+B153+B152</f>
        <v>41.499904761904766</v>
      </c>
      <c r="C154" s="382" t="s">
        <v>80</v>
      </c>
      <c r="D154" s="393"/>
      <c r="E154" s="394"/>
      <c r="F154" s="395"/>
      <c r="G154" s="393"/>
      <c r="H154" s="393"/>
      <c r="I154" s="395"/>
      <c r="J154" s="393"/>
      <c r="K154" s="396"/>
      <c r="L154" s="396"/>
      <c r="M154" s="383"/>
      <c r="O154" s="1053">
        <f>+O153+O152</f>
        <v>41.499904761904766</v>
      </c>
      <c r="P154" s="1053"/>
      <c r="AD154" s="296"/>
      <c r="AE154" s="681"/>
      <c r="AF154" s="681"/>
      <c r="AG154" s="296"/>
      <c r="AH154" s="296"/>
      <c r="AI154" s="296"/>
      <c r="AJ154" s="681"/>
      <c r="AK154" s="681"/>
      <c r="AL154" s="387"/>
      <c r="AM154" s="387"/>
      <c r="AN154" s="387"/>
      <c r="AO154" s="387"/>
      <c r="AP154" s="397"/>
      <c r="AQ154" s="267"/>
      <c r="AR154" s="267"/>
      <c r="AS154" s="267"/>
      <c r="AT154" s="267"/>
    </row>
    <row r="155" spans="2:46">
      <c r="B155" s="168"/>
      <c r="AD155" s="296"/>
      <c r="AE155" s="398"/>
      <c r="AF155" s="398"/>
      <c r="AG155" s="398"/>
      <c r="AH155" s="296"/>
      <c r="AI155" s="296"/>
      <c r="AJ155" s="398"/>
      <c r="AK155" s="398"/>
      <c r="AL155" s="385"/>
      <c r="AM155" s="296"/>
      <c r="AN155" s="296"/>
      <c r="AO155" s="296"/>
      <c r="AP155" s="267"/>
      <c r="AQ155" s="267"/>
      <c r="AR155" s="267"/>
      <c r="AS155" s="267"/>
      <c r="AT155" s="267"/>
    </row>
    <row r="156" spans="2:46">
      <c r="B156" s="168">
        <f>+B154*6</f>
        <v>248.99942857142861</v>
      </c>
      <c r="C156" s="240" t="s">
        <v>81</v>
      </c>
      <c r="O156" s="1053" t="s">
        <v>82</v>
      </c>
      <c r="P156" s="1053"/>
      <c r="Q156" s="1053"/>
      <c r="R156" s="1053"/>
      <c r="S156" s="1053"/>
      <c r="T156" s="1053"/>
      <c r="U156" s="1053"/>
      <c r="V156" s="1053"/>
      <c r="W156" s="1053"/>
      <c r="X156" s="1053"/>
      <c r="Y156" s="1053"/>
      <c r="Z156" s="1053"/>
      <c r="AD156" s="296"/>
      <c r="AE156" s="296"/>
      <c r="AF156" s="296"/>
      <c r="AG156" s="296"/>
      <c r="AH156" s="296"/>
      <c r="AI156" s="385"/>
      <c r="AJ156" s="385"/>
      <c r="AK156" s="387"/>
      <c r="AL156" s="667"/>
      <c r="AM156" s="681"/>
      <c r="AN156" s="667"/>
      <c r="AO156" s="296"/>
      <c r="AP156" s="267"/>
      <c r="AQ156" s="267"/>
      <c r="AR156" s="267"/>
      <c r="AS156" s="267"/>
      <c r="AT156" s="267"/>
    </row>
    <row r="157" spans="2:46">
      <c r="B157" s="399">
        <f>+B152</f>
        <v>38.499904761904766</v>
      </c>
      <c r="C157" s="400" t="s">
        <v>83</v>
      </c>
      <c r="D157" s="401"/>
      <c r="E157" s="402"/>
      <c r="F157" s="403"/>
      <c r="G157" s="401"/>
      <c r="H157" s="401"/>
      <c r="I157" s="403"/>
      <c r="J157" s="401"/>
      <c r="K157" s="404"/>
      <c r="L157" s="405"/>
      <c r="O157" s="1053">
        <f>+O149*1.1</f>
        <v>1355.3540000000003</v>
      </c>
      <c r="P157" s="1053"/>
      <c r="Q157" s="1053" t="s">
        <v>71</v>
      </c>
      <c r="R157" s="1053"/>
      <c r="S157" s="1053"/>
      <c r="T157" s="1053"/>
      <c r="U157" s="1053"/>
      <c r="V157" s="1053"/>
      <c r="W157" s="1053"/>
      <c r="X157" s="1053"/>
      <c r="Y157" s="1053"/>
      <c r="Z157" s="1053"/>
      <c r="AA157" s="7" t="s">
        <v>84</v>
      </c>
      <c r="AG157" s="267"/>
      <c r="AH157" s="267"/>
      <c r="AI157" s="386"/>
      <c r="AJ157" s="386"/>
      <c r="AK157" s="386"/>
      <c r="AL157" s="267"/>
      <c r="AM157" s="267"/>
      <c r="AN157" s="267"/>
      <c r="AO157" s="267"/>
    </row>
    <row r="158" spans="2:46">
      <c r="B158" s="381">
        <f>+B157+B156</f>
        <v>287.49933333333337</v>
      </c>
      <c r="C158" s="382" t="s">
        <v>85</v>
      </c>
      <c r="D158" s="393"/>
      <c r="E158" s="394"/>
      <c r="F158" s="395"/>
      <c r="G158" s="393"/>
      <c r="H158" s="393"/>
      <c r="I158" s="395"/>
      <c r="J158" s="393"/>
      <c r="K158" s="406"/>
      <c r="L158" s="405"/>
      <c r="O158" s="1053">
        <f>+O157/30*7</f>
        <v>316.2492666666667</v>
      </c>
      <c r="P158" s="1053"/>
      <c r="Q158" s="1053" t="s">
        <v>74</v>
      </c>
      <c r="R158" s="1053"/>
      <c r="S158" s="1053"/>
      <c r="T158" s="1053"/>
      <c r="U158" s="1053"/>
      <c r="V158" s="1053"/>
      <c r="W158" s="1053"/>
      <c r="X158" s="1053"/>
      <c r="Y158" s="1053"/>
      <c r="Z158" s="1053"/>
      <c r="AA158" s="1064">
        <f>+O158*0.87</f>
        <v>275.13686200000001</v>
      </c>
      <c r="AB158" s="1064"/>
      <c r="AG158" s="267"/>
      <c r="AH158" s="267"/>
      <c r="AI158" s="386"/>
      <c r="AJ158" s="386"/>
      <c r="AK158" s="407"/>
      <c r="AL158" s="267"/>
      <c r="AM158" s="267"/>
      <c r="AN158" s="267"/>
      <c r="AO158" s="267"/>
    </row>
    <row r="159" spans="2:46">
      <c r="B159" s="408"/>
      <c r="C159" s="409"/>
      <c r="D159" s="333"/>
      <c r="E159" s="410"/>
      <c r="F159" s="411"/>
      <c r="G159" s="333"/>
      <c r="H159" s="333"/>
      <c r="I159" s="411"/>
      <c r="J159" s="333"/>
      <c r="K159" s="405"/>
      <c r="L159" s="405"/>
      <c r="O159" s="1053">
        <f>+O158/7</f>
        <v>45.178466666666672</v>
      </c>
      <c r="P159" s="1053"/>
      <c r="Q159" s="1053" t="s">
        <v>75</v>
      </c>
      <c r="R159" s="1053"/>
      <c r="S159" s="1053"/>
      <c r="T159" s="1053"/>
      <c r="U159" s="1053"/>
      <c r="V159" s="1053"/>
      <c r="W159" s="1053"/>
      <c r="X159" s="1053"/>
      <c r="Y159" s="1053"/>
      <c r="Z159" s="1053"/>
      <c r="AG159" s="267"/>
      <c r="AH159" s="267"/>
      <c r="AI159" s="412"/>
      <c r="AJ159" s="413"/>
      <c r="AK159" s="407"/>
      <c r="AL159" s="267"/>
      <c r="AM159" s="267"/>
      <c r="AN159" s="267"/>
      <c r="AO159" s="267"/>
    </row>
    <row r="160" spans="2:46" ht="15.75">
      <c r="B160" s="426">
        <f>+B158/7</f>
        <v>41.071333333333335</v>
      </c>
      <c r="C160" s="415" t="s">
        <v>86</v>
      </c>
      <c r="D160" s="416"/>
      <c r="E160" s="417"/>
      <c r="F160" s="418"/>
      <c r="G160" s="419"/>
      <c r="H160" s="419"/>
      <c r="I160" s="411"/>
      <c r="J160" s="333"/>
      <c r="K160" s="405"/>
      <c r="L160" s="405"/>
      <c r="O160" s="1065">
        <f>(O158-18)/7</f>
        <v>42.607038095238103</v>
      </c>
      <c r="P160" s="1065"/>
      <c r="Q160" s="1065" t="s">
        <v>77</v>
      </c>
      <c r="R160" s="1065"/>
      <c r="S160" s="1065"/>
      <c r="T160" s="1065"/>
      <c r="U160" s="1065"/>
      <c r="V160" s="1065"/>
      <c r="W160" s="1065"/>
      <c r="X160" s="1065"/>
      <c r="Y160" s="1065"/>
      <c r="Z160" s="1065"/>
      <c r="AG160" s="267"/>
      <c r="AH160" s="267"/>
      <c r="AI160" s="267"/>
      <c r="AJ160" s="267"/>
      <c r="AK160" s="407"/>
      <c r="AL160" s="267"/>
      <c r="AM160" s="267"/>
      <c r="AN160" s="267"/>
      <c r="AO160" s="267"/>
    </row>
    <row r="161" spans="2:46">
      <c r="B161" s="408"/>
      <c r="C161" s="409"/>
      <c r="D161" s="333"/>
      <c r="E161" s="410"/>
      <c r="F161" s="411"/>
      <c r="G161" s="333"/>
      <c r="H161" s="333"/>
      <c r="I161" s="411"/>
      <c r="J161" s="333"/>
      <c r="K161" s="405"/>
      <c r="L161" s="405"/>
      <c r="O161" s="1053">
        <v>3</v>
      </c>
      <c r="P161" s="1053"/>
      <c r="Q161" s="1053" t="s">
        <v>79</v>
      </c>
      <c r="R161" s="1053"/>
      <c r="S161" s="1053"/>
      <c r="T161" s="1053"/>
      <c r="U161" s="1053"/>
      <c r="V161" s="1053"/>
      <c r="W161" s="1053"/>
      <c r="X161" s="1053"/>
      <c r="Y161" s="1053"/>
      <c r="Z161" s="1053"/>
      <c r="AG161" s="267"/>
      <c r="AH161" s="267"/>
      <c r="AI161" s="267"/>
      <c r="AJ161" s="267"/>
      <c r="AK161" s="267"/>
      <c r="AL161" s="267"/>
      <c r="AM161" s="267"/>
      <c r="AN161" s="267"/>
      <c r="AO161" s="267"/>
    </row>
    <row r="162" spans="2:46">
      <c r="B162" s="408"/>
      <c r="C162" s="409"/>
      <c r="D162" s="333"/>
      <c r="E162" s="410"/>
      <c r="F162" s="411"/>
      <c r="G162" s="333"/>
      <c r="H162" s="333"/>
      <c r="I162" s="411"/>
      <c r="J162" s="333"/>
      <c r="K162" s="405"/>
      <c r="L162" s="405"/>
      <c r="O162" s="1053">
        <f>+O161+O160</f>
        <v>45.607038095238103</v>
      </c>
      <c r="P162" s="1053"/>
      <c r="AG162" s="267"/>
      <c r="AH162" s="267"/>
      <c r="AI162" s="267"/>
      <c r="AJ162" s="267"/>
      <c r="AK162" s="267"/>
      <c r="AL162" s="267"/>
      <c r="AM162" s="267"/>
      <c r="AN162" s="267"/>
      <c r="AO162" s="267"/>
    </row>
    <row r="163" spans="2:46">
      <c r="B163" s="168"/>
      <c r="AG163" s="267"/>
      <c r="AH163" s="267"/>
      <c r="AI163" s="267"/>
      <c r="AJ163" s="267"/>
      <c r="AK163" s="267"/>
      <c r="AL163" s="267"/>
      <c r="AM163" s="267"/>
      <c r="AN163" s="267"/>
      <c r="AO163" s="267"/>
    </row>
    <row r="164" spans="2:46">
      <c r="AG164" s="267"/>
      <c r="AH164" s="267"/>
      <c r="AI164" s="267"/>
      <c r="AJ164" s="267"/>
      <c r="AK164" s="267"/>
      <c r="AL164" s="267"/>
      <c r="AM164" s="267"/>
      <c r="AN164" s="267"/>
      <c r="AO164" s="267"/>
    </row>
    <row r="165" spans="2:46">
      <c r="AG165" s="267"/>
      <c r="AH165" s="267"/>
      <c r="AI165" s="267"/>
      <c r="AJ165" s="267"/>
      <c r="AK165" s="267"/>
      <c r="AL165" s="267"/>
      <c r="AM165" s="267"/>
      <c r="AN165" s="267"/>
      <c r="AO165" s="267"/>
    </row>
    <row r="166" spans="2:46" ht="26.25" thickBot="1">
      <c r="B166" s="377" t="s">
        <v>90</v>
      </c>
      <c r="H166" s="1052">
        <v>42736</v>
      </c>
      <c r="I166" s="1052"/>
      <c r="J166" s="1052"/>
      <c r="K166" s="1052"/>
      <c r="L166" s="1052"/>
      <c r="M166" s="1052"/>
      <c r="N166" s="1052"/>
      <c r="AG166" s="267"/>
      <c r="AH166" s="267"/>
      <c r="AI166" s="267"/>
      <c r="AJ166" s="267"/>
      <c r="AK166" s="267"/>
      <c r="AL166" s="267"/>
      <c r="AM166" s="267"/>
      <c r="AN166" s="267"/>
      <c r="AO166" s="267"/>
    </row>
    <row r="167" spans="2:46" ht="16.5" thickBot="1">
      <c r="B167" s="379">
        <v>850</v>
      </c>
      <c r="C167" s="240" t="s">
        <v>67</v>
      </c>
      <c r="AD167" s="296"/>
      <c r="AE167" s="296"/>
      <c r="AF167" s="296"/>
      <c r="AG167" s="296"/>
      <c r="AH167" s="296"/>
      <c r="AI167" s="296"/>
      <c r="AJ167" s="296"/>
      <c r="AK167" s="296"/>
      <c r="AL167" s="296"/>
      <c r="AM167" s="296"/>
      <c r="AN167" s="296"/>
      <c r="AO167" s="296"/>
      <c r="AP167" s="267"/>
      <c r="AQ167" s="267"/>
      <c r="AR167" s="267"/>
      <c r="AS167" s="267"/>
      <c r="AT167" s="267"/>
    </row>
    <row r="168" spans="2:46" ht="15.75">
      <c r="B168" s="168">
        <f>+B167/30*7</f>
        <v>198.33333333333331</v>
      </c>
      <c r="C168" s="240" t="s">
        <v>68</v>
      </c>
      <c r="D168" s="380"/>
      <c r="O168" s="1053" t="s">
        <v>69</v>
      </c>
      <c r="P168" s="1053"/>
      <c r="Q168" s="1053"/>
      <c r="R168" s="1053"/>
      <c r="S168" s="1053"/>
      <c r="T168" s="1053"/>
      <c r="U168" s="1053"/>
      <c r="V168" s="1053"/>
      <c r="W168" s="1053"/>
      <c r="X168" s="1053"/>
      <c r="Y168" s="1053"/>
      <c r="Z168" s="1053"/>
      <c r="AD168" s="296"/>
      <c r="AE168" s="681"/>
      <c r="AF168" s="681"/>
      <c r="AG168" s="296"/>
      <c r="AH168" s="296"/>
      <c r="AI168" s="296"/>
      <c r="AJ168" s="681"/>
      <c r="AK168" s="681"/>
      <c r="AL168" s="296"/>
      <c r="AM168" s="296"/>
      <c r="AN168" s="296"/>
      <c r="AO168" s="296"/>
      <c r="AP168" s="267"/>
      <c r="AQ168" s="267"/>
      <c r="AR168" s="267"/>
      <c r="AS168" s="267"/>
      <c r="AT168" s="267"/>
    </row>
    <row r="169" spans="2:46">
      <c r="B169" s="168">
        <f>+B168-18</f>
        <v>180.33333333333331</v>
      </c>
      <c r="C169" s="240" t="s">
        <v>70</v>
      </c>
      <c r="O169" s="1053">
        <f>+B167</f>
        <v>850</v>
      </c>
      <c r="P169" s="1053"/>
      <c r="Q169" s="1053" t="s">
        <v>71</v>
      </c>
      <c r="R169" s="1053"/>
      <c r="S169" s="1053"/>
      <c r="T169" s="1053"/>
      <c r="U169" s="1053"/>
      <c r="V169" s="1053"/>
      <c r="W169" s="1053"/>
      <c r="X169" s="1053"/>
      <c r="Y169" s="1053"/>
      <c r="Z169" s="1053"/>
      <c r="AA169" s="7" t="s">
        <v>72</v>
      </c>
      <c r="AD169" s="428" t="s">
        <v>91</v>
      </c>
      <c r="AE169" s="429"/>
      <c r="AF169" s="429"/>
      <c r="AG169" s="1075">
        <v>233.32</v>
      </c>
      <c r="AH169" s="1075"/>
      <c r="AI169" s="430"/>
      <c r="AJ169" s="1076">
        <f>233.32-AG169</f>
        <v>0</v>
      </c>
      <c r="AK169" s="1076"/>
      <c r="AL169" s="431"/>
      <c r="AM169" s="296"/>
      <c r="AN169" s="296"/>
      <c r="AO169" s="296"/>
      <c r="AP169" s="267"/>
      <c r="AQ169" s="267"/>
      <c r="AR169" s="267"/>
      <c r="AS169" s="267"/>
      <c r="AT169" s="267"/>
    </row>
    <row r="170" spans="2:46">
      <c r="B170" s="381">
        <f>+B169/7</f>
        <v>25.761904761904759</v>
      </c>
      <c r="C170" s="382" t="s">
        <v>73</v>
      </c>
      <c r="D170" s="383"/>
      <c r="O170" s="1053">
        <f>+O169/30*7</f>
        <v>198.33333333333331</v>
      </c>
      <c r="P170" s="1053"/>
      <c r="Q170" s="1053" t="s">
        <v>74</v>
      </c>
      <c r="R170" s="1053"/>
      <c r="S170" s="1053"/>
      <c r="T170" s="1053"/>
      <c r="U170" s="1053"/>
      <c r="V170" s="1053"/>
      <c r="W170" s="1053"/>
      <c r="X170" s="1053"/>
      <c r="Y170" s="1053"/>
      <c r="Z170" s="1053"/>
      <c r="AA170" s="1064">
        <f>+O170*0.87</f>
        <v>172.54999999999998</v>
      </c>
      <c r="AB170" s="1064"/>
      <c r="AD170" s="432" t="s">
        <v>92</v>
      </c>
      <c r="AE170" s="433"/>
      <c r="AF170" s="433"/>
      <c r="AG170" s="1077">
        <f>218.15-19.83</f>
        <v>198.32</v>
      </c>
      <c r="AH170" s="1077"/>
      <c r="AI170" s="434"/>
      <c r="AJ170" s="1078">
        <f>233.32-AG170</f>
        <v>35</v>
      </c>
      <c r="AK170" s="1078"/>
      <c r="AL170" s="435"/>
      <c r="AM170" s="385"/>
      <c r="AN170" s="385"/>
      <c r="AO170" s="385"/>
      <c r="AP170" s="386"/>
      <c r="AQ170" s="386"/>
      <c r="AR170" s="267"/>
      <c r="AS170" s="267"/>
      <c r="AT170" s="267"/>
    </row>
    <row r="171" spans="2:46">
      <c r="O171" s="1053">
        <f>+O170/7</f>
        <v>28.333333333333332</v>
      </c>
      <c r="P171" s="1053"/>
      <c r="Q171" s="1053" t="s">
        <v>75</v>
      </c>
      <c r="R171" s="1053"/>
      <c r="S171" s="1053"/>
      <c r="T171" s="1053"/>
      <c r="U171" s="1053"/>
      <c r="V171" s="1053"/>
      <c r="W171" s="1053"/>
      <c r="X171" s="1053"/>
      <c r="Y171" s="1053"/>
      <c r="Z171" s="1053"/>
      <c r="AD171" s="432" t="s">
        <v>93</v>
      </c>
      <c r="AE171" s="436"/>
      <c r="AF171" s="436"/>
      <c r="AG171" s="1077">
        <f>218.15-19.83</f>
        <v>198.32</v>
      </c>
      <c r="AH171" s="1077"/>
      <c r="AI171" s="434"/>
      <c r="AJ171" s="1078">
        <f>233.32-AG171</f>
        <v>35</v>
      </c>
      <c r="AK171" s="1078"/>
      <c r="AL171" s="437"/>
      <c r="AM171" s="387"/>
      <c r="AN171" s="385"/>
      <c r="AO171" s="385"/>
      <c r="AP171" s="386"/>
      <c r="AQ171" s="386"/>
      <c r="AR171" s="267"/>
      <c r="AS171" s="267"/>
      <c r="AT171" s="267"/>
    </row>
    <row r="172" spans="2:46" ht="15.75">
      <c r="B172" s="427">
        <f>+B170</f>
        <v>25.761904761904759</v>
      </c>
      <c r="C172" s="389" t="s">
        <v>76</v>
      </c>
      <c r="D172" s="390"/>
      <c r="E172" s="390"/>
      <c r="F172" s="390"/>
      <c r="O172" s="1065">
        <f>(O170-18)/7</f>
        <v>25.761904761904759</v>
      </c>
      <c r="P172" s="1065"/>
      <c r="Q172" s="1065" t="s">
        <v>77</v>
      </c>
      <c r="R172" s="1065"/>
      <c r="S172" s="1065"/>
      <c r="T172" s="1065"/>
      <c r="U172" s="1065"/>
      <c r="V172" s="1065"/>
      <c r="W172" s="1065"/>
      <c r="X172" s="1065"/>
      <c r="Y172" s="1065"/>
      <c r="Z172" s="1065"/>
      <c r="AD172" s="432" t="s">
        <v>94</v>
      </c>
      <c r="AE172" s="438"/>
      <c r="AF172" s="438"/>
      <c r="AG172" s="1077">
        <f>228.07-29.75</f>
        <v>198.32</v>
      </c>
      <c r="AH172" s="1077"/>
      <c r="AI172" s="439"/>
      <c r="AJ172" s="1078">
        <f>233.32-AG172</f>
        <v>35</v>
      </c>
      <c r="AK172" s="1078"/>
      <c r="AL172" s="435"/>
      <c r="AM172" s="385"/>
      <c r="AN172" s="385"/>
      <c r="AO172" s="385"/>
      <c r="AP172" s="386"/>
      <c r="AQ172" s="386"/>
      <c r="AR172" s="267"/>
      <c r="AS172" s="267"/>
      <c r="AT172" s="267"/>
    </row>
    <row r="173" spans="2:46">
      <c r="B173" s="168">
        <v>3</v>
      </c>
      <c r="C173" s="240" t="s">
        <v>78</v>
      </c>
      <c r="O173" s="1053">
        <v>3</v>
      </c>
      <c r="P173" s="1053"/>
      <c r="Q173" s="1053" t="s">
        <v>79</v>
      </c>
      <c r="R173" s="1053"/>
      <c r="S173" s="1053"/>
      <c r="T173" s="1053"/>
      <c r="U173" s="1053"/>
      <c r="V173" s="1053"/>
      <c r="W173" s="1053"/>
      <c r="X173" s="1053"/>
      <c r="Y173" s="1053"/>
      <c r="Z173" s="1053"/>
      <c r="AD173" s="432" t="s">
        <v>95</v>
      </c>
      <c r="AE173" s="434"/>
      <c r="AF173" s="438"/>
      <c r="AG173" s="1077">
        <f>208.24-9.92</f>
        <v>198.32000000000002</v>
      </c>
      <c r="AH173" s="1077"/>
      <c r="AI173" s="439"/>
      <c r="AJ173" s="1078">
        <f>233.32-AG173</f>
        <v>34.999999999999972</v>
      </c>
      <c r="AK173" s="1078"/>
      <c r="AL173" s="435"/>
      <c r="AM173" s="385"/>
      <c r="AN173" s="385"/>
      <c r="AO173" s="385"/>
      <c r="AP173" s="386"/>
      <c r="AQ173" s="386"/>
      <c r="AR173" s="267"/>
      <c r="AS173" s="267"/>
      <c r="AT173" s="267"/>
    </row>
    <row r="174" spans="2:46">
      <c r="B174" s="381">
        <f>+B173+B172</f>
        <v>28.761904761904759</v>
      </c>
      <c r="C174" s="382" t="s">
        <v>80</v>
      </c>
      <c r="D174" s="393"/>
      <c r="E174" s="394"/>
      <c r="F174" s="395"/>
      <c r="G174" s="393"/>
      <c r="H174" s="393"/>
      <c r="I174" s="395"/>
      <c r="J174" s="393"/>
      <c r="K174" s="396"/>
      <c r="L174" s="396"/>
      <c r="M174" s="383"/>
      <c r="O174" s="1053">
        <f>+O173+O172</f>
        <v>28.761904761904759</v>
      </c>
      <c r="P174" s="1053"/>
      <c r="AD174" s="440"/>
      <c r="AE174" s="436"/>
      <c r="AF174" s="436"/>
      <c r="AG174" s="441" t="s">
        <v>96</v>
      </c>
      <c r="AH174" s="442"/>
      <c r="AI174" s="434"/>
      <c r="AJ174" s="436"/>
      <c r="AK174" s="1079">
        <f>SUM(AJ169:AK173)</f>
        <v>139.99999999999997</v>
      </c>
      <c r="AL174" s="1080"/>
      <c r="AM174" s="387"/>
      <c r="AN174" s="387"/>
      <c r="AO174" s="387"/>
      <c r="AP174" s="397"/>
      <c r="AQ174" s="267"/>
      <c r="AR174" s="267"/>
      <c r="AS174" s="267"/>
      <c r="AT174" s="267"/>
    </row>
    <row r="175" spans="2:46">
      <c r="B175" s="168"/>
      <c r="AD175" s="443"/>
      <c r="AE175" s="444"/>
      <c r="AF175" s="444"/>
      <c r="AG175" s="445"/>
      <c r="AH175" s="446"/>
      <c r="AI175" s="447" t="s">
        <v>97</v>
      </c>
      <c r="AJ175" s="444"/>
      <c r="AK175" s="444"/>
      <c r="AL175" s="448"/>
      <c r="AM175" s="296"/>
      <c r="AN175" s="296"/>
      <c r="AO175" s="296"/>
      <c r="AP175" s="267"/>
      <c r="AQ175" s="267"/>
      <c r="AR175" s="267"/>
      <c r="AS175" s="267"/>
      <c r="AT175" s="267"/>
    </row>
    <row r="176" spans="2:46">
      <c r="B176" s="168">
        <f>+B174*6</f>
        <v>172.57142857142856</v>
      </c>
      <c r="C176" s="240" t="s">
        <v>81</v>
      </c>
      <c r="O176" s="1053" t="s">
        <v>82</v>
      </c>
      <c r="P176" s="1053"/>
      <c r="Q176" s="1053"/>
      <c r="R176" s="1053"/>
      <c r="S176" s="1053"/>
      <c r="T176" s="1053"/>
      <c r="U176" s="1053"/>
      <c r="V176" s="1053"/>
      <c r="W176" s="1053"/>
      <c r="X176" s="1053"/>
      <c r="Y176" s="1053"/>
      <c r="Z176" s="1053"/>
      <c r="AD176" s="296"/>
      <c r="AE176" s="296"/>
      <c r="AF176" s="296"/>
      <c r="AG176" s="296"/>
      <c r="AH176" s="296"/>
      <c r="AI176" s="385"/>
      <c r="AJ176" s="385"/>
      <c r="AK176" s="387"/>
      <c r="AL176" s="667"/>
      <c r="AM176" s="681"/>
      <c r="AN176" s="667"/>
      <c r="AO176" s="296"/>
      <c r="AP176" s="267"/>
      <c r="AQ176" s="267"/>
      <c r="AR176" s="267"/>
      <c r="AS176" s="267"/>
      <c r="AT176" s="267"/>
    </row>
    <row r="177" spans="2:46">
      <c r="B177" s="399">
        <f>+B172</f>
        <v>25.761904761904759</v>
      </c>
      <c r="C177" s="400" t="s">
        <v>83</v>
      </c>
      <c r="D177" s="401"/>
      <c r="E177" s="402"/>
      <c r="F177" s="403"/>
      <c r="G177" s="401"/>
      <c r="H177" s="401"/>
      <c r="I177" s="403"/>
      <c r="J177" s="401"/>
      <c r="K177" s="404"/>
      <c r="L177" s="405"/>
      <c r="O177" s="1053">
        <f>+O169*1.1</f>
        <v>935.00000000000011</v>
      </c>
      <c r="P177" s="1053"/>
      <c r="Q177" s="1053" t="s">
        <v>71</v>
      </c>
      <c r="R177" s="1053"/>
      <c r="S177" s="1053"/>
      <c r="T177" s="1053"/>
      <c r="U177" s="1053"/>
      <c r="V177" s="1053"/>
      <c r="W177" s="1053"/>
      <c r="X177" s="1053"/>
      <c r="Y177" s="1053"/>
      <c r="Z177" s="1053"/>
      <c r="AA177" s="7" t="s">
        <v>84</v>
      </c>
      <c r="AG177" s="267"/>
      <c r="AH177" s="267"/>
      <c r="AI177" s="386"/>
      <c r="AJ177" s="386"/>
      <c r="AK177" s="386"/>
      <c r="AL177" s="267"/>
      <c r="AM177" s="267"/>
      <c r="AN177" s="267"/>
      <c r="AO177" s="267"/>
    </row>
    <row r="178" spans="2:46">
      <c r="B178" s="381">
        <f>+B177+B176</f>
        <v>198.33333333333331</v>
      </c>
      <c r="C178" s="382" t="s">
        <v>85</v>
      </c>
      <c r="D178" s="393"/>
      <c r="E178" s="394"/>
      <c r="F178" s="395"/>
      <c r="G178" s="393"/>
      <c r="H178" s="393"/>
      <c r="I178" s="395"/>
      <c r="J178" s="393"/>
      <c r="K178" s="406"/>
      <c r="L178" s="405"/>
      <c r="O178" s="1053">
        <f>+O177/30*7</f>
        <v>218.16666666666669</v>
      </c>
      <c r="P178" s="1053"/>
      <c r="Q178" s="1053" t="s">
        <v>74</v>
      </c>
      <c r="R178" s="1053"/>
      <c r="S178" s="1053"/>
      <c r="T178" s="1053"/>
      <c r="U178" s="1053"/>
      <c r="V178" s="1053"/>
      <c r="W178" s="1053"/>
      <c r="X178" s="1053"/>
      <c r="Y178" s="1053"/>
      <c r="Z178" s="1053"/>
      <c r="AA178" s="1064">
        <f>+O178*0.87</f>
        <v>189.80500000000001</v>
      </c>
      <c r="AB178" s="1064"/>
      <c r="AG178" s="267"/>
      <c r="AH178" s="267"/>
      <c r="AI178" s="386"/>
      <c r="AJ178" s="386"/>
      <c r="AK178" s="407"/>
      <c r="AL178" s="267"/>
      <c r="AM178" s="267"/>
      <c r="AN178" s="267"/>
      <c r="AO178" s="267"/>
    </row>
    <row r="179" spans="2:46">
      <c r="B179" s="408"/>
      <c r="C179" s="409"/>
      <c r="D179" s="333"/>
      <c r="E179" s="410"/>
      <c r="F179" s="411"/>
      <c r="G179" s="333"/>
      <c r="H179" s="333"/>
      <c r="I179" s="411"/>
      <c r="J179" s="333"/>
      <c r="K179" s="405"/>
      <c r="L179" s="405"/>
      <c r="O179" s="1053">
        <f>+O178/7</f>
        <v>31.166666666666668</v>
      </c>
      <c r="P179" s="1053"/>
      <c r="Q179" s="1053" t="s">
        <v>75</v>
      </c>
      <c r="R179" s="1053"/>
      <c r="S179" s="1053"/>
      <c r="T179" s="1053"/>
      <c r="U179" s="1053"/>
      <c r="V179" s="1053"/>
      <c r="W179" s="1053"/>
      <c r="X179" s="1053"/>
      <c r="Y179" s="1053"/>
      <c r="Z179" s="1053"/>
      <c r="AG179" s="267"/>
      <c r="AH179" s="267"/>
      <c r="AI179" s="412"/>
      <c r="AJ179" s="413"/>
      <c r="AK179" s="407"/>
      <c r="AL179" s="267"/>
      <c r="AM179" s="267"/>
      <c r="AN179" s="267"/>
      <c r="AO179" s="267"/>
    </row>
    <row r="180" spans="2:46">
      <c r="B180" s="449">
        <f>+B178/7</f>
        <v>28.333333333333332</v>
      </c>
      <c r="C180" s="450" t="s">
        <v>86</v>
      </c>
      <c r="F180" s="411"/>
      <c r="G180" s="333"/>
      <c r="H180" s="333"/>
      <c r="I180" s="411"/>
      <c r="J180" s="333"/>
      <c r="K180" s="405"/>
      <c r="L180" s="405"/>
      <c r="O180" s="1065">
        <f>(O178-18)/7</f>
        <v>28.595238095238098</v>
      </c>
      <c r="P180" s="1065"/>
      <c r="Q180" s="1065" t="s">
        <v>77</v>
      </c>
      <c r="R180" s="1065"/>
      <c r="S180" s="1065"/>
      <c r="T180" s="1065"/>
      <c r="U180" s="1065"/>
      <c r="V180" s="1065"/>
      <c r="W180" s="1065"/>
      <c r="X180" s="1065"/>
      <c r="Y180" s="1065"/>
      <c r="Z180" s="1065"/>
      <c r="AG180" s="267"/>
      <c r="AH180" s="267"/>
      <c r="AI180" s="267"/>
      <c r="AJ180" s="267"/>
      <c r="AK180" s="407"/>
      <c r="AL180" s="267"/>
      <c r="AM180" s="267"/>
      <c r="AN180" s="267"/>
      <c r="AO180" s="267"/>
    </row>
    <row r="181" spans="2:46">
      <c r="B181" s="408"/>
      <c r="C181" s="409"/>
      <c r="D181" s="333"/>
      <c r="E181" s="410"/>
      <c r="F181" s="411"/>
      <c r="G181" s="333"/>
      <c r="H181" s="333"/>
      <c r="I181" s="411"/>
      <c r="J181" s="333"/>
      <c r="K181" s="405"/>
      <c r="L181" s="405"/>
      <c r="O181" s="1053">
        <v>3</v>
      </c>
      <c r="P181" s="1053"/>
      <c r="Q181" s="1053" t="s">
        <v>79</v>
      </c>
      <c r="R181" s="1053"/>
      <c r="S181" s="1053"/>
      <c r="T181" s="1053"/>
      <c r="U181" s="1053"/>
      <c r="V181" s="1053"/>
      <c r="W181" s="1053"/>
      <c r="X181" s="1053"/>
      <c r="Y181" s="1053"/>
      <c r="Z181" s="1053"/>
      <c r="AG181" s="267"/>
      <c r="AH181" s="267"/>
      <c r="AI181" s="267"/>
      <c r="AJ181" s="267"/>
      <c r="AK181" s="267"/>
      <c r="AL181" s="267"/>
      <c r="AM181" s="267"/>
      <c r="AN181" s="267"/>
      <c r="AO181" s="267"/>
    </row>
    <row r="182" spans="2:46">
      <c r="B182" s="408"/>
      <c r="C182" s="409"/>
      <c r="D182" s="333"/>
      <c r="E182" s="410"/>
      <c r="F182" s="411"/>
      <c r="G182" s="333"/>
      <c r="H182" s="333"/>
      <c r="I182" s="411"/>
      <c r="J182" s="333"/>
      <c r="K182" s="405"/>
      <c r="L182" s="405"/>
      <c r="O182" s="1053">
        <f>+O181+O180</f>
        <v>31.595238095238098</v>
      </c>
      <c r="P182" s="1053"/>
      <c r="AG182" s="267"/>
      <c r="AH182" s="267"/>
      <c r="AI182" s="267"/>
      <c r="AJ182" s="267"/>
      <c r="AK182" s="267"/>
      <c r="AL182" s="267"/>
      <c r="AM182" s="267"/>
      <c r="AN182" s="267"/>
      <c r="AO182" s="267"/>
    </row>
    <row r="183" spans="2:46">
      <c r="B183" s="168"/>
      <c r="AG183" s="267"/>
      <c r="AH183" s="267"/>
      <c r="AI183" s="267"/>
      <c r="AJ183" s="267"/>
      <c r="AK183" s="267"/>
      <c r="AL183" s="267"/>
      <c r="AM183" s="267"/>
      <c r="AN183" s="267"/>
      <c r="AO183" s="267"/>
    </row>
    <row r="184" spans="2:46">
      <c r="AG184" s="267"/>
      <c r="AH184" s="267"/>
      <c r="AI184" s="267"/>
      <c r="AJ184" s="267"/>
      <c r="AK184" s="267"/>
      <c r="AL184" s="267"/>
      <c r="AM184" s="267"/>
      <c r="AN184" s="267"/>
      <c r="AO184" s="267"/>
    </row>
    <row r="185" spans="2:46" ht="15.75" thickBot="1">
      <c r="AG185" s="267"/>
      <c r="AH185" s="267"/>
      <c r="AI185" s="267"/>
      <c r="AJ185" s="267"/>
      <c r="AK185" s="267"/>
      <c r="AL185" s="267"/>
      <c r="AM185" s="267"/>
      <c r="AN185" s="267"/>
      <c r="AO185" s="267"/>
    </row>
    <row r="186" spans="2:46" ht="17.25" thickTop="1" thickBot="1">
      <c r="B186" s="451">
        <f>850+80</f>
        <v>930</v>
      </c>
      <c r="C186" s="452" t="s">
        <v>67</v>
      </c>
      <c r="D186" s="453"/>
      <c r="E186" s="454" t="s">
        <v>98</v>
      </c>
      <c r="F186" s="455"/>
      <c r="G186" s="453"/>
      <c r="H186" s="453"/>
      <c r="I186" s="455"/>
      <c r="J186" s="453"/>
      <c r="K186" s="456"/>
      <c r="L186" s="456"/>
      <c r="M186" s="453"/>
      <c r="N186" s="453"/>
      <c r="O186" s="453"/>
      <c r="P186" s="453"/>
      <c r="Q186" s="453"/>
      <c r="R186" s="453"/>
      <c r="S186" s="453"/>
      <c r="T186" s="453"/>
      <c r="U186" s="453"/>
      <c r="V186" s="453"/>
      <c r="W186" s="453"/>
      <c r="X186" s="453"/>
      <c r="Y186" s="453"/>
      <c r="Z186" s="453"/>
      <c r="AA186" s="457"/>
      <c r="AB186" s="457"/>
      <c r="AC186" s="458"/>
      <c r="AD186" s="296"/>
      <c r="AE186" s="296"/>
      <c r="AF186" s="296"/>
      <c r="AG186" s="296"/>
      <c r="AH186" s="296"/>
      <c r="AI186" s="296"/>
      <c r="AJ186" s="296"/>
      <c r="AK186" s="296"/>
      <c r="AL186" s="296"/>
      <c r="AM186" s="296"/>
      <c r="AN186" s="296"/>
      <c r="AO186" s="296"/>
      <c r="AP186" s="267"/>
      <c r="AQ186" s="267"/>
      <c r="AR186" s="267"/>
      <c r="AS186" s="267"/>
      <c r="AT186" s="267"/>
    </row>
    <row r="187" spans="2:46" ht="15.75">
      <c r="B187" s="459">
        <f>+B186/30*7</f>
        <v>217</v>
      </c>
      <c r="C187" s="409" t="s">
        <v>68</v>
      </c>
      <c r="D187" s="460"/>
      <c r="E187" s="410"/>
      <c r="F187" s="411"/>
      <c r="G187" s="333"/>
      <c r="H187" s="333"/>
      <c r="I187" s="411"/>
      <c r="J187" s="333"/>
      <c r="K187" s="405"/>
      <c r="L187" s="405"/>
      <c r="M187" s="333"/>
      <c r="N187" s="333"/>
      <c r="O187" s="1053" t="s">
        <v>69</v>
      </c>
      <c r="P187" s="1053"/>
      <c r="Q187" s="1053"/>
      <c r="R187" s="1053"/>
      <c r="S187" s="1053"/>
      <c r="T187" s="1053"/>
      <c r="U187" s="1053"/>
      <c r="V187" s="1053"/>
      <c r="W187" s="1053"/>
      <c r="X187" s="1053"/>
      <c r="Y187" s="1053"/>
      <c r="Z187" s="1053"/>
      <c r="AA187" s="167"/>
      <c r="AB187" s="167"/>
      <c r="AC187" s="461"/>
      <c r="AD187" s="296"/>
      <c r="AE187" s="681"/>
      <c r="AF187" s="681"/>
      <c r="AG187" s="296"/>
      <c r="AH187" s="296"/>
      <c r="AI187" s="296"/>
      <c r="AJ187" s="681"/>
      <c r="AK187" s="681"/>
      <c r="AL187" s="296"/>
      <c r="AM187" s="296"/>
      <c r="AN187" s="296"/>
      <c r="AO187" s="296"/>
      <c r="AP187" s="267"/>
      <c r="AQ187" s="267"/>
      <c r="AR187" s="267"/>
      <c r="AS187" s="267"/>
      <c r="AT187" s="267"/>
    </row>
    <row r="188" spans="2:46">
      <c r="B188" s="459">
        <f>+B187-18</f>
        <v>199</v>
      </c>
      <c r="C188" s="409" t="s">
        <v>70</v>
      </c>
      <c r="D188" s="333"/>
      <c r="E188" s="410"/>
      <c r="F188" s="411"/>
      <c r="G188" s="333"/>
      <c r="H188" s="333"/>
      <c r="I188" s="411"/>
      <c r="J188" s="333"/>
      <c r="K188" s="405"/>
      <c r="L188" s="405"/>
      <c r="M188" s="333"/>
      <c r="N188" s="333"/>
      <c r="O188" s="1053">
        <f>+B186</f>
        <v>930</v>
      </c>
      <c r="P188" s="1053"/>
      <c r="Q188" s="1053" t="s">
        <v>71</v>
      </c>
      <c r="R188" s="1053"/>
      <c r="S188" s="1053"/>
      <c r="T188" s="1053"/>
      <c r="U188" s="1053"/>
      <c r="V188" s="1053"/>
      <c r="W188" s="1053"/>
      <c r="X188" s="1053"/>
      <c r="Y188" s="1053"/>
      <c r="Z188" s="1053"/>
      <c r="AA188" s="167" t="s">
        <v>72</v>
      </c>
      <c r="AB188" s="167"/>
      <c r="AC188" s="461"/>
      <c r="AD188" s="296"/>
      <c r="AE188" s="681"/>
      <c r="AF188" s="681"/>
      <c r="AG188" s="296"/>
      <c r="AH188" s="296"/>
      <c r="AI188" s="296"/>
      <c r="AJ188" s="681"/>
      <c r="AK188" s="681"/>
      <c r="AL188" s="296"/>
      <c r="AM188" s="296"/>
      <c r="AN188" s="296"/>
      <c r="AO188" s="296"/>
      <c r="AP188" s="267"/>
      <c r="AQ188" s="267"/>
      <c r="AR188" s="267"/>
      <c r="AS188" s="267"/>
      <c r="AT188" s="267"/>
    </row>
    <row r="189" spans="2:46">
      <c r="B189" s="462">
        <f>+B188/7</f>
        <v>28.428571428571427</v>
      </c>
      <c r="C189" s="382" t="s">
        <v>73</v>
      </c>
      <c r="D189" s="383"/>
      <c r="E189" s="410"/>
      <c r="F189" s="411"/>
      <c r="G189" s="333"/>
      <c r="H189" s="333"/>
      <c r="I189" s="411"/>
      <c r="J189" s="333"/>
      <c r="K189" s="405"/>
      <c r="L189" s="405"/>
      <c r="M189" s="333"/>
      <c r="N189" s="333"/>
      <c r="O189" s="1053">
        <f>+O188/30*7</f>
        <v>217</v>
      </c>
      <c r="P189" s="1053"/>
      <c r="Q189" s="1053" t="s">
        <v>74</v>
      </c>
      <c r="R189" s="1053"/>
      <c r="S189" s="1053"/>
      <c r="T189" s="1053"/>
      <c r="U189" s="1053"/>
      <c r="V189" s="1053"/>
      <c r="W189" s="1053"/>
      <c r="X189" s="1053"/>
      <c r="Y189" s="1053"/>
      <c r="Z189" s="1053"/>
      <c r="AA189" s="1064">
        <f>+O189*0.87</f>
        <v>188.79</v>
      </c>
      <c r="AB189" s="1064"/>
      <c r="AC189" s="461"/>
      <c r="AD189" s="296"/>
      <c r="AE189" s="384"/>
      <c r="AF189" s="384"/>
      <c r="AG189" s="296"/>
      <c r="AH189" s="296"/>
      <c r="AI189" s="296"/>
      <c r="AJ189" s="384"/>
      <c r="AK189" s="384"/>
      <c r="AL189" s="385"/>
      <c r="AM189" s="385"/>
      <c r="AN189" s="385"/>
      <c r="AO189" s="385"/>
      <c r="AP189" s="386"/>
      <c r="AQ189" s="386"/>
      <c r="AR189" s="267"/>
      <c r="AS189" s="267"/>
      <c r="AT189" s="267"/>
    </row>
    <row r="190" spans="2:46">
      <c r="B190" s="463"/>
      <c r="C190" s="333"/>
      <c r="D190" s="333"/>
      <c r="E190" s="410"/>
      <c r="F190" s="411"/>
      <c r="G190" s="333"/>
      <c r="H190" s="333"/>
      <c r="I190" s="411"/>
      <c r="J190" s="333"/>
      <c r="K190" s="405"/>
      <c r="L190" s="405"/>
      <c r="M190" s="333"/>
      <c r="N190" s="333"/>
      <c r="O190" s="1053">
        <f>+O189/7</f>
        <v>31</v>
      </c>
      <c r="P190" s="1053"/>
      <c r="Q190" s="1053" t="s">
        <v>75</v>
      </c>
      <c r="R190" s="1053"/>
      <c r="S190" s="1053"/>
      <c r="T190" s="1053"/>
      <c r="U190" s="1053"/>
      <c r="V190" s="1053"/>
      <c r="W190" s="1053"/>
      <c r="X190" s="1053"/>
      <c r="Y190" s="1053"/>
      <c r="Z190" s="1053"/>
      <c r="AA190" s="167"/>
      <c r="AB190" s="167"/>
      <c r="AC190" s="461"/>
      <c r="AD190" s="296"/>
      <c r="AE190" s="681"/>
      <c r="AF190" s="681"/>
      <c r="AG190" s="296"/>
      <c r="AH190" s="296"/>
      <c r="AI190" s="296"/>
      <c r="AJ190" s="681"/>
      <c r="AK190" s="681"/>
      <c r="AL190" s="387"/>
      <c r="AM190" s="387"/>
      <c r="AN190" s="385"/>
      <c r="AO190" s="385"/>
      <c r="AP190" s="386"/>
      <c r="AQ190" s="386"/>
      <c r="AR190" s="267"/>
      <c r="AS190" s="267"/>
      <c r="AT190" s="267"/>
    </row>
    <row r="191" spans="2:46" ht="15.75">
      <c r="B191" s="464">
        <f>+B189</f>
        <v>28.428571428571427</v>
      </c>
      <c r="C191" s="465" t="s">
        <v>76</v>
      </c>
      <c r="D191" s="418"/>
      <c r="E191" s="418"/>
      <c r="F191" s="418"/>
      <c r="G191" s="333"/>
      <c r="H191" s="333"/>
      <c r="I191" s="411"/>
      <c r="J191" s="333"/>
      <c r="K191" s="405"/>
      <c r="L191" s="405"/>
      <c r="M191" s="333"/>
      <c r="N191" s="333"/>
      <c r="O191" s="1065">
        <f>(O189-18)/7</f>
        <v>28.428571428571427</v>
      </c>
      <c r="P191" s="1065"/>
      <c r="Q191" s="1065" t="s">
        <v>77</v>
      </c>
      <c r="R191" s="1065"/>
      <c r="S191" s="1065"/>
      <c r="T191" s="1065"/>
      <c r="U191" s="1065"/>
      <c r="V191" s="1065"/>
      <c r="W191" s="1065"/>
      <c r="X191" s="1065"/>
      <c r="Y191" s="1065"/>
      <c r="Z191" s="1065"/>
      <c r="AA191" s="167"/>
      <c r="AB191" s="167"/>
      <c r="AC191" s="461"/>
      <c r="AD191" s="296"/>
      <c r="AE191" s="391"/>
      <c r="AF191" s="391"/>
      <c r="AG191" s="392"/>
      <c r="AH191" s="392"/>
      <c r="AI191" s="392"/>
      <c r="AJ191" s="391"/>
      <c r="AK191" s="391"/>
      <c r="AL191" s="385"/>
      <c r="AM191" s="385"/>
      <c r="AN191" s="385"/>
      <c r="AO191" s="385"/>
      <c r="AP191" s="386"/>
      <c r="AQ191" s="386"/>
      <c r="AR191" s="267"/>
      <c r="AS191" s="267"/>
      <c r="AT191" s="267"/>
    </row>
    <row r="192" spans="2:46">
      <c r="B192" s="459">
        <v>3</v>
      </c>
      <c r="C192" s="409" t="s">
        <v>78</v>
      </c>
      <c r="D192" s="333"/>
      <c r="E192" s="410"/>
      <c r="F192" s="411"/>
      <c r="G192" s="333"/>
      <c r="H192" s="333"/>
      <c r="I192" s="411"/>
      <c r="J192" s="333"/>
      <c r="K192" s="405"/>
      <c r="L192" s="405"/>
      <c r="M192" s="333"/>
      <c r="N192" s="333"/>
      <c r="O192" s="1053">
        <v>3</v>
      </c>
      <c r="P192" s="1053"/>
      <c r="Q192" s="1053" t="s">
        <v>79</v>
      </c>
      <c r="R192" s="1053"/>
      <c r="S192" s="1053"/>
      <c r="T192" s="1053"/>
      <c r="U192" s="1053"/>
      <c r="V192" s="1053"/>
      <c r="W192" s="1053"/>
      <c r="X192" s="1053"/>
      <c r="Y192" s="1053"/>
      <c r="Z192" s="1053"/>
      <c r="AA192" s="167"/>
      <c r="AB192" s="167"/>
      <c r="AC192" s="461"/>
      <c r="AD192" s="296"/>
      <c r="AE192" s="296"/>
      <c r="AF192" s="391"/>
      <c r="AG192" s="392"/>
      <c r="AH192" s="392"/>
      <c r="AI192" s="392"/>
      <c r="AJ192" s="391"/>
      <c r="AK192" s="391"/>
      <c r="AL192" s="385"/>
      <c r="AM192" s="385"/>
      <c r="AN192" s="385"/>
      <c r="AO192" s="385"/>
      <c r="AP192" s="386"/>
      <c r="AQ192" s="386"/>
      <c r="AR192" s="267"/>
      <c r="AS192" s="267"/>
      <c r="AT192" s="267"/>
    </row>
    <row r="193" spans="2:50">
      <c r="B193" s="462">
        <f>+B192+B191</f>
        <v>31.428571428571427</v>
      </c>
      <c r="C193" s="382" t="s">
        <v>80</v>
      </c>
      <c r="D193" s="393"/>
      <c r="E193" s="394"/>
      <c r="F193" s="395"/>
      <c r="G193" s="393"/>
      <c r="H193" s="393"/>
      <c r="I193" s="395"/>
      <c r="J193" s="393"/>
      <c r="K193" s="396"/>
      <c r="L193" s="396"/>
      <c r="M193" s="383"/>
      <c r="N193" s="333"/>
      <c r="O193" s="1053">
        <f>+O192+O191</f>
        <v>31.428571428571427</v>
      </c>
      <c r="P193" s="105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  <c r="AA193" s="167"/>
      <c r="AB193" s="167"/>
      <c r="AC193" s="461"/>
      <c r="AD193" s="296"/>
      <c r="AE193" s="681"/>
      <c r="AF193" s="681"/>
      <c r="AG193" s="296"/>
      <c r="AH193" s="296"/>
      <c r="AI193" s="296"/>
      <c r="AJ193" s="681"/>
      <c r="AK193" s="681"/>
      <c r="AL193" s="387"/>
      <c r="AM193" s="387"/>
      <c r="AN193" s="387"/>
      <c r="AO193" s="387"/>
      <c r="AP193" s="397"/>
      <c r="AQ193" s="267"/>
      <c r="AR193" s="267"/>
      <c r="AS193" s="267"/>
      <c r="AT193" s="267"/>
    </row>
    <row r="194" spans="2:50">
      <c r="B194" s="459"/>
      <c r="C194" s="333"/>
      <c r="D194" s="333"/>
      <c r="E194" s="410"/>
      <c r="F194" s="411"/>
      <c r="G194" s="333"/>
      <c r="H194" s="333"/>
      <c r="I194" s="411"/>
      <c r="J194" s="333"/>
      <c r="K194" s="405"/>
      <c r="L194" s="405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167"/>
      <c r="AB194" s="167"/>
      <c r="AC194" s="461"/>
      <c r="AD194" s="296"/>
      <c r="AE194" s="398"/>
      <c r="AF194" s="398"/>
      <c r="AG194" s="398"/>
      <c r="AH194" s="296"/>
      <c r="AI194" s="296"/>
      <c r="AJ194" s="398"/>
      <c r="AK194" s="398"/>
      <c r="AL194" s="385"/>
      <c r="AM194" s="296"/>
      <c r="AN194" s="296"/>
      <c r="AO194" s="296"/>
      <c r="AP194" s="267"/>
      <c r="AQ194" s="267"/>
      <c r="AR194" s="267"/>
      <c r="AS194" s="267"/>
      <c r="AT194" s="267"/>
    </row>
    <row r="195" spans="2:50">
      <c r="B195" s="459">
        <f>+B193*6</f>
        <v>188.57142857142856</v>
      </c>
      <c r="C195" s="409" t="s">
        <v>81</v>
      </c>
      <c r="D195" s="333"/>
      <c r="E195" s="410"/>
      <c r="F195" s="411"/>
      <c r="G195" s="333"/>
      <c r="H195" s="333"/>
      <c r="I195" s="411"/>
      <c r="J195" s="333"/>
      <c r="K195" s="405"/>
      <c r="L195" s="405"/>
      <c r="M195" s="333"/>
      <c r="N195" s="333"/>
      <c r="O195" s="1053" t="s">
        <v>82</v>
      </c>
      <c r="P195" s="1053"/>
      <c r="Q195" s="1053"/>
      <c r="R195" s="1053"/>
      <c r="S195" s="1053"/>
      <c r="T195" s="1053"/>
      <c r="U195" s="1053"/>
      <c r="V195" s="1053"/>
      <c r="W195" s="1053"/>
      <c r="X195" s="1053"/>
      <c r="Y195" s="1053"/>
      <c r="Z195" s="1053"/>
      <c r="AA195" s="167"/>
      <c r="AB195" s="167"/>
      <c r="AC195" s="461"/>
      <c r="AD195" s="296"/>
      <c r="AE195" s="296"/>
      <c r="AF195" s="296"/>
      <c r="AG195" s="296"/>
      <c r="AH195" s="296"/>
      <c r="AI195" s="385"/>
      <c r="AJ195" s="385"/>
      <c r="AK195" s="387"/>
      <c r="AL195" s="667"/>
      <c r="AM195" s="681"/>
      <c r="AN195" s="667"/>
      <c r="AO195" s="296"/>
      <c r="AP195" s="267"/>
      <c r="AQ195" s="267"/>
      <c r="AR195" s="267"/>
      <c r="AS195" s="267"/>
      <c r="AT195" s="267"/>
    </row>
    <row r="196" spans="2:50">
      <c r="B196" s="466">
        <f>+B191</f>
        <v>28.428571428571427</v>
      </c>
      <c r="C196" s="400" t="s">
        <v>83</v>
      </c>
      <c r="D196" s="401"/>
      <c r="E196" s="402"/>
      <c r="F196" s="403"/>
      <c r="G196" s="401"/>
      <c r="H196" s="401"/>
      <c r="I196" s="403"/>
      <c r="J196" s="401"/>
      <c r="K196" s="404"/>
      <c r="L196" s="405"/>
      <c r="M196" s="333"/>
      <c r="N196" s="333"/>
      <c r="O196" s="1053">
        <f>+O188*1.1</f>
        <v>1023.0000000000001</v>
      </c>
      <c r="P196" s="1053"/>
      <c r="Q196" s="1053" t="s">
        <v>71</v>
      </c>
      <c r="R196" s="1053"/>
      <c r="S196" s="1053"/>
      <c r="T196" s="1053"/>
      <c r="U196" s="1053"/>
      <c r="V196" s="1053"/>
      <c r="W196" s="1053"/>
      <c r="X196" s="1053"/>
      <c r="Y196" s="1053"/>
      <c r="Z196" s="1053"/>
      <c r="AA196" s="167" t="s">
        <v>84</v>
      </c>
      <c r="AB196" s="167"/>
      <c r="AC196" s="461"/>
      <c r="AG196" s="267"/>
      <c r="AH196" s="267"/>
      <c r="AI196" s="386"/>
      <c r="AJ196" s="386"/>
      <c r="AK196" s="386"/>
      <c r="AL196" s="267"/>
      <c r="AM196" s="267"/>
      <c r="AN196" s="267"/>
      <c r="AO196" s="267"/>
    </row>
    <row r="197" spans="2:50">
      <c r="B197" s="462">
        <f>+B196+B195</f>
        <v>216.99999999999997</v>
      </c>
      <c r="C197" s="382" t="s">
        <v>85</v>
      </c>
      <c r="D197" s="393"/>
      <c r="E197" s="394"/>
      <c r="F197" s="395"/>
      <c r="G197" s="393"/>
      <c r="H197" s="393"/>
      <c r="I197" s="395"/>
      <c r="J197" s="393"/>
      <c r="K197" s="406"/>
      <c r="L197" s="405"/>
      <c r="M197" s="333"/>
      <c r="N197" s="333"/>
      <c r="O197" s="1053">
        <f>+O196/30*7</f>
        <v>238.70000000000002</v>
      </c>
      <c r="P197" s="1053"/>
      <c r="Q197" s="1053" t="s">
        <v>74</v>
      </c>
      <c r="R197" s="1053"/>
      <c r="S197" s="1053"/>
      <c r="T197" s="1053"/>
      <c r="U197" s="1053"/>
      <c r="V197" s="1053"/>
      <c r="W197" s="1053"/>
      <c r="X197" s="1053"/>
      <c r="Y197" s="1053"/>
      <c r="Z197" s="1053"/>
      <c r="AA197" s="1064">
        <f>+O197*0.87</f>
        <v>207.66900000000001</v>
      </c>
      <c r="AB197" s="1064"/>
      <c r="AC197" s="461"/>
      <c r="AG197" s="267"/>
      <c r="AH197" s="267"/>
      <c r="AI197" s="386"/>
      <c r="AJ197" s="386"/>
      <c r="AK197" s="407"/>
      <c r="AL197" s="267"/>
      <c r="AM197" s="267"/>
      <c r="AN197" s="267"/>
      <c r="AO197" s="267"/>
    </row>
    <row r="198" spans="2:50">
      <c r="B198" s="459"/>
      <c r="C198" s="409"/>
      <c r="D198" s="333"/>
      <c r="E198" s="410"/>
      <c r="F198" s="411"/>
      <c r="G198" s="333"/>
      <c r="H198" s="333"/>
      <c r="I198" s="411"/>
      <c r="J198" s="333"/>
      <c r="K198" s="405"/>
      <c r="L198" s="405"/>
      <c r="M198" s="333"/>
      <c r="N198" s="333"/>
      <c r="O198" s="1053">
        <f>+O197/7</f>
        <v>34.1</v>
      </c>
      <c r="P198" s="1053"/>
      <c r="Q198" s="1053" t="s">
        <v>75</v>
      </c>
      <c r="R198" s="1053"/>
      <c r="S198" s="1053"/>
      <c r="T198" s="1053"/>
      <c r="U198" s="1053"/>
      <c r="V198" s="1053"/>
      <c r="W198" s="1053"/>
      <c r="X198" s="1053"/>
      <c r="Y198" s="1053"/>
      <c r="Z198" s="1053"/>
      <c r="AA198" s="167"/>
      <c r="AB198" s="167"/>
      <c r="AC198" s="461"/>
      <c r="AG198" s="267"/>
      <c r="AH198" s="267"/>
      <c r="AI198" s="412"/>
      <c r="AJ198" s="413"/>
      <c r="AK198" s="407"/>
      <c r="AL198" s="267"/>
      <c r="AM198" s="267"/>
      <c r="AN198" s="267"/>
      <c r="AO198" s="267"/>
    </row>
    <row r="199" spans="2:50">
      <c r="B199" s="467">
        <f>+B197/7</f>
        <v>30.999999999999996</v>
      </c>
      <c r="C199" s="468" t="s">
        <v>86</v>
      </c>
      <c r="D199" s="333"/>
      <c r="E199" s="410"/>
      <c r="F199" s="411"/>
      <c r="G199" s="333"/>
      <c r="H199" s="333"/>
      <c r="I199" s="411"/>
      <c r="J199" s="333"/>
      <c r="K199" s="405"/>
      <c r="L199" s="405"/>
      <c r="M199" s="333"/>
      <c r="N199" s="333"/>
      <c r="O199" s="1065">
        <f>(O197-18)/7</f>
        <v>31.528571428571432</v>
      </c>
      <c r="P199" s="1065"/>
      <c r="Q199" s="1065" t="s">
        <v>77</v>
      </c>
      <c r="R199" s="1065"/>
      <c r="S199" s="1065"/>
      <c r="T199" s="1065"/>
      <c r="U199" s="1065"/>
      <c r="V199" s="1065"/>
      <c r="W199" s="1065"/>
      <c r="X199" s="1065"/>
      <c r="Y199" s="1065"/>
      <c r="Z199" s="1065"/>
      <c r="AA199" s="167"/>
      <c r="AB199" s="167"/>
      <c r="AC199" s="461"/>
      <c r="AG199" s="267"/>
      <c r="AH199" s="267"/>
      <c r="AI199" s="267"/>
      <c r="AJ199" s="267"/>
      <c r="AK199" s="407"/>
      <c r="AL199" s="267"/>
      <c r="AM199" s="267"/>
      <c r="AN199" s="267"/>
      <c r="AO199" s="267"/>
    </row>
    <row r="200" spans="2:50">
      <c r="B200" s="459"/>
      <c r="C200" s="409"/>
      <c r="D200" s="333"/>
      <c r="E200" s="410"/>
      <c r="F200" s="411"/>
      <c r="G200" s="333"/>
      <c r="H200" s="333"/>
      <c r="I200" s="411"/>
      <c r="J200" s="333"/>
      <c r="K200" s="405"/>
      <c r="L200" s="405"/>
      <c r="M200" s="333"/>
      <c r="N200" s="333"/>
      <c r="O200" s="1053">
        <v>3</v>
      </c>
      <c r="P200" s="1053"/>
      <c r="Q200" s="1053" t="s">
        <v>79</v>
      </c>
      <c r="R200" s="1053"/>
      <c r="S200" s="1053"/>
      <c r="T200" s="1053"/>
      <c r="U200" s="1053"/>
      <c r="V200" s="1053"/>
      <c r="W200" s="1053"/>
      <c r="X200" s="1053"/>
      <c r="Y200" s="1053"/>
      <c r="Z200" s="1053"/>
      <c r="AA200" s="167"/>
      <c r="AB200" s="167"/>
      <c r="AC200" s="461"/>
      <c r="AG200" s="267"/>
      <c r="AH200" s="267"/>
      <c r="AI200" s="267"/>
      <c r="AJ200" s="267"/>
      <c r="AK200" s="267"/>
      <c r="AL200" s="267"/>
      <c r="AM200" s="267"/>
      <c r="AN200" s="267"/>
      <c r="AO200" s="267"/>
    </row>
    <row r="201" spans="2:50" ht="15.75" thickBot="1">
      <c r="B201" s="469"/>
      <c r="C201" s="470"/>
      <c r="D201" s="471"/>
      <c r="E201" s="472"/>
      <c r="F201" s="473"/>
      <c r="G201" s="471"/>
      <c r="H201" s="471"/>
      <c r="I201" s="473"/>
      <c r="J201" s="471"/>
      <c r="K201" s="474"/>
      <c r="L201" s="474"/>
      <c r="M201" s="471"/>
      <c r="N201" s="471"/>
      <c r="O201" s="1081">
        <f>+O200+O199</f>
        <v>34.528571428571432</v>
      </c>
      <c r="P201" s="1081"/>
      <c r="Q201" s="471"/>
      <c r="R201" s="471"/>
      <c r="S201" s="471"/>
      <c r="T201" s="471"/>
      <c r="U201" s="471"/>
      <c r="V201" s="471"/>
      <c r="W201" s="471"/>
      <c r="X201" s="471"/>
      <c r="Y201" s="471"/>
      <c r="Z201" s="471"/>
      <c r="AA201" s="475"/>
      <c r="AB201" s="475"/>
      <c r="AC201" s="476"/>
      <c r="AG201" s="267"/>
      <c r="AH201" s="267"/>
      <c r="AI201" s="267"/>
      <c r="AJ201" s="267"/>
      <c r="AK201" s="267"/>
      <c r="AL201" s="267"/>
      <c r="AM201" s="267"/>
      <c r="AN201" s="267"/>
      <c r="AO201" s="267"/>
    </row>
    <row r="202" spans="2:50" ht="15.75" thickTop="1">
      <c r="B202" s="168"/>
      <c r="AG202" s="267"/>
      <c r="AH202" s="267"/>
      <c r="AI202" s="267"/>
      <c r="AJ202" s="267"/>
      <c r="AK202" s="267"/>
      <c r="AL202" s="267"/>
      <c r="AM202" s="267"/>
      <c r="AN202" s="267"/>
      <c r="AO202" s="267"/>
    </row>
    <row r="203" spans="2:50" ht="3" customHeight="1">
      <c r="Q203" s="308"/>
      <c r="R203" s="309"/>
      <c r="S203" s="310"/>
      <c r="T203" s="311"/>
      <c r="AA203" s="3"/>
      <c r="AB203" s="256"/>
      <c r="AC203" s="256"/>
      <c r="AD203" s="256"/>
      <c r="AE203" s="256"/>
      <c r="AF203" s="256"/>
      <c r="AG203" s="256"/>
      <c r="AH203" s="256"/>
      <c r="AI203" s="256"/>
      <c r="AJ203" s="256"/>
      <c r="AK203" s="256"/>
      <c r="AL203" s="256"/>
      <c r="AM203" s="254"/>
      <c r="AN203" s="254"/>
      <c r="AO203" s="254"/>
      <c r="AP203" s="254"/>
      <c r="AQ203" s="253"/>
      <c r="AS203" s="255"/>
      <c r="AT203" s="255"/>
      <c r="AX203" s="257"/>
    </row>
    <row r="204" spans="2:50" ht="14.1" customHeight="1">
      <c r="B204" s="7" t="s">
        <v>29</v>
      </c>
      <c r="C204" s="997" t="s">
        <v>30</v>
      </c>
      <c r="D204" s="997"/>
      <c r="E204" s="997" t="s">
        <v>31</v>
      </c>
      <c r="F204" s="997"/>
      <c r="G204" s="998" t="s">
        <v>32</v>
      </c>
      <c r="H204" s="999"/>
      <c r="I204" s="1004" t="s">
        <v>33</v>
      </c>
      <c r="J204" s="1005"/>
      <c r="K204" s="1006" t="s">
        <v>34</v>
      </c>
      <c r="L204" s="1006"/>
      <c r="M204" s="6"/>
      <c r="N204" s="1007" t="s">
        <v>35</v>
      </c>
      <c r="O204" s="1007"/>
      <c r="P204" s="6"/>
      <c r="Q204" s="1008" t="s">
        <v>36</v>
      </c>
      <c r="R204" s="1009"/>
      <c r="U204" s="1019" t="s">
        <v>37</v>
      </c>
      <c r="V204" s="1022" t="s">
        <v>38</v>
      </c>
      <c r="W204" s="1025" t="s">
        <v>39</v>
      </c>
      <c r="X204" s="983" t="s">
        <v>40</v>
      </c>
      <c r="AA204" s="3"/>
      <c r="AB204" s="256"/>
      <c r="AC204" s="256"/>
      <c r="AD204" s="256"/>
      <c r="AE204" s="256"/>
      <c r="AF204" s="256"/>
      <c r="AG204" s="256"/>
      <c r="AH204" s="256"/>
      <c r="AI204" s="256"/>
      <c r="AJ204" s="256"/>
      <c r="AK204" s="256"/>
      <c r="AL204" s="256"/>
      <c r="AM204" s="254"/>
      <c r="AN204" s="254"/>
      <c r="AO204" s="254"/>
      <c r="AP204" s="254"/>
      <c r="AQ204" s="253"/>
      <c r="AS204" s="255"/>
      <c r="AT204" s="255"/>
      <c r="AX204" s="257"/>
    </row>
    <row r="205" spans="2:50" ht="14.1" customHeight="1">
      <c r="B205" s="7" t="s">
        <v>41</v>
      </c>
      <c r="C205" s="997"/>
      <c r="D205" s="997"/>
      <c r="E205" s="997"/>
      <c r="F205" s="997"/>
      <c r="G205" s="1000"/>
      <c r="H205" s="1001"/>
      <c r="I205" s="1004"/>
      <c r="J205" s="1005"/>
      <c r="K205" s="1006"/>
      <c r="L205" s="1006"/>
      <c r="M205" s="6"/>
      <c r="N205" s="1007"/>
      <c r="O205" s="1007"/>
      <c r="P205" s="6"/>
      <c r="Q205" s="1010"/>
      <c r="R205" s="1011"/>
      <c r="U205" s="1020"/>
      <c r="V205" s="1023"/>
      <c r="W205" s="1026"/>
      <c r="X205" s="984"/>
      <c r="AA205" s="3"/>
      <c r="AB205" s="256"/>
      <c r="AC205" s="256"/>
      <c r="AD205" s="256"/>
      <c r="AE205" s="256"/>
      <c r="AF205" s="256"/>
      <c r="AG205" s="256"/>
      <c r="AH205" s="256"/>
      <c r="AI205" s="256"/>
      <c r="AJ205" s="256"/>
      <c r="AK205" s="256"/>
      <c r="AL205" s="256"/>
      <c r="AM205" s="254"/>
      <c r="AN205" s="254"/>
      <c r="AO205" s="254"/>
      <c r="AP205" s="254"/>
      <c r="AQ205" s="253"/>
      <c r="AS205" s="255"/>
      <c r="AT205" s="255"/>
      <c r="AX205" s="257"/>
    </row>
    <row r="206" spans="2:50" ht="14.1" customHeight="1">
      <c r="B206" s="7" t="s">
        <v>42</v>
      </c>
      <c r="C206" s="997"/>
      <c r="D206" s="997"/>
      <c r="E206" s="997"/>
      <c r="F206" s="997"/>
      <c r="G206" s="1000"/>
      <c r="H206" s="1001"/>
      <c r="I206" s="1004"/>
      <c r="J206" s="1005"/>
      <c r="K206" s="1006"/>
      <c r="L206" s="1006"/>
      <c r="M206" s="6"/>
      <c r="N206" s="1007"/>
      <c r="O206" s="1007"/>
      <c r="P206" s="6"/>
      <c r="Q206" s="1012"/>
      <c r="R206" s="1013"/>
      <c r="U206" s="1020"/>
      <c r="V206" s="1023"/>
      <c r="W206" s="1026"/>
      <c r="X206" s="984"/>
      <c r="AA206" s="3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254"/>
      <c r="AN206" s="254"/>
      <c r="AO206" s="254"/>
      <c r="AP206" s="254"/>
      <c r="AQ206" s="253"/>
      <c r="AS206" s="255"/>
      <c r="AT206" s="255"/>
      <c r="AV206" s="254"/>
      <c r="AX206" s="257"/>
    </row>
    <row r="207" spans="2:50" ht="26.25">
      <c r="B207" s="325" t="s">
        <v>44</v>
      </c>
      <c r="C207" s="986">
        <f>+E207*7</f>
        <v>198.33333333333331</v>
      </c>
      <c r="D207" s="986"/>
      <c r="E207" s="987">
        <f>+K207/30</f>
        <v>28.333333333333332</v>
      </c>
      <c r="F207" s="987"/>
      <c r="G207" s="1000"/>
      <c r="H207" s="1001"/>
      <c r="I207" s="988">
        <f>+E207/8</f>
        <v>3.5416666666666665</v>
      </c>
      <c r="J207" s="989"/>
      <c r="K207" s="990">
        <v>850</v>
      </c>
      <c r="L207" s="990"/>
      <c r="M207" s="326"/>
      <c r="N207" s="991">
        <f>+I207/6*7</f>
        <v>4.1319444444444446</v>
      </c>
      <c r="O207" s="992"/>
      <c r="P207" s="326"/>
      <c r="Q207" s="993">
        <f>+$I$71-I207</f>
        <v>1.6895833333333337</v>
      </c>
      <c r="R207" s="993"/>
      <c r="U207" s="1020"/>
      <c r="V207" s="1023"/>
      <c r="W207" s="1026"/>
      <c r="X207" s="984"/>
      <c r="AA207" s="3"/>
      <c r="AB207" s="3"/>
      <c r="AC207" s="3"/>
      <c r="AD207" s="3"/>
    </row>
    <row r="208" spans="2:50" ht="24.75">
      <c r="B208" s="332" t="s">
        <v>46</v>
      </c>
      <c r="C208" s="1014">
        <f>+E208*7</f>
        <v>267.75</v>
      </c>
      <c r="D208" s="1014"/>
      <c r="E208" s="1015">
        <f>+K208/30</f>
        <v>38.25</v>
      </c>
      <c r="F208" s="1015"/>
      <c r="G208" s="1002"/>
      <c r="H208" s="1003"/>
      <c r="I208" s="1016">
        <f>+E208/8</f>
        <v>4.78125</v>
      </c>
      <c r="J208" s="1017"/>
      <c r="K208" s="1018">
        <f>+K207*1.35</f>
        <v>1147.5</v>
      </c>
      <c r="L208" s="1018"/>
      <c r="M208" s="326"/>
      <c r="N208" s="991">
        <f>+I208/6*7</f>
        <v>5.578125</v>
      </c>
      <c r="O208" s="992"/>
      <c r="P208" s="326"/>
      <c r="Q208" s="993">
        <f>+$I$71-I208</f>
        <v>0.45000000000000018</v>
      </c>
      <c r="R208" s="993"/>
      <c r="U208" s="1020"/>
      <c r="V208" s="1023"/>
      <c r="W208" s="1026"/>
      <c r="X208" s="984"/>
      <c r="Z208" s="477"/>
      <c r="AA208" s="682"/>
      <c r="AB208" s="682"/>
      <c r="AC208" s="682"/>
      <c r="AD208" s="682"/>
      <c r="AE208" s="296"/>
      <c r="AF208" s="296"/>
      <c r="AG208" s="478"/>
      <c r="AH208" s="296"/>
      <c r="AI208" s="296"/>
      <c r="AJ208" s="296"/>
      <c r="AK208" s="296"/>
      <c r="AL208" s="296"/>
      <c r="AM208" s="296"/>
      <c r="AN208" s="296"/>
      <c r="AO208" s="296"/>
      <c r="AP208" s="296"/>
      <c r="AQ208" s="296"/>
      <c r="AR208" s="296"/>
      <c r="AS208" s="296"/>
      <c r="AT208" s="296"/>
    </row>
    <row r="209" spans="1:46" ht="2.1" customHeight="1">
      <c r="B209" s="334"/>
      <c r="C209" s="258"/>
      <c r="D209" s="258"/>
      <c r="G209" s="335"/>
      <c r="H209" s="335"/>
      <c r="I209" s="336"/>
      <c r="J209" s="336"/>
      <c r="K209" s="337"/>
      <c r="L209" s="337"/>
      <c r="M209" s="6"/>
      <c r="N209" s="338"/>
      <c r="O209" s="338"/>
      <c r="P209" s="6"/>
      <c r="Q209" s="339"/>
      <c r="R209" s="339"/>
      <c r="U209" s="1021"/>
      <c r="V209" s="1024"/>
      <c r="W209" s="1027"/>
      <c r="X209" s="985"/>
      <c r="Z209" s="477"/>
      <c r="AA209" s="682"/>
      <c r="AB209" s="682"/>
      <c r="AC209" s="682"/>
      <c r="AD209" s="682"/>
      <c r="AE209" s="296"/>
      <c r="AF209" s="296"/>
      <c r="AG209" s="478"/>
      <c r="AH209" s="296"/>
      <c r="AI209" s="296"/>
      <c r="AJ209" s="296"/>
      <c r="AK209" s="296"/>
      <c r="AL209" s="296"/>
      <c r="AM209" s="296"/>
      <c r="AN209" s="296"/>
      <c r="AO209" s="296"/>
      <c r="AP209" s="296"/>
      <c r="AQ209" s="296"/>
      <c r="AR209" s="296"/>
      <c r="AS209" s="296"/>
      <c r="AT209" s="296"/>
    </row>
    <row r="210" spans="1:46" ht="16.5">
      <c r="A210" s="1">
        <v>1</v>
      </c>
      <c r="B210" s="340" t="s">
        <v>47</v>
      </c>
      <c r="C210" s="1040">
        <f>6*3+7*33.8</f>
        <v>254.59999999999997</v>
      </c>
      <c r="D210" s="1041"/>
      <c r="E210" s="1030">
        <f t="shared" ref="E210:E217" si="85">+C210/7</f>
        <v>36.371428571428567</v>
      </c>
      <c r="F210" s="1031"/>
      <c r="G210" s="341"/>
      <c r="H210" s="341"/>
      <c r="I210" s="1032">
        <f t="shared" ref="I210:I217" si="86">+E210/8</f>
        <v>4.5464285714285708</v>
      </c>
      <c r="J210" s="1033"/>
      <c r="K210" s="1034">
        <f t="shared" ref="K210:K220" si="87">+E210*30</f>
        <v>1091.1428571428569</v>
      </c>
      <c r="L210" s="1034"/>
      <c r="M210" s="6"/>
      <c r="N210" s="1035">
        <f t="shared" ref="N210:N224" si="88">+I210/6*7</f>
        <v>5.3041666666666654</v>
      </c>
      <c r="O210" s="1035"/>
      <c r="P210" s="6"/>
      <c r="Q210" s="1036">
        <f t="shared" ref="Q210:Q224" si="89">+$I$71-I210</f>
        <v>0.68482142857142936</v>
      </c>
      <c r="R210" s="1037"/>
      <c r="U210" s="342">
        <f t="shared" ref="U210:U216" si="90">+AE171+U171+K171+AO150+AE150+U150+K150</f>
        <v>0</v>
      </c>
      <c r="V210" s="343">
        <v>48</v>
      </c>
      <c r="W210" s="344">
        <f t="shared" ref="W210:W224" si="91">+V210-U210</f>
        <v>48</v>
      </c>
      <c r="X210" s="345" t="e">
        <f t="shared" ref="X210:X216" si="92">+J150+T150+AD150+J171+T171+AD171</f>
        <v>#VALUE!</v>
      </c>
      <c r="Z210" s="477"/>
      <c r="AA210" s="682"/>
      <c r="AB210" s="682"/>
      <c r="AC210" s="682"/>
      <c r="AD210" s="682"/>
      <c r="AE210" s="296"/>
      <c r="AF210" s="296"/>
      <c r="AG210" s="478"/>
      <c r="AH210" s="296"/>
      <c r="AI210" s="296"/>
      <c r="AJ210" s="296"/>
      <c r="AK210" s="296"/>
      <c r="AL210" s="296"/>
      <c r="AM210" s="296"/>
      <c r="AN210" s="296"/>
      <c r="AO210" s="296"/>
      <c r="AP210" s="296"/>
      <c r="AQ210" s="296"/>
      <c r="AR210" s="296"/>
      <c r="AS210" s="296"/>
      <c r="AT210" s="296"/>
    </row>
    <row r="211" spans="1:46" ht="16.5">
      <c r="A211" s="1">
        <v>2</v>
      </c>
      <c r="B211" s="340" t="s">
        <v>48</v>
      </c>
      <c r="C211" s="1040">
        <f>6*3+7*38.5</f>
        <v>287.5</v>
      </c>
      <c r="D211" s="1041"/>
      <c r="E211" s="1030">
        <f t="shared" si="85"/>
        <v>41.071428571428569</v>
      </c>
      <c r="F211" s="1031"/>
      <c r="G211" s="341"/>
      <c r="H211" s="341"/>
      <c r="I211" s="1032">
        <f t="shared" si="86"/>
        <v>5.1339285714285712</v>
      </c>
      <c r="J211" s="1033"/>
      <c r="K211" s="1034">
        <f t="shared" si="87"/>
        <v>1232.1428571428571</v>
      </c>
      <c r="L211" s="1034"/>
      <c r="M211" s="6"/>
      <c r="N211" s="1035">
        <f t="shared" si="88"/>
        <v>5.989583333333333</v>
      </c>
      <c r="O211" s="1035"/>
      <c r="P211" s="6"/>
      <c r="Q211" s="1036">
        <f t="shared" si="89"/>
        <v>9.7321428571429003E-2</v>
      </c>
      <c r="R211" s="1037"/>
      <c r="U211" s="342">
        <f t="shared" si="90"/>
        <v>0</v>
      </c>
      <c r="V211" s="343">
        <v>48</v>
      </c>
      <c r="W211" s="344">
        <f t="shared" si="91"/>
        <v>48</v>
      </c>
      <c r="X211" s="345" t="e">
        <f t="shared" si="92"/>
        <v>#VALUE!</v>
      </c>
      <c r="Z211" s="477"/>
      <c r="AA211" s="682"/>
      <c r="AB211" s="682"/>
      <c r="AC211" s="682"/>
      <c r="AD211" s="682"/>
      <c r="AE211" s="296"/>
      <c r="AF211" s="296"/>
      <c r="AG211" s="478"/>
      <c r="AH211" s="296"/>
      <c r="AI211" s="296"/>
      <c r="AJ211" s="296"/>
      <c r="AK211" s="296"/>
      <c r="AL211" s="296"/>
      <c r="AM211" s="296"/>
      <c r="AN211" s="296"/>
      <c r="AO211" s="296"/>
      <c r="AP211" s="296"/>
      <c r="AQ211" s="296"/>
      <c r="AR211" s="296"/>
      <c r="AS211" s="296"/>
      <c r="AT211" s="296"/>
    </row>
    <row r="212" spans="1:46" ht="16.5">
      <c r="A212" s="1">
        <v>2</v>
      </c>
      <c r="B212" s="340" t="s">
        <v>61</v>
      </c>
      <c r="C212" s="1040">
        <f>6*3+7*38.5</f>
        <v>287.5</v>
      </c>
      <c r="D212" s="1041"/>
      <c r="E212" s="1030">
        <f t="shared" si="85"/>
        <v>41.071428571428569</v>
      </c>
      <c r="F212" s="1031"/>
      <c r="G212" s="341"/>
      <c r="H212" s="341"/>
      <c r="I212" s="1032">
        <f t="shared" si="86"/>
        <v>5.1339285714285712</v>
      </c>
      <c r="J212" s="1033"/>
      <c r="K212" s="1034">
        <f t="shared" si="87"/>
        <v>1232.1428571428571</v>
      </c>
      <c r="L212" s="1034"/>
      <c r="M212" s="6"/>
      <c r="N212" s="1035">
        <f t="shared" si="88"/>
        <v>5.989583333333333</v>
      </c>
      <c r="O212" s="1035"/>
      <c r="P212" s="6"/>
      <c r="Q212" s="1036">
        <f t="shared" si="89"/>
        <v>9.7321428571429003E-2</v>
      </c>
      <c r="R212" s="1037"/>
      <c r="U212" s="342">
        <f t="shared" si="90"/>
        <v>0</v>
      </c>
      <c r="V212" s="343">
        <v>48</v>
      </c>
      <c r="W212" s="344">
        <f t="shared" si="91"/>
        <v>48</v>
      </c>
      <c r="X212" s="345" t="e">
        <f t="shared" si="92"/>
        <v>#VALUE!</v>
      </c>
      <c r="Z212" s="477"/>
      <c r="AA212" s="682"/>
      <c r="AB212" s="682"/>
      <c r="AC212" s="682"/>
      <c r="AD212" s="682"/>
      <c r="AE212" s="296"/>
      <c r="AF212" s="296"/>
      <c r="AG212" s="478"/>
      <c r="AH212" s="296"/>
      <c r="AI212" s="296"/>
      <c r="AJ212" s="296"/>
      <c r="AK212" s="296"/>
      <c r="AL212" s="296"/>
      <c r="AM212" s="296"/>
      <c r="AN212" s="296"/>
      <c r="AO212" s="296"/>
      <c r="AP212" s="296"/>
      <c r="AQ212" s="296"/>
      <c r="AR212" s="296"/>
      <c r="AS212" s="296"/>
      <c r="AT212" s="296"/>
    </row>
    <row r="213" spans="1:46" ht="16.5">
      <c r="A213" s="1">
        <v>4</v>
      </c>
      <c r="B213" s="359" t="s">
        <v>50</v>
      </c>
      <c r="C213" s="1028">
        <f>6*3+7*30.762</f>
        <v>233.334</v>
      </c>
      <c r="D213" s="1029"/>
      <c r="E213" s="1030">
        <f t="shared" si="85"/>
        <v>33.33342857142857</v>
      </c>
      <c r="F213" s="1031"/>
      <c r="G213" s="341"/>
      <c r="H213" s="341"/>
      <c r="I213" s="1032">
        <f t="shared" si="86"/>
        <v>4.1666785714285712</v>
      </c>
      <c r="J213" s="1033"/>
      <c r="K213" s="1034">
        <f t="shared" si="87"/>
        <v>1000.0028571428571</v>
      </c>
      <c r="L213" s="1034"/>
      <c r="M213" s="6"/>
      <c r="N213" s="1035">
        <f t="shared" si="88"/>
        <v>4.8611250000000004</v>
      </c>
      <c r="O213" s="1035"/>
      <c r="P213" s="6"/>
      <c r="Q213" s="1036">
        <f t="shared" si="89"/>
        <v>1.0645714285714289</v>
      </c>
      <c r="R213" s="1037"/>
      <c r="S213" s="1082">
        <f>20*30/180*117</f>
        <v>390</v>
      </c>
      <c r="T213" s="1083"/>
      <c r="U213" s="342">
        <f t="shared" si="90"/>
        <v>0</v>
      </c>
      <c r="V213" s="343">
        <v>48</v>
      </c>
      <c r="W213" s="344">
        <f t="shared" si="91"/>
        <v>48</v>
      </c>
      <c r="X213" s="345">
        <f t="shared" si="92"/>
        <v>0</v>
      </c>
      <c r="Z213" s="1084" t="s">
        <v>99</v>
      </c>
      <c r="AA213" s="1084"/>
      <c r="AB213" s="1084"/>
      <c r="AC213" s="1084"/>
      <c r="AD213" s="477" t="s">
        <v>100</v>
      </c>
      <c r="AE213" s="682"/>
      <c r="AF213" s="296"/>
      <c r="AG213" s="681"/>
      <c r="AH213" s="681"/>
      <c r="AI213" s="296"/>
      <c r="AJ213" s="296"/>
      <c r="AK213" s="667"/>
      <c r="AL213" s="667"/>
      <c r="AM213" s="667"/>
      <c r="AN213" s="667"/>
      <c r="AO213" s="667"/>
      <c r="AP213" s="667"/>
      <c r="AQ213" s="667"/>
      <c r="AR213" s="667"/>
      <c r="AS213" s="296"/>
      <c r="AT213" s="296"/>
    </row>
    <row r="214" spans="1:46" ht="16.5">
      <c r="A214" s="1">
        <v>5</v>
      </c>
      <c r="B214" s="340" t="s">
        <v>52</v>
      </c>
      <c r="C214" s="1028">
        <f>6*3+7*38.5</f>
        <v>287.5</v>
      </c>
      <c r="D214" s="1029"/>
      <c r="E214" s="1030">
        <f t="shared" si="85"/>
        <v>41.071428571428569</v>
      </c>
      <c r="F214" s="1031"/>
      <c r="G214" s="341"/>
      <c r="H214" s="341"/>
      <c r="I214" s="1032">
        <f t="shared" si="86"/>
        <v>5.1339285714285712</v>
      </c>
      <c r="J214" s="1033"/>
      <c r="K214" s="1034">
        <f t="shared" si="87"/>
        <v>1232.1428571428571</v>
      </c>
      <c r="L214" s="1034"/>
      <c r="M214" s="6"/>
      <c r="N214" s="1035">
        <f t="shared" si="88"/>
        <v>5.989583333333333</v>
      </c>
      <c r="O214" s="1035"/>
      <c r="P214" s="6"/>
      <c r="Q214" s="1036">
        <f t="shared" si="89"/>
        <v>9.7321428571429003E-2</v>
      </c>
      <c r="R214" s="1037"/>
      <c r="U214" s="342">
        <f t="shared" si="90"/>
        <v>0</v>
      </c>
      <c r="V214" s="343">
        <v>48</v>
      </c>
      <c r="W214" s="344">
        <f t="shared" si="91"/>
        <v>48</v>
      </c>
      <c r="X214" s="345">
        <f t="shared" si="92"/>
        <v>0</v>
      </c>
      <c r="Z214" s="682"/>
      <c r="AA214" s="682"/>
      <c r="AB214" s="682"/>
      <c r="AC214" s="682"/>
      <c r="AD214" s="682"/>
      <c r="AE214" s="296"/>
      <c r="AF214" s="296"/>
      <c r="AG214" s="479"/>
      <c r="AH214" s="479"/>
      <c r="AI214" s="681"/>
      <c r="AJ214" s="681"/>
      <c r="AK214" s="681"/>
      <c r="AL214" s="681"/>
      <c r="AM214" s="681"/>
      <c r="AN214" s="681"/>
      <c r="AO214" s="681"/>
      <c r="AP214" s="681"/>
      <c r="AQ214" s="681"/>
      <c r="AR214" s="681"/>
      <c r="AS214" s="296"/>
      <c r="AT214" s="296"/>
    </row>
    <row r="215" spans="1:46" ht="16.5">
      <c r="A215" s="1">
        <v>7</v>
      </c>
      <c r="B215" s="365" t="s">
        <v>53</v>
      </c>
      <c r="C215" s="1042">
        <f>6*3+7*(38.5)</f>
        <v>287.5</v>
      </c>
      <c r="D215" s="1043"/>
      <c r="E215" s="1030">
        <f t="shared" si="85"/>
        <v>41.071428571428569</v>
      </c>
      <c r="F215" s="1031"/>
      <c r="G215" s="1046"/>
      <c r="H215" s="1047"/>
      <c r="I215" s="1032">
        <f t="shared" si="86"/>
        <v>5.1339285714285712</v>
      </c>
      <c r="J215" s="1033"/>
      <c r="K215" s="1034">
        <f t="shared" si="87"/>
        <v>1232.1428571428571</v>
      </c>
      <c r="L215" s="1034"/>
      <c r="M215" s="6"/>
      <c r="N215" s="1035">
        <f t="shared" si="88"/>
        <v>5.989583333333333</v>
      </c>
      <c r="O215" s="1035"/>
      <c r="P215" s="6"/>
      <c r="Q215" s="1036">
        <f t="shared" si="89"/>
        <v>9.7321428571429003E-2</v>
      </c>
      <c r="R215" s="1037"/>
      <c r="U215" s="342">
        <f t="shared" si="90"/>
        <v>0</v>
      </c>
      <c r="V215" s="343">
        <v>48</v>
      </c>
      <c r="W215" s="344">
        <f t="shared" si="91"/>
        <v>48</v>
      </c>
      <c r="X215" s="345">
        <f t="shared" si="92"/>
        <v>0</v>
      </c>
      <c r="Z215" s="372"/>
      <c r="AA215" s="372"/>
      <c r="AB215" s="1085" t="s">
        <v>101</v>
      </c>
      <c r="AC215" s="1086"/>
      <c r="AD215" s="1086"/>
      <c r="AE215" s="1086"/>
      <c r="AF215" s="1086"/>
      <c r="AG215" s="1086"/>
      <c r="AH215" s="1086"/>
      <c r="AI215" s="1086"/>
      <c r="AJ215" s="1086"/>
      <c r="AK215" s="1086"/>
      <c r="AL215" s="370"/>
      <c r="AM215" s="681"/>
      <c r="AN215" s="681"/>
      <c r="AO215" s="681"/>
      <c r="AP215" s="681"/>
      <c r="AQ215" s="681"/>
      <c r="AR215" s="681"/>
      <c r="AS215" s="296"/>
      <c r="AT215" s="296"/>
    </row>
    <row r="216" spans="1:46" s="371" customFormat="1" ht="16.5">
      <c r="A216" s="366">
        <v>6</v>
      </c>
      <c r="B216" s="365" t="s">
        <v>102</v>
      </c>
      <c r="C216" s="1042">
        <f>6*3+7*(27)</f>
        <v>207</v>
      </c>
      <c r="D216" s="1043"/>
      <c r="E216" s="1030">
        <f t="shared" si="85"/>
        <v>29.571428571428573</v>
      </c>
      <c r="F216" s="1031"/>
      <c r="G216" s="1087"/>
      <c r="H216" s="1088"/>
      <c r="I216" s="1032">
        <f t="shared" si="86"/>
        <v>3.6964285714285716</v>
      </c>
      <c r="J216" s="1033"/>
      <c r="K216" s="1034">
        <f t="shared" si="87"/>
        <v>887.14285714285722</v>
      </c>
      <c r="L216" s="1034"/>
      <c r="M216" s="6"/>
      <c r="N216" s="1035">
        <f t="shared" si="88"/>
        <v>4.3125</v>
      </c>
      <c r="O216" s="1035"/>
      <c r="P216" s="6"/>
      <c r="Q216" s="1036">
        <f t="shared" si="89"/>
        <v>1.5348214285714286</v>
      </c>
      <c r="R216" s="1037"/>
      <c r="S216" s="1082">
        <f>20*30/180*117</f>
        <v>390</v>
      </c>
      <c r="T216" s="1083"/>
      <c r="U216" s="342">
        <f t="shared" si="90"/>
        <v>0</v>
      </c>
      <c r="V216" s="343">
        <v>48</v>
      </c>
      <c r="W216" s="344">
        <f t="shared" si="91"/>
        <v>48</v>
      </c>
      <c r="X216" s="345">
        <f t="shared" si="92"/>
        <v>0</v>
      </c>
      <c r="Y216" s="367"/>
      <c r="Z216" s="682"/>
      <c r="AA216" s="682"/>
      <c r="AB216" s="682"/>
      <c r="AC216" s="682"/>
      <c r="AD216" s="682"/>
      <c r="AE216" s="296"/>
      <c r="AF216" s="296"/>
      <c r="AG216" s="681"/>
      <c r="AH216" s="681"/>
      <c r="AI216" s="370"/>
      <c r="AJ216" s="370"/>
      <c r="AK216" s="370"/>
      <c r="AL216" s="370"/>
      <c r="AM216" s="681"/>
      <c r="AN216" s="681"/>
      <c r="AO216" s="681"/>
      <c r="AP216" s="681"/>
      <c r="AQ216" s="681"/>
      <c r="AR216" s="681"/>
      <c r="AS216" s="296"/>
      <c r="AT216" s="296"/>
    </row>
    <row r="217" spans="1:46" s="371" customFormat="1" ht="16.5">
      <c r="A217" s="1">
        <v>8</v>
      </c>
      <c r="B217" s="365" t="s">
        <v>87</v>
      </c>
      <c r="C217" s="1042">
        <f>6*3+7*(25.7619)</f>
        <v>198.33330000000001</v>
      </c>
      <c r="D217" s="1043"/>
      <c r="E217" s="1030">
        <f t="shared" si="85"/>
        <v>28.333328571428574</v>
      </c>
      <c r="F217" s="1031"/>
      <c r="G217" s="1044">
        <v>25.761900000000001</v>
      </c>
      <c r="H217" s="1045"/>
      <c r="I217" s="1032">
        <f t="shared" si="86"/>
        <v>3.5416660714285717</v>
      </c>
      <c r="J217" s="1033"/>
      <c r="K217" s="1034">
        <f t="shared" si="87"/>
        <v>849.99985714285719</v>
      </c>
      <c r="L217" s="1034"/>
      <c r="M217" s="6"/>
      <c r="N217" s="1035">
        <f t="shared" si="88"/>
        <v>4.1319437500000005</v>
      </c>
      <c r="O217" s="1035"/>
      <c r="P217" s="6"/>
      <c r="Q217" s="1036">
        <f t="shared" si="89"/>
        <v>1.6895839285714285</v>
      </c>
      <c r="R217" s="1037"/>
      <c r="S217" s="3"/>
      <c r="T217" s="3"/>
      <c r="U217" s="342">
        <f>+AE179+U179+K179+AO158+AE158+U158+K158</f>
        <v>0</v>
      </c>
      <c r="V217" s="343">
        <v>48</v>
      </c>
      <c r="W217" s="344">
        <f t="shared" si="91"/>
        <v>48</v>
      </c>
      <c r="X217" s="345">
        <f>+J158+T158+AD158+J179+T179+AD179</f>
        <v>0</v>
      </c>
      <c r="Y217" s="3"/>
      <c r="Z217" s="682"/>
      <c r="AA217" s="682"/>
      <c r="AB217" s="682"/>
      <c r="AC217" s="682"/>
      <c r="AD217" s="682"/>
      <c r="AE217" s="296"/>
      <c r="AF217" s="296"/>
      <c r="AG217" s="681"/>
      <c r="AH217" s="681"/>
      <c r="AI217" s="370"/>
      <c r="AJ217" s="370"/>
      <c r="AK217" s="370"/>
      <c r="AL217" s="370"/>
      <c r="AM217" s="681"/>
      <c r="AN217" s="681"/>
      <c r="AO217" s="681"/>
      <c r="AP217" s="681"/>
      <c r="AQ217" s="681"/>
      <c r="AR217" s="681"/>
      <c r="AS217" s="296"/>
      <c r="AT217" s="296"/>
    </row>
    <row r="218" spans="1:46" ht="16.5">
      <c r="B218" s="365" t="s">
        <v>54</v>
      </c>
      <c r="C218" s="1042"/>
      <c r="D218" s="1043"/>
      <c r="E218" s="1030"/>
      <c r="F218" s="1031"/>
      <c r="G218" s="1087"/>
      <c r="H218" s="1088"/>
      <c r="I218" s="1032"/>
      <c r="J218" s="1033"/>
      <c r="K218" s="1034">
        <f t="shared" si="87"/>
        <v>0</v>
      </c>
      <c r="L218" s="1034"/>
      <c r="M218" s="6"/>
      <c r="N218" s="1035">
        <f t="shared" si="88"/>
        <v>0</v>
      </c>
      <c r="O218" s="1035"/>
      <c r="P218" s="6"/>
      <c r="Q218" s="1036">
        <f t="shared" si="89"/>
        <v>5.2312500000000002</v>
      </c>
      <c r="R218" s="1037"/>
      <c r="U218" s="342">
        <f>+AE183+U183+K183+AO162+AE162+U162+K162</f>
        <v>0</v>
      </c>
      <c r="V218" s="343">
        <v>48</v>
      </c>
      <c r="W218" s="344">
        <f t="shared" si="91"/>
        <v>48</v>
      </c>
      <c r="X218" s="345" t="e">
        <f>+#REF!+#REF!+#REF!+#REF!+#REF!+#REF!</f>
        <v>#REF!</v>
      </c>
      <c r="Z218" s="372"/>
      <c r="AA218" s="372"/>
      <c r="AB218" s="682"/>
      <c r="AC218" s="682"/>
      <c r="AD218" s="682"/>
      <c r="AE218" s="296"/>
      <c r="AF218" s="296"/>
      <c r="AG218" s="681"/>
      <c r="AH218" s="681"/>
      <c r="AI218" s="681"/>
      <c r="AJ218" s="681"/>
      <c r="AK218" s="681"/>
      <c r="AL218" s="681"/>
      <c r="AM218" s="681"/>
      <c r="AN218" s="681"/>
      <c r="AO218" s="681"/>
      <c r="AP218" s="681"/>
      <c r="AQ218" s="681"/>
      <c r="AR218" s="681"/>
      <c r="AS218" s="296"/>
      <c r="AT218" s="296"/>
    </row>
    <row r="219" spans="1:46" ht="16.5">
      <c r="B219" s="365" t="s">
        <v>54</v>
      </c>
      <c r="C219" s="1028">
        <f>6*3+7*35</f>
        <v>263</v>
      </c>
      <c r="D219" s="1029"/>
      <c r="E219" s="1030">
        <f t="shared" ref="E219:E224" si="93">+C219/7</f>
        <v>37.571428571428569</v>
      </c>
      <c r="F219" s="1031"/>
      <c r="G219" s="341"/>
      <c r="H219" s="341"/>
      <c r="I219" s="1032">
        <f>+E219/8</f>
        <v>4.6964285714285712</v>
      </c>
      <c r="J219" s="1033"/>
      <c r="K219" s="1034">
        <f t="shared" si="87"/>
        <v>1127.1428571428571</v>
      </c>
      <c r="L219" s="1034"/>
      <c r="M219" s="374"/>
      <c r="N219" s="1035">
        <f t="shared" si="88"/>
        <v>5.479166666666667</v>
      </c>
      <c r="O219" s="1035"/>
      <c r="P219" s="6"/>
      <c r="Q219" s="1036">
        <f t="shared" si="89"/>
        <v>0.534821428571429</v>
      </c>
      <c r="R219" s="1037"/>
      <c r="U219" s="342">
        <f>+AE180+U180+K180+AO159+AE159+U159+K159</f>
        <v>0</v>
      </c>
      <c r="V219" s="343">
        <v>48</v>
      </c>
      <c r="W219" s="344">
        <f t="shared" si="91"/>
        <v>48</v>
      </c>
      <c r="X219" s="345">
        <f>+J159+T159+AD159+J180+T180+AD180</f>
        <v>0</v>
      </c>
      <c r="Z219" s="1084">
        <f>+K219/E219</f>
        <v>30</v>
      </c>
      <c r="AA219" s="1084"/>
      <c r="AB219" s="1084"/>
      <c r="AC219" s="1084"/>
      <c r="AD219" s="682"/>
      <c r="AE219" s="296"/>
      <c r="AF219" s="296"/>
      <c r="AG219" s="479"/>
      <c r="AH219" s="479"/>
      <c r="AI219" s="681"/>
      <c r="AJ219" s="681"/>
      <c r="AK219" s="681"/>
      <c r="AL219" s="681"/>
      <c r="AM219" s="681"/>
      <c r="AN219" s="681"/>
      <c r="AO219" s="681"/>
      <c r="AP219" s="681"/>
      <c r="AQ219" s="681"/>
      <c r="AR219" s="681"/>
      <c r="AS219" s="296"/>
      <c r="AT219" s="296"/>
    </row>
    <row r="220" spans="1:46" ht="16.5">
      <c r="A220" s="1">
        <v>3</v>
      </c>
      <c r="B220" s="340" t="s">
        <v>66</v>
      </c>
      <c r="C220" s="1028">
        <f>6*3+7*34.0952</f>
        <v>256.66639999999995</v>
      </c>
      <c r="D220" s="1029"/>
      <c r="E220" s="1030">
        <f t="shared" si="93"/>
        <v>36.666628571428568</v>
      </c>
      <c r="F220" s="1031"/>
      <c r="G220" s="1044">
        <f>(C220-18)/7</f>
        <v>34.095199999999991</v>
      </c>
      <c r="H220" s="1045"/>
      <c r="I220" s="1032">
        <f>+E220/8</f>
        <v>4.583328571428571</v>
      </c>
      <c r="J220" s="1089"/>
      <c r="K220" s="1090">
        <f t="shared" si="87"/>
        <v>1099.9988571428571</v>
      </c>
      <c r="L220" s="1091"/>
      <c r="M220" s="374"/>
      <c r="N220" s="1050">
        <f t="shared" si="88"/>
        <v>5.3472166666666663</v>
      </c>
      <c r="O220" s="1051"/>
      <c r="P220" s="6"/>
      <c r="Q220" s="1036">
        <f t="shared" si="89"/>
        <v>0.6479214285714292</v>
      </c>
      <c r="R220" s="1037"/>
      <c r="U220" s="342">
        <f>+AE181+U181+K181+AO160+AE160+U160+K160</f>
        <v>0</v>
      </c>
      <c r="V220" s="343">
        <v>48</v>
      </c>
      <c r="W220" s="344">
        <f t="shared" si="91"/>
        <v>48</v>
      </c>
      <c r="X220" s="345">
        <f>+J160+T160+AD160+J181+T181+AD181</f>
        <v>0</v>
      </c>
      <c r="Z220" s="481"/>
      <c r="AA220" s="482"/>
      <c r="AB220" s="477"/>
      <c r="AC220" s="682"/>
      <c r="AD220" s="682"/>
      <c r="AE220" s="296"/>
      <c r="AF220" s="296"/>
      <c r="AG220" s="681"/>
      <c r="AH220" s="681"/>
      <c r="AI220" s="370"/>
      <c r="AJ220" s="370"/>
      <c r="AK220" s="370"/>
      <c r="AL220" s="370"/>
      <c r="AM220" s="681"/>
      <c r="AN220" s="681"/>
      <c r="AO220" s="681"/>
      <c r="AP220" s="681"/>
      <c r="AQ220" s="681"/>
      <c r="AR220" s="681"/>
      <c r="AS220" s="296"/>
      <c r="AT220" s="296"/>
    </row>
    <row r="221" spans="1:46" ht="16.5">
      <c r="B221" s="483" t="s">
        <v>55</v>
      </c>
      <c r="C221" s="1104">
        <f>+G221*6</f>
        <v>169.99979999999999</v>
      </c>
      <c r="D221" s="1105"/>
      <c r="E221" s="1106">
        <f t="shared" si="93"/>
        <v>24.285685714285712</v>
      </c>
      <c r="F221" s="1107"/>
      <c r="G221" s="1108">
        <f>28.3333</f>
        <v>28.333300000000001</v>
      </c>
      <c r="H221" s="1109"/>
      <c r="I221" s="1106">
        <f>+G221/8</f>
        <v>3.5416625000000002</v>
      </c>
      <c r="J221" s="1107"/>
      <c r="K221" s="1110">
        <f>+G221*30</f>
        <v>849.99900000000002</v>
      </c>
      <c r="L221" s="1111"/>
      <c r="M221" s="6"/>
      <c r="N221" s="1050">
        <f t="shared" si="88"/>
        <v>4.1319395833333337</v>
      </c>
      <c r="O221" s="1051"/>
      <c r="P221" s="6"/>
      <c r="Q221" s="1048">
        <f t="shared" si="89"/>
        <v>1.6895875</v>
      </c>
      <c r="R221" s="1049"/>
      <c r="U221" s="342">
        <f>+AE183+U183+K183+AO162+AE162+U162+K162</f>
        <v>0</v>
      </c>
      <c r="V221" s="343">
        <v>48</v>
      </c>
      <c r="W221" s="344">
        <f t="shared" si="91"/>
        <v>48</v>
      </c>
      <c r="X221" s="345">
        <f>+J161+T161+AD161+J182+T182+AD182</f>
        <v>0</v>
      </c>
      <c r="Z221" s="481"/>
      <c r="AA221" s="482"/>
      <c r="AB221" s="477"/>
      <c r="AC221" s="682"/>
      <c r="AD221" s="682"/>
      <c r="AE221" s="296"/>
      <c r="AF221" s="296"/>
      <c r="AG221" s="370"/>
      <c r="AH221" s="370"/>
      <c r="AI221" s="681"/>
      <c r="AJ221" s="681"/>
      <c r="AK221" s="681"/>
      <c r="AL221" s="681"/>
      <c r="AM221" s="681"/>
      <c r="AN221" s="681"/>
      <c r="AO221" s="681"/>
      <c r="AP221" s="681"/>
      <c r="AQ221" s="681"/>
      <c r="AR221" s="681"/>
      <c r="AS221" s="296"/>
      <c r="AT221" s="296"/>
    </row>
    <row r="222" spans="1:46" ht="16.5">
      <c r="B222" s="483" t="s">
        <v>103</v>
      </c>
      <c r="C222" s="1104">
        <f>+G222*6</f>
        <v>199.99979999999999</v>
      </c>
      <c r="D222" s="1105"/>
      <c r="E222" s="1106">
        <f t="shared" si="93"/>
        <v>28.571400000000001</v>
      </c>
      <c r="F222" s="1107"/>
      <c r="G222" s="1108">
        <v>33.333300000000001</v>
      </c>
      <c r="H222" s="1109"/>
      <c r="I222" s="1106">
        <f>+G222/8</f>
        <v>4.1666625000000002</v>
      </c>
      <c r="J222" s="1107"/>
      <c r="K222" s="1110">
        <f>+G222*30</f>
        <v>999.99900000000002</v>
      </c>
      <c r="L222" s="1111"/>
      <c r="M222" s="6"/>
      <c r="N222" s="1050">
        <f t="shared" si="88"/>
        <v>4.8611062500000006</v>
      </c>
      <c r="O222" s="1051"/>
      <c r="P222" s="6"/>
      <c r="Q222" s="1048">
        <f t="shared" si="89"/>
        <v>1.0645875</v>
      </c>
      <c r="R222" s="1049"/>
      <c r="U222" s="342">
        <f>+AE184+U184+K184+AO163+AE163+U163+K163</f>
        <v>0</v>
      </c>
      <c r="V222" s="343">
        <v>48</v>
      </c>
      <c r="W222" s="344">
        <f t="shared" si="91"/>
        <v>48</v>
      </c>
      <c r="X222" s="345">
        <f>+J162+T162+AD162+J183+T183+AD183</f>
        <v>0</v>
      </c>
      <c r="Z222" s="372"/>
      <c r="AA222" s="372"/>
      <c r="AB222" s="682"/>
      <c r="AC222" s="682"/>
      <c r="AD222" s="682">
        <v>200</v>
      </c>
      <c r="AE222" s="296"/>
      <c r="AF222" s="1092">
        <f>+AD222/6</f>
        <v>33.333333333333336</v>
      </c>
      <c r="AG222" s="1092"/>
      <c r="AH222" s="1092"/>
      <c r="AI222" s="681"/>
      <c r="AJ222" s="681"/>
      <c r="AK222" s="681"/>
      <c r="AL222" s="681"/>
      <c r="AM222" s="681"/>
      <c r="AN222" s="681"/>
      <c r="AO222" s="681"/>
      <c r="AP222" s="681"/>
      <c r="AQ222" s="681"/>
      <c r="AR222" s="681"/>
      <c r="AS222" s="296"/>
      <c r="AT222" s="296"/>
    </row>
    <row r="223" spans="1:46" ht="16.5">
      <c r="A223" s="366"/>
      <c r="B223" s="483" t="s">
        <v>104</v>
      </c>
      <c r="C223" s="1093">
        <v>100</v>
      </c>
      <c r="D223" s="1094"/>
      <c r="E223" s="1095">
        <f t="shared" si="93"/>
        <v>14.285714285714286</v>
      </c>
      <c r="F223" s="1096"/>
      <c r="G223" s="1097">
        <f>+C223/6</f>
        <v>16.666666666666668</v>
      </c>
      <c r="H223" s="1098"/>
      <c r="I223" s="1099">
        <f>+E223/8/6*7</f>
        <v>2.0833333333333335</v>
      </c>
      <c r="J223" s="1100"/>
      <c r="K223" s="1101">
        <f>+G223*30</f>
        <v>500.00000000000006</v>
      </c>
      <c r="L223" s="1101"/>
      <c r="M223" s="6"/>
      <c r="N223" s="1035">
        <f t="shared" si="88"/>
        <v>2.4305555555555558</v>
      </c>
      <c r="O223" s="1035"/>
      <c r="P223" s="6"/>
      <c r="Q223" s="1102">
        <f t="shared" si="89"/>
        <v>3.1479166666666667</v>
      </c>
      <c r="R223" s="1103"/>
      <c r="U223" s="342">
        <f>+AE183+U183+K183+AO162+AE162+U162+K162</f>
        <v>0</v>
      </c>
      <c r="V223" s="343">
        <v>48</v>
      </c>
      <c r="W223" s="344">
        <f t="shared" si="91"/>
        <v>48</v>
      </c>
      <c r="X223" s="345">
        <f>+J162+T162+AD162+J183+T183+AD183</f>
        <v>0</v>
      </c>
      <c r="Y223" s="367"/>
      <c r="Z223" s="682"/>
      <c r="AA223" s="682"/>
      <c r="AB223" s="682"/>
      <c r="AC223" s="682"/>
      <c r="AG223" s="681"/>
      <c r="AH223" s="681"/>
      <c r="AI223" s="296"/>
      <c r="AJ223" s="296"/>
      <c r="AK223" s="667"/>
      <c r="AL223" s="667"/>
      <c r="AM223" s="667"/>
      <c r="AN223" s="667"/>
      <c r="AO223" s="667"/>
      <c r="AP223" s="667"/>
      <c r="AQ223" s="667"/>
      <c r="AR223" s="667"/>
      <c r="AS223" s="296"/>
      <c r="AT223" s="296"/>
    </row>
    <row r="224" spans="1:46" ht="16.5">
      <c r="B224" s="375" t="s">
        <v>65</v>
      </c>
      <c r="C224" s="1054">
        <f>6*3+7*(G224)</f>
        <v>548.33330000000001</v>
      </c>
      <c r="D224" s="1055"/>
      <c r="E224" s="1056">
        <f t="shared" si="93"/>
        <v>78.333328571428567</v>
      </c>
      <c r="F224" s="1057"/>
      <c r="G224" s="1058">
        <v>75.761899999999997</v>
      </c>
      <c r="H224" s="1059"/>
      <c r="I224" s="1060">
        <f>+E224/8</f>
        <v>9.7916660714285708</v>
      </c>
      <c r="J224" s="1061"/>
      <c r="K224" s="1062">
        <f>+E224*30</f>
        <v>2349.9998571428569</v>
      </c>
      <c r="L224" s="1063"/>
      <c r="M224" s="6"/>
      <c r="N224" s="1035">
        <f t="shared" si="88"/>
        <v>11.423610416666666</v>
      </c>
      <c r="O224" s="1035"/>
      <c r="P224" s="6"/>
      <c r="Q224" s="1048">
        <f t="shared" si="89"/>
        <v>-4.5604160714285706</v>
      </c>
      <c r="R224" s="1049"/>
      <c r="U224" s="342">
        <f>+AE187+U187+K187+AO166+AE166+U166+K166</f>
        <v>0</v>
      </c>
      <c r="V224" s="343">
        <v>48</v>
      </c>
      <c r="W224" s="344">
        <f t="shared" si="91"/>
        <v>48</v>
      </c>
      <c r="X224" s="345">
        <f>+J166+T166+AD166+J187+T187+AD187</f>
        <v>0</v>
      </c>
      <c r="Z224" s="372"/>
      <c r="AA224" s="372"/>
      <c r="AB224" s="682"/>
      <c r="AC224" s="682"/>
      <c r="AD224" s="682"/>
      <c r="AE224" s="296"/>
      <c r="AF224" s="296"/>
      <c r="AG224" s="681"/>
      <c r="AH224" s="681"/>
      <c r="AI224" s="681"/>
      <c r="AJ224" s="681"/>
      <c r="AK224" s="681"/>
      <c r="AL224" s="681"/>
      <c r="AM224" s="681"/>
      <c r="AN224" s="681"/>
      <c r="AO224" s="681"/>
      <c r="AP224" s="681"/>
      <c r="AQ224" s="296"/>
      <c r="AR224" s="296"/>
      <c r="AS224" s="296"/>
      <c r="AT224" s="296"/>
    </row>
    <row r="225" spans="3:37">
      <c r="AE225" s="376"/>
      <c r="AF225" s="376"/>
      <c r="AJ225" s="376"/>
      <c r="AK225" s="376"/>
    </row>
    <row r="226" spans="3:37" ht="15.75" thickBot="1">
      <c r="AE226" s="376"/>
      <c r="AF226" s="376"/>
      <c r="AJ226" s="376"/>
      <c r="AK226" s="376"/>
    </row>
    <row r="227" spans="3:37">
      <c r="C227" s="484"/>
      <c r="D227" s="485"/>
      <c r="E227" s="486"/>
      <c r="F227" s="487"/>
      <c r="G227" s="485"/>
      <c r="H227" s="485"/>
      <c r="I227" s="487"/>
      <c r="J227" s="485"/>
      <c r="K227" s="488"/>
      <c r="L227" s="488"/>
      <c r="M227" s="485"/>
      <c r="N227" s="485"/>
      <c r="O227" s="485"/>
      <c r="P227" s="485"/>
      <c r="Q227" s="485"/>
      <c r="R227" s="485"/>
      <c r="S227" s="485"/>
      <c r="T227" s="485"/>
      <c r="U227" s="485"/>
      <c r="V227" s="485"/>
      <c r="W227" s="485"/>
      <c r="X227" s="485"/>
      <c r="Y227" s="485"/>
      <c r="Z227" s="485"/>
      <c r="AA227" s="489"/>
      <c r="AB227" s="489"/>
      <c r="AC227" s="489"/>
      <c r="AD227" s="489"/>
      <c r="AE227" s="490"/>
      <c r="AF227" s="490"/>
      <c r="AG227" s="491"/>
      <c r="AJ227" s="376"/>
      <c r="AK227" s="376"/>
    </row>
    <row r="228" spans="3:37" ht="18">
      <c r="C228" s="492"/>
      <c r="D228" s="333"/>
      <c r="E228" s="493" t="s">
        <v>105</v>
      </c>
      <c r="F228" s="411"/>
      <c r="G228" s="333"/>
      <c r="H228" s="333"/>
      <c r="I228" s="411"/>
      <c r="J228" s="333"/>
      <c r="K228" s="405"/>
      <c r="L228" s="405"/>
      <c r="M228" s="333"/>
      <c r="N228" s="333"/>
      <c r="O228" s="333"/>
      <c r="P228" s="333"/>
      <c r="Q228" s="333"/>
      <c r="R228" s="333"/>
      <c r="S228" s="333"/>
      <c r="T228" s="333"/>
      <c r="U228" s="333"/>
      <c r="V228" s="333"/>
      <c r="W228" s="333"/>
      <c r="X228" s="333"/>
      <c r="Y228" s="333"/>
      <c r="Z228" s="333"/>
      <c r="AA228" s="167"/>
      <c r="AB228" s="167"/>
      <c r="AC228" s="167"/>
      <c r="AD228" s="167"/>
      <c r="AE228" s="376"/>
      <c r="AF228" s="376"/>
      <c r="AG228" s="494"/>
      <c r="AJ228" s="376"/>
      <c r="AK228" s="376"/>
    </row>
    <row r="229" spans="3:37">
      <c r="C229" s="492"/>
      <c r="D229" s="333"/>
      <c r="E229" s="410"/>
      <c r="F229" s="411"/>
      <c r="G229" s="333"/>
      <c r="H229" s="333"/>
      <c r="I229" s="411"/>
      <c r="J229" s="333"/>
      <c r="K229" s="405"/>
      <c r="L229" s="405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1112" t="s">
        <v>106</v>
      </c>
      <c r="AB229" s="1113"/>
      <c r="AC229" s="1114"/>
      <c r="AD229" s="1115" t="s">
        <v>107</v>
      </c>
      <c r="AE229" s="1116"/>
      <c r="AF229" s="1117"/>
      <c r="AG229" s="494"/>
      <c r="AH229" s="167"/>
      <c r="AI229" s="167"/>
      <c r="AJ229" s="376"/>
      <c r="AK229" s="376"/>
    </row>
    <row r="230" spans="3:37" ht="16.5" thickBot="1">
      <c r="C230" s="492"/>
      <c r="D230" s="1118" t="s">
        <v>108</v>
      </c>
      <c r="E230" s="1118"/>
      <c r="F230" s="1118"/>
      <c r="G230" s="1118"/>
      <c r="H230" s="1118"/>
      <c r="I230" s="1119" t="s">
        <v>109</v>
      </c>
      <c r="J230" s="1119"/>
      <c r="K230" s="1119"/>
      <c r="L230" s="1120" t="s">
        <v>110</v>
      </c>
      <c r="M230" s="1120"/>
      <c r="N230" s="1120"/>
      <c r="O230" s="1120" t="s">
        <v>111</v>
      </c>
      <c r="P230" s="1120"/>
      <c r="Q230" s="1120"/>
      <c r="R230" s="1121" t="s">
        <v>112</v>
      </c>
      <c r="S230" s="1121"/>
      <c r="T230" s="1121"/>
      <c r="U230" s="1120" t="s">
        <v>113</v>
      </c>
      <c r="V230" s="1120"/>
      <c r="W230" s="1122"/>
      <c r="X230" s="1123" t="s">
        <v>114</v>
      </c>
      <c r="Y230" s="1124"/>
      <c r="Z230" s="1125"/>
      <c r="AA230" s="1126" t="s">
        <v>115</v>
      </c>
      <c r="AB230" s="1126"/>
      <c r="AC230" s="1127"/>
      <c r="AD230" s="1128" t="s">
        <v>116</v>
      </c>
      <c r="AE230" s="1129"/>
      <c r="AF230" s="1130"/>
      <c r="AG230" s="494"/>
      <c r="AH230" s="167"/>
      <c r="AI230" s="167"/>
      <c r="AJ230" s="376"/>
      <c r="AK230" s="376"/>
    </row>
    <row r="231" spans="3:37" ht="19.5" thickTop="1">
      <c r="C231" s="495">
        <v>1</v>
      </c>
      <c r="D231" s="1131" t="s">
        <v>50</v>
      </c>
      <c r="E231" s="1131"/>
      <c r="F231" s="1131"/>
      <c r="G231" s="1131"/>
      <c r="H231" s="1131"/>
      <c r="I231" s="1132">
        <v>30.762</v>
      </c>
      <c r="J231" s="1132"/>
      <c r="K231" s="1132"/>
      <c r="L231" s="1133">
        <v>1</v>
      </c>
      <c r="M231" s="1133"/>
      <c r="N231" s="1133"/>
      <c r="O231" s="1133">
        <v>2</v>
      </c>
      <c r="P231" s="1133"/>
      <c r="Q231" s="1133"/>
      <c r="R231" s="1134">
        <f t="shared" ref="R231:R238" si="94">+I231+L231+O231</f>
        <v>33.762</v>
      </c>
      <c r="S231" s="1134"/>
      <c r="T231" s="1134"/>
      <c r="U231" s="1135">
        <f t="shared" ref="U231:U238" si="95">+I231*7+(L231+O231)*6</f>
        <v>233.334</v>
      </c>
      <c r="V231" s="1135"/>
      <c r="W231" s="1136"/>
      <c r="X231" s="1137">
        <f t="shared" ref="X231:X238" si="96">+U231/7*30</f>
        <v>1000.0028571428571</v>
      </c>
      <c r="Y231" s="1138"/>
      <c r="Z231" s="1139"/>
      <c r="AA231" s="1140">
        <v>31</v>
      </c>
      <c r="AB231" s="1141"/>
      <c r="AC231" s="1141"/>
      <c r="AD231" s="1142">
        <f>+AA231-I231</f>
        <v>0.23799999999999955</v>
      </c>
      <c r="AE231" s="1142"/>
      <c r="AF231" s="1142"/>
      <c r="AG231" s="494"/>
      <c r="AH231" s="167"/>
      <c r="AI231" s="1143">
        <f>+AD231+I231</f>
        <v>31</v>
      </c>
      <c r="AJ231" s="1143"/>
      <c r="AK231" s="1143"/>
    </row>
    <row r="232" spans="3:37" ht="18.75">
      <c r="C232" s="495">
        <v>2</v>
      </c>
      <c r="D232" s="1144" t="s">
        <v>117</v>
      </c>
      <c r="E232" s="1144"/>
      <c r="F232" s="1144"/>
      <c r="G232" s="1144"/>
      <c r="H232" s="1144"/>
      <c r="I232" s="1145">
        <v>25.762</v>
      </c>
      <c r="J232" s="1145"/>
      <c r="K232" s="1145"/>
      <c r="L232" s="1146">
        <v>1</v>
      </c>
      <c r="M232" s="1146"/>
      <c r="N232" s="1146"/>
      <c r="O232" s="1146">
        <v>2</v>
      </c>
      <c r="P232" s="1146"/>
      <c r="Q232" s="1146"/>
      <c r="R232" s="1147">
        <f t="shared" si="94"/>
        <v>28.762</v>
      </c>
      <c r="S232" s="1147"/>
      <c r="T232" s="1147"/>
      <c r="U232" s="1148">
        <f t="shared" si="95"/>
        <v>198.334</v>
      </c>
      <c r="V232" s="1148"/>
      <c r="W232" s="1149"/>
      <c r="X232" s="1150">
        <f t="shared" si="96"/>
        <v>850.00285714285724</v>
      </c>
      <c r="Y232" s="1151"/>
      <c r="Z232" s="1152"/>
      <c r="AA232" s="1153">
        <v>31</v>
      </c>
      <c r="AB232" s="1154"/>
      <c r="AC232" s="1154"/>
      <c r="AD232" s="1143">
        <f>+AA232-I232</f>
        <v>5.2379999999999995</v>
      </c>
      <c r="AE232" s="1143"/>
      <c r="AF232" s="1143"/>
      <c r="AG232" s="494"/>
      <c r="AH232" s="167"/>
      <c r="AI232" s="1142">
        <f>+AD232+I232</f>
        <v>31</v>
      </c>
      <c r="AJ232" s="1142"/>
      <c r="AK232" s="1142"/>
    </row>
    <row r="233" spans="3:37" ht="18.75">
      <c r="C233" s="495">
        <v>3</v>
      </c>
      <c r="D233" s="1144" t="s">
        <v>118</v>
      </c>
      <c r="E233" s="1144"/>
      <c r="F233" s="1144"/>
      <c r="G233" s="1144"/>
      <c r="H233" s="1144"/>
      <c r="I233" s="1145">
        <v>38.5</v>
      </c>
      <c r="J233" s="1145"/>
      <c r="K233" s="1145"/>
      <c r="L233" s="1146">
        <v>1</v>
      </c>
      <c r="M233" s="1146"/>
      <c r="N233" s="1146"/>
      <c r="O233" s="1146">
        <v>2</v>
      </c>
      <c r="P233" s="1146"/>
      <c r="Q233" s="1146"/>
      <c r="R233" s="1147">
        <f t="shared" si="94"/>
        <v>41.5</v>
      </c>
      <c r="S233" s="1147"/>
      <c r="T233" s="1147"/>
      <c r="U233" s="1148">
        <f t="shared" si="95"/>
        <v>287.5</v>
      </c>
      <c r="V233" s="1148"/>
      <c r="W233" s="1149"/>
      <c r="X233" s="1150">
        <f t="shared" si="96"/>
        <v>1232.1428571428571</v>
      </c>
      <c r="Y233" s="1151"/>
      <c r="Z233" s="1152"/>
      <c r="AA233" s="1153">
        <v>31</v>
      </c>
      <c r="AB233" s="1154"/>
      <c r="AC233" s="1154"/>
      <c r="AD233" s="1143">
        <v>0</v>
      </c>
      <c r="AE233" s="1143"/>
      <c r="AF233" s="1143"/>
      <c r="AG233" s="494"/>
      <c r="AH233" s="167"/>
      <c r="AI233" s="167"/>
      <c r="AJ233" s="376"/>
      <c r="AK233" s="376"/>
    </row>
    <row r="234" spans="3:37" ht="18.75">
      <c r="C234" s="495">
        <v>4</v>
      </c>
      <c r="D234" s="1144" t="s">
        <v>119</v>
      </c>
      <c r="E234" s="1144"/>
      <c r="F234" s="1144"/>
      <c r="G234" s="1144"/>
      <c r="H234" s="1144"/>
      <c r="I234" s="1145">
        <v>38.5</v>
      </c>
      <c r="J234" s="1145"/>
      <c r="K234" s="1145"/>
      <c r="L234" s="1146">
        <v>1</v>
      </c>
      <c r="M234" s="1146"/>
      <c r="N234" s="1146"/>
      <c r="O234" s="1146">
        <v>2</v>
      </c>
      <c r="P234" s="1146"/>
      <c r="Q234" s="1146"/>
      <c r="R234" s="1147">
        <f t="shared" si="94"/>
        <v>41.5</v>
      </c>
      <c r="S234" s="1147"/>
      <c r="T234" s="1147"/>
      <c r="U234" s="1148">
        <f t="shared" si="95"/>
        <v>287.5</v>
      </c>
      <c r="V234" s="1148"/>
      <c r="W234" s="1149"/>
      <c r="X234" s="1150">
        <f t="shared" si="96"/>
        <v>1232.1428571428571</v>
      </c>
      <c r="Y234" s="1151"/>
      <c r="Z234" s="1152"/>
      <c r="AA234" s="1153">
        <v>31</v>
      </c>
      <c r="AB234" s="1154"/>
      <c r="AC234" s="1154"/>
      <c r="AD234" s="1143">
        <v>0</v>
      </c>
      <c r="AE234" s="1143"/>
      <c r="AF234" s="1143"/>
      <c r="AG234" s="494"/>
      <c r="AH234" s="167"/>
      <c r="AI234" s="167"/>
      <c r="AJ234" s="376"/>
      <c r="AK234" s="376"/>
    </row>
    <row r="235" spans="3:37" ht="18.75">
      <c r="C235" s="495">
        <v>5</v>
      </c>
      <c r="D235" s="1144" t="s">
        <v>120</v>
      </c>
      <c r="E235" s="1144"/>
      <c r="F235" s="1144"/>
      <c r="G235" s="1144"/>
      <c r="H235" s="1144"/>
      <c r="I235" s="1145">
        <v>38.5</v>
      </c>
      <c r="J235" s="1145"/>
      <c r="K235" s="1145"/>
      <c r="L235" s="1146">
        <v>1</v>
      </c>
      <c r="M235" s="1146"/>
      <c r="N235" s="1146"/>
      <c r="O235" s="1146">
        <v>2</v>
      </c>
      <c r="P235" s="1146"/>
      <c r="Q235" s="1146"/>
      <c r="R235" s="1147">
        <f t="shared" si="94"/>
        <v>41.5</v>
      </c>
      <c r="S235" s="1147"/>
      <c r="T235" s="1147"/>
      <c r="U235" s="1148">
        <f t="shared" si="95"/>
        <v>287.5</v>
      </c>
      <c r="V235" s="1148"/>
      <c r="W235" s="1149"/>
      <c r="X235" s="1150">
        <f t="shared" si="96"/>
        <v>1232.1428571428571</v>
      </c>
      <c r="Y235" s="1151"/>
      <c r="Z235" s="1152"/>
      <c r="AA235" s="1153">
        <v>31</v>
      </c>
      <c r="AB235" s="1154"/>
      <c r="AC235" s="1154"/>
      <c r="AD235" s="1143">
        <v>0</v>
      </c>
      <c r="AE235" s="1143"/>
      <c r="AF235" s="1143"/>
      <c r="AG235" s="494"/>
      <c r="AH235" s="167"/>
      <c r="AI235" s="167"/>
      <c r="AJ235" s="376"/>
      <c r="AK235" s="376"/>
    </row>
    <row r="236" spans="3:37" ht="18.75">
      <c r="C236" s="495">
        <v>6</v>
      </c>
      <c r="D236" s="1144" t="s">
        <v>121</v>
      </c>
      <c r="E236" s="1144"/>
      <c r="F236" s="1144"/>
      <c r="G236" s="1144"/>
      <c r="H236" s="1144"/>
      <c r="I236" s="1145">
        <v>33.799999999999997</v>
      </c>
      <c r="J236" s="1145"/>
      <c r="K236" s="1145"/>
      <c r="L236" s="1146">
        <v>1</v>
      </c>
      <c r="M236" s="1146"/>
      <c r="N236" s="1146"/>
      <c r="O236" s="1146">
        <v>2</v>
      </c>
      <c r="P236" s="1146"/>
      <c r="Q236" s="1146"/>
      <c r="R236" s="1147">
        <f t="shared" si="94"/>
        <v>36.799999999999997</v>
      </c>
      <c r="S236" s="1147"/>
      <c r="T236" s="1147"/>
      <c r="U236" s="1148">
        <f t="shared" si="95"/>
        <v>254.59999999999997</v>
      </c>
      <c r="V236" s="1148"/>
      <c r="W236" s="1149"/>
      <c r="X236" s="1150">
        <f t="shared" si="96"/>
        <v>1091.1428571428569</v>
      </c>
      <c r="Y236" s="1151"/>
      <c r="Z236" s="1152"/>
      <c r="AA236" s="1153">
        <v>31</v>
      </c>
      <c r="AB236" s="1154"/>
      <c r="AC236" s="1154"/>
      <c r="AD236" s="1143">
        <v>0</v>
      </c>
      <c r="AE236" s="1143"/>
      <c r="AF236" s="1143"/>
      <c r="AG236" s="494"/>
      <c r="AH236" s="167"/>
      <c r="AI236" s="167"/>
      <c r="AJ236" s="376"/>
      <c r="AK236" s="376"/>
    </row>
    <row r="237" spans="3:37" ht="18.75">
      <c r="C237" s="495">
        <v>7</v>
      </c>
      <c r="D237" s="1144" t="s">
        <v>122</v>
      </c>
      <c r="E237" s="1144"/>
      <c r="F237" s="1144"/>
      <c r="G237" s="1144"/>
      <c r="H237" s="1144"/>
      <c r="I237" s="1145">
        <v>38.5</v>
      </c>
      <c r="J237" s="1145"/>
      <c r="K237" s="1145"/>
      <c r="L237" s="1146">
        <v>1</v>
      </c>
      <c r="M237" s="1146"/>
      <c r="N237" s="1146"/>
      <c r="O237" s="1146">
        <v>2</v>
      </c>
      <c r="P237" s="1146"/>
      <c r="Q237" s="1146"/>
      <c r="R237" s="1147">
        <f t="shared" si="94"/>
        <v>41.5</v>
      </c>
      <c r="S237" s="1147"/>
      <c r="T237" s="1147"/>
      <c r="U237" s="1148">
        <f t="shared" si="95"/>
        <v>287.5</v>
      </c>
      <c r="V237" s="1148"/>
      <c r="W237" s="1149"/>
      <c r="X237" s="1150">
        <f t="shared" si="96"/>
        <v>1232.1428571428571</v>
      </c>
      <c r="Y237" s="1151"/>
      <c r="Z237" s="1152"/>
      <c r="AA237" s="1153">
        <v>31</v>
      </c>
      <c r="AB237" s="1154"/>
      <c r="AC237" s="1154"/>
      <c r="AD237" s="1143">
        <v>0</v>
      </c>
      <c r="AE237" s="1143"/>
      <c r="AF237" s="1143"/>
      <c r="AG237" s="494"/>
      <c r="AH237" s="167"/>
      <c r="AI237" s="167"/>
      <c r="AJ237" s="376"/>
      <c r="AK237" s="376"/>
    </row>
    <row r="238" spans="3:37" ht="18.75">
      <c r="C238" s="495">
        <v>8</v>
      </c>
      <c r="D238" s="1144" t="s">
        <v>66</v>
      </c>
      <c r="E238" s="1144"/>
      <c r="F238" s="1144"/>
      <c r="G238" s="1144"/>
      <c r="H238" s="1144"/>
      <c r="I238" s="1145">
        <v>34.095199999999998</v>
      </c>
      <c r="J238" s="1145"/>
      <c r="K238" s="1145"/>
      <c r="L238" s="1146">
        <v>1</v>
      </c>
      <c r="M238" s="1146"/>
      <c r="N238" s="1146"/>
      <c r="O238" s="1146">
        <v>2</v>
      </c>
      <c r="P238" s="1146"/>
      <c r="Q238" s="1146"/>
      <c r="R238" s="1147">
        <f t="shared" si="94"/>
        <v>37.095199999999998</v>
      </c>
      <c r="S238" s="1147"/>
      <c r="T238" s="1147"/>
      <c r="U238" s="1148">
        <f t="shared" si="95"/>
        <v>256.66639999999995</v>
      </c>
      <c r="V238" s="1148"/>
      <c r="W238" s="1149"/>
      <c r="X238" s="1150">
        <f t="shared" si="96"/>
        <v>1099.9988571428571</v>
      </c>
      <c r="Y238" s="1151"/>
      <c r="Z238" s="1152"/>
      <c r="AA238" s="1153">
        <v>31</v>
      </c>
      <c r="AB238" s="1154"/>
      <c r="AC238" s="1154"/>
      <c r="AD238" s="1143">
        <v>0</v>
      </c>
      <c r="AE238" s="1143"/>
      <c r="AF238" s="1143"/>
      <c r="AG238" s="494"/>
      <c r="AH238" s="167"/>
      <c r="AI238" s="167"/>
      <c r="AJ238" s="376"/>
      <c r="AK238" s="376"/>
    </row>
    <row r="239" spans="3:37" ht="17.25">
      <c r="C239" s="495">
        <v>9</v>
      </c>
      <c r="D239" s="1144"/>
      <c r="E239" s="1144"/>
      <c r="F239" s="1144"/>
      <c r="G239" s="1144"/>
      <c r="H239" s="1144"/>
      <c r="I239" s="1165"/>
      <c r="J239" s="1165"/>
      <c r="K239" s="1165"/>
      <c r="L239" s="1146"/>
      <c r="M239" s="1146"/>
      <c r="N239" s="1146"/>
      <c r="O239" s="1146"/>
      <c r="P239" s="1146"/>
      <c r="Q239" s="1146"/>
      <c r="R239" s="1160"/>
      <c r="S239" s="1160"/>
      <c r="T239" s="1160"/>
      <c r="U239" s="1148"/>
      <c r="V239" s="1148"/>
      <c r="W239" s="1149"/>
      <c r="X239" s="1150"/>
      <c r="Y239" s="1151"/>
      <c r="Z239" s="1152"/>
      <c r="AA239" s="1153"/>
      <c r="AB239" s="1154"/>
      <c r="AC239" s="1154"/>
      <c r="AD239" s="1143"/>
      <c r="AE239" s="1143"/>
      <c r="AF239" s="1143"/>
      <c r="AG239" s="494"/>
      <c r="AH239" s="167"/>
      <c r="AI239" s="167"/>
      <c r="AJ239" s="376"/>
      <c r="AK239" s="376"/>
    </row>
    <row r="240" spans="3:37" ht="17.25">
      <c r="C240" s="492"/>
      <c r="D240" s="409"/>
      <c r="E240" s="410"/>
      <c r="F240" s="411"/>
      <c r="G240" s="333"/>
      <c r="H240" s="333"/>
      <c r="I240" s="411"/>
      <c r="J240" s="333"/>
      <c r="K240" s="405"/>
      <c r="L240" s="405"/>
      <c r="M240" s="333"/>
      <c r="N240" s="333"/>
      <c r="O240" s="333"/>
      <c r="P240" s="333"/>
      <c r="Q240" s="333"/>
      <c r="R240" s="333"/>
      <c r="S240" s="1160" t="s">
        <v>23</v>
      </c>
      <c r="T240" s="1160"/>
      <c r="U240" s="1160"/>
      <c r="V240" s="333"/>
      <c r="W240" s="333"/>
      <c r="X240" s="1161">
        <f>SUM(X231:Z239)</f>
        <v>8969.718857142856</v>
      </c>
      <c r="Y240" s="1162"/>
      <c r="Z240" s="1163"/>
      <c r="AA240" s="496"/>
      <c r="AB240" s="496"/>
      <c r="AC240" s="496"/>
      <c r="AD240" s="1164">
        <f>SUM(AD231:AF239)</f>
        <v>5.4759999999999991</v>
      </c>
      <c r="AE240" s="1164"/>
      <c r="AF240" s="1164"/>
      <c r="AG240" s="494"/>
      <c r="AH240" s="167"/>
      <c r="AI240" s="167"/>
      <c r="AJ240" s="376"/>
      <c r="AK240" s="376"/>
    </row>
    <row r="241" spans="2:46" ht="15.75" thickBot="1">
      <c r="C241" s="492"/>
      <c r="D241" s="1155">
        <v>28.333300000000001</v>
      </c>
      <c r="E241" s="1155"/>
      <c r="F241" s="1155"/>
      <c r="G241" s="497" t="s">
        <v>123</v>
      </c>
      <c r="H241" s="333"/>
      <c r="I241" s="411"/>
      <c r="J241" s="333"/>
      <c r="K241" s="405"/>
      <c r="L241" s="405"/>
      <c r="M241" s="333"/>
      <c r="N241" s="333"/>
      <c r="O241" s="333"/>
      <c r="P241" s="333"/>
      <c r="Q241" s="333"/>
      <c r="R241" s="333"/>
      <c r="S241" s="333"/>
      <c r="T241" s="333"/>
      <c r="U241" s="333"/>
      <c r="V241" s="333"/>
      <c r="W241" s="333"/>
      <c r="X241" s="333"/>
      <c r="Y241" s="333"/>
      <c r="Z241" s="333"/>
      <c r="AA241" s="167"/>
      <c r="AB241" s="167"/>
      <c r="AC241" s="167"/>
      <c r="AD241" s="167"/>
      <c r="AE241" s="376"/>
      <c r="AF241" s="376"/>
      <c r="AG241" s="494"/>
      <c r="AH241" s="167"/>
      <c r="AI241" s="167"/>
      <c r="AJ241" s="376"/>
      <c r="AK241" s="376"/>
    </row>
    <row r="242" spans="2:46" ht="15.75" thickBot="1">
      <c r="C242" s="492"/>
      <c r="D242" s="1155">
        <v>31</v>
      </c>
      <c r="E242" s="1155"/>
      <c r="F242" s="1155"/>
      <c r="G242" s="497" t="s">
        <v>124</v>
      </c>
      <c r="H242" s="333"/>
      <c r="I242" s="411"/>
      <c r="J242" s="333"/>
      <c r="K242" s="405"/>
      <c r="L242" s="405"/>
      <c r="M242" s="1155">
        <f>+D242-D241</f>
        <v>2.6666999999999987</v>
      </c>
      <c r="N242" s="1155"/>
      <c r="O242" s="1155"/>
      <c r="P242" s="498" t="s">
        <v>125</v>
      </c>
      <c r="Q242" s="333"/>
      <c r="R242" s="333"/>
      <c r="S242" s="333"/>
      <c r="T242" s="499"/>
      <c r="U242" s="333"/>
      <c r="V242" s="333"/>
      <c r="W242" s="499" t="s">
        <v>126</v>
      </c>
      <c r="X242" s="333"/>
      <c r="Y242" s="333"/>
      <c r="Z242" s="333"/>
      <c r="AA242" s="167"/>
      <c r="AB242" s="167"/>
      <c r="AC242" s="167"/>
      <c r="AD242" s="1156">
        <f>+AD240</f>
        <v>5.4759999999999991</v>
      </c>
      <c r="AE242" s="1157"/>
      <c r="AF242" s="1158"/>
      <c r="AG242" s="494"/>
      <c r="AH242" s="167"/>
      <c r="AI242" s="167"/>
      <c r="AJ242" s="376"/>
      <c r="AK242" s="376"/>
    </row>
    <row r="243" spans="2:46" ht="15.75" thickBot="1">
      <c r="C243" s="500"/>
      <c r="D243" s="501"/>
      <c r="E243" s="502"/>
      <c r="F243" s="503"/>
      <c r="G243" s="501"/>
      <c r="H243" s="501"/>
      <c r="I243" s="503"/>
      <c r="J243" s="501"/>
      <c r="K243" s="504"/>
      <c r="L243" s="504"/>
      <c r="M243" s="501"/>
      <c r="N243" s="501"/>
      <c r="O243" s="501"/>
      <c r="P243" s="501"/>
      <c r="Q243" s="501"/>
      <c r="R243" s="501"/>
      <c r="S243" s="501"/>
      <c r="T243" s="501"/>
      <c r="U243" s="501"/>
      <c r="V243" s="501"/>
      <c r="W243" s="501"/>
      <c r="X243" s="501"/>
      <c r="Y243" s="501"/>
      <c r="Z243" s="501"/>
      <c r="AA243" s="505"/>
      <c r="AB243" s="505"/>
      <c r="AC243" s="505"/>
      <c r="AD243" s="506"/>
      <c r="AE243" s="506"/>
      <c r="AF243" s="506"/>
      <c r="AG243" s="507"/>
      <c r="AH243" s="167"/>
      <c r="AI243" s="167"/>
      <c r="AJ243" s="376"/>
      <c r="AK243" s="376"/>
    </row>
    <row r="244" spans="2:46">
      <c r="AG244" s="267"/>
      <c r="AH244" s="267"/>
      <c r="AI244" s="267"/>
      <c r="AJ244" s="267"/>
      <c r="AK244" s="267"/>
      <c r="AL244" s="267"/>
      <c r="AM244" s="267"/>
      <c r="AN244" s="267"/>
      <c r="AO244" s="267"/>
    </row>
    <row r="245" spans="2:46" ht="15.75" thickBot="1">
      <c r="AG245" s="267"/>
      <c r="AH245" s="267"/>
      <c r="AI245" s="267"/>
      <c r="AJ245" s="267"/>
      <c r="AK245" s="267"/>
      <c r="AL245" s="267"/>
      <c r="AM245" s="267"/>
      <c r="AN245" s="267"/>
      <c r="AO245" s="267"/>
    </row>
    <row r="246" spans="2:46" ht="16.5" thickBot="1">
      <c r="B246" s="508">
        <v>850</v>
      </c>
      <c r="C246" s="509" t="s">
        <v>67</v>
      </c>
      <c r="D246" s="510"/>
      <c r="E246" s="511" t="s">
        <v>49</v>
      </c>
      <c r="F246" s="512"/>
      <c r="G246" s="510"/>
      <c r="H246" s="510"/>
      <c r="I246" s="512"/>
      <c r="J246" s="510"/>
      <c r="K246" s="512"/>
      <c r="L246" s="512"/>
      <c r="M246" s="510"/>
      <c r="N246" s="510"/>
      <c r="O246" s="510"/>
      <c r="P246" s="510"/>
      <c r="Q246" s="510"/>
      <c r="R246" s="510"/>
      <c r="S246" s="510"/>
      <c r="T246" s="510"/>
      <c r="U246" s="510"/>
      <c r="V246" s="510"/>
      <c r="W246" s="510"/>
      <c r="X246" s="510"/>
      <c r="Y246" s="510"/>
      <c r="Z246" s="510"/>
      <c r="AA246" s="513"/>
      <c r="AB246" s="513"/>
      <c r="AC246" s="514"/>
      <c r="AD246" s="296"/>
      <c r="AE246" s="296"/>
      <c r="AF246" s="296"/>
      <c r="AG246" s="296"/>
      <c r="AH246" s="296"/>
      <c r="AI246" s="296"/>
      <c r="AJ246" s="296"/>
      <c r="AK246" s="296"/>
      <c r="AL246" s="296"/>
      <c r="AM246" s="296"/>
      <c r="AN246" s="296"/>
      <c r="AO246" s="296"/>
      <c r="AP246" s="267"/>
      <c r="AQ246" s="267"/>
      <c r="AR246" s="267"/>
      <c r="AS246" s="267"/>
      <c r="AT246" s="267"/>
    </row>
    <row r="247" spans="2:46" ht="15.75">
      <c r="B247" s="515">
        <f>+B246/30*7</f>
        <v>198.33333333333331</v>
      </c>
      <c r="C247" s="516" t="s">
        <v>68</v>
      </c>
      <c r="D247" s="517"/>
      <c r="E247" s="518"/>
      <c r="F247" s="519"/>
      <c r="G247" s="518"/>
      <c r="H247" s="518"/>
      <c r="I247" s="519"/>
      <c r="J247" s="518"/>
      <c r="K247" s="519"/>
      <c r="L247" s="519"/>
      <c r="M247" s="518"/>
      <c r="N247" s="518"/>
      <c r="O247" s="1159" t="s">
        <v>127</v>
      </c>
      <c r="P247" s="1159"/>
      <c r="Q247" s="1159"/>
      <c r="R247" s="1159"/>
      <c r="S247" s="1159"/>
      <c r="T247" s="1159"/>
      <c r="U247" s="1159"/>
      <c r="V247" s="1159"/>
      <c r="W247" s="1159"/>
      <c r="X247" s="1159"/>
      <c r="Y247" s="1159"/>
      <c r="Z247" s="1159"/>
      <c r="AA247" s="520"/>
      <c r="AB247" s="520"/>
      <c r="AC247" s="521"/>
      <c r="AD247" s="296"/>
      <c r="AE247" s="681"/>
      <c r="AF247" s="681"/>
      <c r="AG247" s="296"/>
      <c r="AH247" s="296"/>
      <c r="AI247" s="296"/>
      <c r="AJ247" s="681"/>
      <c r="AK247" s="681"/>
      <c r="AL247" s="296"/>
      <c r="AM247" s="296"/>
      <c r="AN247" s="296"/>
      <c r="AO247" s="296"/>
      <c r="AP247" s="267"/>
      <c r="AQ247" s="267"/>
      <c r="AR247" s="267"/>
      <c r="AS247" s="267"/>
      <c r="AT247" s="267"/>
    </row>
    <row r="248" spans="2:46">
      <c r="B248" s="515">
        <f>+B247-18</f>
        <v>180.33333333333331</v>
      </c>
      <c r="C248" s="516" t="s">
        <v>70</v>
      </c>
      <c r="D248" s="518"/>
      <c r="E248" s="518"/>
      <c r="F248" s="519"/>
      <c r="G248" s="518"/>
      <c r="H248" s="518"/>
      <c r="I248" s="519"/>
      <c r="J248" s="518"/>
      <c r="K248" s="519"/>
      <c r="L248" s="519"/>
      <c r="M248" s="518"/>
      <c r="N248" s="518"/>
      <c r="O248" s="1159">
        <f>+B246</f>
        <v>850</v>
      </c>
      <c r="P248" s="1159"/>
      <c r="Q248" s="1159" t="s">
        <v>71</v>
      </c>
      <c r="R248" s="1159"/>
      <c r="S248" s="1159"/>
      <c r="T248" s="1159"/>
      <c r="U248" s="1159"/>
      <c r="V248" s="1159"/>
      <c r="W248" s="1159"/>
      <c r="X248" s="1159"/>
      <c r="Y248" s="1159"/>
      <c r="Z248" s="1159"/>
      <c r="AA248" s="520" t="s">
        <v>72</v>
      </c>
      <c r="AB248" s="520"/>
      <c r="AC248" s="521"/>
      <c r="AD248" s="296"/>
      <c r="AE248" s="681"/>
      <c r="AF248" s="681"/>
      <c r="AG248" s="296"/>
      <c r="AH248" s="296"/>
      <c r="AI248" s="296"/>
      <c r="AJ248" s="681"/>
      <c r="AK248" s="681"/>
      <c r="AL248" s="296"/>
      <c r="AM248" s="296"/>
      <c r="AN248" s="296"/>
      <c r="AO248" s="296"/>
      <c r="AP248" s="267"/>
      <c r="AQ248" s="267"/>
      <c r="AR248" s="267"/>
      <c r="AS248" s="267"/>
      <c r="AT248" s="267"/>
    </row>
    <row r="249" spans="2:46">
      <c r="B249" s="522">
        <f>+B248/7</f>
        <v>25.761904761904759</v>
      </c>
      <c r="C249" s="523" t="s">
        <v>73</v>
      </c>
      <c r="D249" s="524"/>
      <c r="E249" s="518"/>
      <c r="F249" s="519"/>
      <c r="G249" s="518"/>
      <c r="H249" s="518"/>
      <c r="I249" s="519"/>
      <c r="J249" s="518"/>
      <c r="K249" s="519"/>
      <c r="L249" s="519"/>
      <c r="M249" s="518"/>
      <c r="N249" s="518"/>
      <c r="O249" s="1159">
        <f>+O248/30*7</f>
        <v>198.33333333333331</v>
      </c>
      <c r="P249" s="1159"/>
      <c r="Q249" s="1159" t="s">
        <v>74</v>
      </c>
      <c r="R249" s="1159"/>
      <c r="S249" s="1159"/>
      <c r="T249" s="1159"/>
      <c r="U249" s="1159"/>
      <c r="V249" s="1159"/>
      <c r="W249" s="1159"/>
      <c r="X249" s="1159"/>
      <c r="Y249" s="1159"/>
      <c r="Z249" s="1159"/>
      <c r="AA249" s="1166">
        <f>+O249*0.87</f>
        <v>172.54999999999998</v>
      </c>
      <c r="AB249" s="1166"/>
      <c r="AC249" s="521"/>
      <c r="AD249" s="296"/>
      <c r="AE249" s="384"/>
      <c r="AF249" s="384"/>
      <c r="AG249" s="296"/>
      <c r="AH249" s="296"/>
      <c r="AI249" s="296"/>
      <c r="AJ249" s="384"/>
      <c r="AK249" s="384"/>
      <c r="AL249" s="385"/>
      <c r="AM249" s="385"/>
      <c r="AN249" s="385"/>
      <c r="AO249" s="385"/>
      <c r="AP249" s="386"/>
      <c r="AQ249" s="386"/>
      <c r="AR249" s="267"/>
      <c r="AS249" s="267"/>
      <c r="AT249" s="267"/>
    </row>
    <row r="250" spans="2:46">
      <c r="B250" s="525"/>
      <c r="C250" s="518"/>
      <c r="D250" s="518"/>
      <c r="E250" s="518"/>
      <c r="F250" s="519"/>
      <c r="G250" s="518"/>
      <c r="H250" s="518"/>
      <c r="I250" s="519"/>
      <c r="J250" s="518"/>
      <c r="K250" s="519"/>
      <c r="L250" s="519"/>
      <c r="M250" s="518"/>
      <c r="N250" s="518"/>
      <c r="O250" s="1159">
        <f>+O249/7</f>
        <v>28.333333333333332</v>
      </c>
      <c r="P250" s="1159"/>
      <c r="Q250" s="1159" t="s">
        <v>75</v>
      </c>
      <c r="R250" s="1159"/>
      <c r="S250" s="1159"/>
      <c r="T250" s="1159"/>
      <c r="U250" s="1159"/>
      <c r="V250" s="1159"/>
      <c r="W250" s="1159"/>
      <c r="X250" s="1159"/>
      <c r="Y250" s="1159"/>
      <c r="Z250" s="1159"/>
      <c r="AA250" s="520"/>
      <c r="AB250" s="520"/>
      <c r="AC250" s="521"/>
      <c r="AD250" s="296"/>
      <c r="AE250" s="681"/>
      <c r="AF250" s="681"/>
      <c r="AG250" s="296"/>
      <c r="AH250" s="296"/>
      <c r="AI250" s="296"/>
      <c r="AJ250" s="681"/>
      <c r="AK250" s="681"/>
      <c r="AL250" s="387"/>
      <c r="AM250" s="387"/>
      <c r="AN250" s="385"/>
      <c r="AO250" s="385"/>
      <c r="AP250" s="386"/>
      <c r="AQ250" s="386"/>
      <c r="AR250" s="267"/>
      <c r="AS250" s="267"/>
      <c r="AT250" s="267"/>
    </row>
    <row r="251" spans="2:46" ht="15.75">
      <c r="B251" s="526">
        <f>+B249</f>
        <v>25.761904761904759</v>
      </c>
      <c r="C251" s="527" t="s">
        <v>128</v>
      </c>
      <c r="D251" s="528"/>
      <c r="E251" s="528"/>
      <c r="F251" s="528"/>
      <c r="G251" s="518"/>
      <c r="H251" s="518"/>
      <c r="I251" s="519"/>
      <c r="J251" s="518"/>
      <c r="K251" s="519"/>
      <c r="L251" s="519"/>
      <c r="M251" s="518"/>
      <c r="N251" s="518"/>
      <c r="O251" s="1159">
        <f>(O249-18)/7</f>
        <v>25.761904761904759</v>
      </c>
      <c r="P251" s="1159"/>
      <c r="Q251" s="1159" t="s">
        <v>77</v>
      </c>
      <c r="R251" s="1159"/>
      <c r="S251" s="1159"/>
      <c r="T251" s="1159"/>
      <c r="U251" s="1159"/>
      <c r="V251" s="1159"/>
      <c r="W251" s="1159"/>
      <c r="X251" s="1159"/>
      <c r="Y251" s="1159"/>
      <c r="Z251" s="1159"/>
      <c r="AA251" s="520"/>
      <c r="AB251" s="520"/>
      <c r="AC251" s="521"/>
      <c r="AD251" s="296"/>
      <c r="AE251" s="391"/>
      <c r="AF251" s="391"/>
      <c r="AG251" s="392"/>
      <c r="AH251" s="392"/>
      <c r="AI251" s="392"/>
      <c r="AJ251" s="391"/>
      <c r="AK251" s="391"/>
      <c r="AL251" s="385"/>
      <c r="AM251" s="385"/>
      <c r="AN251" s="385"/>
      <c r="AO251" s="385"/>
      <c r="AP251" s="386"/>
      <c r="AQ251" s="386"/>
      <c r="AR251" s="267"/>
      <c r="AS251" s="267"/>
      <c r="AT251" s="267"/>
    </row>
    <row r="252" spans="2:46">
      <c r="B252" s="515">
        <v>3</v>
      </c>
      <c r="C252" s="516" t="s">
        <v>78</v>
      </c>
      <c r="D252" s="518"/>
      <c r="E252" s="518"/>
      <c r="F252" s="519"/>
      <c r="G252" s="518"/>
      <c r="H252" s="518"/>
      <c r="I252" s="519"/>
      <c r="J252" s="518"/>
      <c r="K252" s="519"/>
      <c r="L252" s="519"/>
      <c r="M252" s="518"/>
      <c r="N252" s="518"/>
      <c r="O252" s="1159">
        <v>3</v>
      </c>
      <c r="P252" s="1159"/>
      <c r="Q252" s="1159" t="s">
        <v>79</v>
      </c>
      <c r="R252" s="1159"/>
      <c r="S252" s="1159"/>
      <c r="T252" s="1159"/>
      <c r="U252" s="1159"/>
      <c r="V252" s="1159"/>
      <c r="W252" s="1159"/>
      <c r="X252" s="1159"/>
      <c r="Y252" s="1159"/>
      <c r="Z252" s="1159"/>
      <c r="AA252" s="520"/>
      <c r="AB252" s="520"/>
      <c r="AC252" s="521"/>
      <c r="AD252" s="296"/>
      <c r="AE252" s="296"/>
      <c r="AF252" s="996">
        <v>993814365</v>
      </c>
      <c r="AG252" s="996"/>
      <c r="AH252" s="996"/>
      <c r="AI252" s="996"/>
      <c r="AJ252" s="996"/>
      <c r="AK252" s="296"/>
      <c r="AL252" s="385"/>
      <c r="AM252" s="385"/>
      <c r="AN252" s="385"/>
      <c r="AO252" s="385"/>
      <c r="AP252" s="386"/>
      <c r="AQ252" s="386"/>
      <c r="AR252" s="267"/>
      <c r="AS252" s="267"/>
      <c r="AT252" s="267"/>
    </row>
    <row r="253" spans="2:46">
      <c r="B253" s="522">
        <f>+B252+B251</f>
        <v>28.761904761904759</v>
      </c>
      <c r="C253" s="523" t="s">
        <v>80</v>
      </c>
      <c r="D253" s="529"/>
      <c r="E253" s="529"/>
      <c r="F253" s="530"/>
      <c r="G253" s="529"/>
      <c r="H253" s="529"/>
      <c r="I253" s="530"/>
      <c r="J253" s="529"/>
      <c r="K253" s="530"/>
      <c r="L253" s="530"/>
      <c r="M253" s="524"/>
      <c r="N253" s="518"/>
      <c r="O253" s="1159">
        <f>+O252+O251</f>
        <v>28.761904761904759</v>
      </c>
      <c r="P253" s="1159"/>
      <c r="Q253" s="518"/>
      <c r="R253" s="518"/>
      <c r="S253" s="518"/>
      <c r="T253" s="518"/>
      <c r="U253" s="518"/>
      <c r="V253" s="518"/>
      <c r="W253" s="518"/>
      <c r="X253" s="518"/>
      <c r="Y253" s="518"/>
      <c r="Z253" s="518"/>
      <c r="AA253" s="520"/>
      <c r="AB253" s="520"/>
      <c r="AC253" s="521"/>
      <c r="AD253" s="296"/>
      <c r="AE253" s="681"/>
      <c r="AF253" s="681"/>
      <c r="AG253" s="296"/>
      <c r="AH253" s="296"/>
      <c r="AI253" s="296"/>
      <c r="AJ253" s="681"/>
      <c r="AK253" s="681"/>
      <c r="AL253" s="387"/>
      <c r="AM253" s="387"/>
      <c r="AN253" s="387"/>
      <c r="AO253" s="387"/>
      <c r="AP253" s="397"/>
      <c r="AQ253" s="267"/>
      <c r="AR253" s="267"/>
      <c r="AS253" s="267"/>
      <c r="AT253" s="267"/>
    </row>
    <row r="254" spans="2:46">
      <c r="B254" s="515"/>
      <c r="C254" s="518"/>
      <c r="D254" s="518"/>
      <c r="E254" s="518"/>
      <c r="F254" s="519"/>
      <c r="G254" s="518"/>
      <c r="H254" s="518"/>
      <c r="I254" s="519"/>
      <c r="J254" s="518"/>
      <c r="K254" s="519"/>
      <c r="L254" s="519"/>
      <c r="M254" s="518"/>
      <c r="N254" s="518"/>
      <c r="O254" s="518"/>
      <c r="P254" s="518"/>
      <c r="Q254" s="518"/>
      <c r="R254" s="518"/>
      <c r="S254" s="518"/>
      <c r="T254" s="518"/>
      <c r="U254" s="518"/>
      <c r="V254" s="518"/>
      <c r="W254" s="518"/>
      <c r="X254" s="518"/>
      <c r="Y254" s="518"/>
      <c r="Z254" s="518"/>
      <c r="AA254" s="520"/>
      <c r="AB254" s="520"/>
      <c r="AC254" s="521"/>
      <c r="AD254" s="296"/>
      <c r="AE254" s="398"/>
      <c r="AF254" s="398"/>
      <c r="AG254" s="398"/>
      <c r="AH254" s="296"/>
      <c r="AI254" s="296"/>
      <c r="AJ254" s="398"/>
      <c r="AK254" s="398"/>
      <c r="AL254" s="385"/>
      <c r="AM254" s="296"/>
      <c r="AN254" s="296"/>
      <c r="AO254" s="296"/>
      <c r="AP254" s="267"/>
      <c r="AQ254" s="267"/>
      <c r="AR254" s="267"/>
      <c r="AS254" s="267"/>
      <c r="AT254" s="267"/>
    </row>
    <row r="255" spans="2:46">
      <c r="B255" s="515">
        <f>+B253*6</f>
        <v>172.57142857142856</v>
      </c>
      <c r="C255" s="516" t="s">
        <v>81</v>
      </c>
      <c r="D255" s="518"/>
      <c r="E255" s="518"/>
      <c r="F255" s="519"/>
      <c r="G255" s="518"/>
      <c r="H255" s="518"/>
      <c r="I255" s="519"/>
      <c r="J255" s="518"/>
      <c r="K255" s="519"/>
      <c r="L255" s="519"/>
      <c r="M255" s="518"/>
      <c r="N255" s="518"/>
      <c r="O255" s="1159" t="s">
        <v>129</v>
      </c>
      <c r="P255" s="1159"/>
      <c r="Q255" s="1159"/>
      <c r="R255" s="1159"/>
      <c r="S255" s="1159"/>
      <c r="T255" s="1159"/>
      <c r="U255" s="1159"/>
      <c r="V255" s="1159"/>
      <c r="W255" s="1159"/>
      <c r="X255" s="1159"/>
      <c r="Y255" s="1159"/>
      <c r="Z255" s="1159"/>
      <c r="AA255" s="520"/>
      <c r="AB255" s="520"/>
      <c r="AC255" s="521"/>
      <c r="AD255" s="296"/>
      <c r="AE255" s="296"/>
      <c r="AF255" s="296"/>
      <c r="AG255" s="296"/>
      <c r="AH255" s="296"/>
      <c r="AI255" s="385"/>
      <c r="AJ255" s="385"/>
      <c r="AK255" s="387"/>
      <c r="AL255" s="667"/>
      <c r="AM255" s="681"/>
      <c r="AN255" s="667"/>
      <c r="AO255" s="296"/>
      <c r="AP255" s="267"/>
      <c r="AQ255" s="267"/>
      <c r="AR255" s="267"/>
      <c r="AS255" s="267"/>
      <c r="AT255" s="267"/>
    </row>
    <row r="256" spans="2:46">
      <c r="B256" s="531">
        <f>+B251</f>
        <v>25.761904761904759</v>
      </c>
      <c r="C256" s="532" t="s">
        <v>83</v>
      </c>
      <c r="D256" s="533"/>
      <c r="E256" s="533"/>
      <c r="F256" s="534"/>
      <c r="G256" s="533"/>
      <c r="H256" s="533"/>
      <c r="I256" s="534"/>
      <c r="J256" s="533"/>
      <c r="K256" s="534"/>
      <c r="L256" s="519"/>
      <c r="M256" s="518"/>
      <c r="N256" s="518"/>
      <c r="O256" s="1159">
        <f>+O248*1.1</f>
        <v>935.00000000000011</v>
      </c>
      <c r="P256" s="1159"/>
      <c r="Q256" s="1159" t="s">
        <v>71</v>
      </c>
      <c r="R256" s="1159"/>
      <c r="S256" s="1159"/>
      <c r="T256" s="1159"/>
      <c r="U256" s="1159"/>
      <c r="V256" s="1159"/>
      <c r="W256" s="1159"/>
      <c r="X256" s="1159"/>
      <c r="Y256" s="1159"/>
      <c r="Z256" s="1159"/>
      <c r="AA256" s="520" t="s">
        <v>84</v>
      </c>
      <c r="AB256" s="520"/>
      <c r="AC256" s="521"/>
      <c r="AG256" s="267"/>
      <c r="AH256" s="267"/>
      <c r="AI256" s="386"/>
      <c r="AJ256" s="386"/>
      <c r="AK256" s="386"/>
      <c r="AL256" s="267"/>
      <c r="AM256" s="267"/>
      <c r="AN256" s="267"/>
      <c r="AO256" s="267"/>
    </row>
    <row r="257" spans="2:41">
      <c r="B257" s="522">
        <f>+B256+B255</f>
        <v>198.33333333333331</v>
      </c>
      <c r="C257" s="523" t="s">
        <v>85</v>
      </c>
      <c r="D257" s="529"/>
      <c r="E257" s="529"/>
      <c r="F257" s="530"/>
      <c r="G257" s="529"/>
      <c r="H257" s="529"/>
      <c r="I257" s="530"/>
      <c r="J257" s="529"/>
      <c r="K257" s="535"/>
      <c r="L257" s="519"/>
      <c r="M257" s="518"/>
      <c r="N257" s="518"/>
      <c r="O257" s="1159">
        <f>+O256/30*7</f>
        <v>218.16666666666669</v>
      </c>
      <c r="P257" s="1159"/>
      <c r="Q257" s="1159" t="s">
        <v>74</v>
      </c>
      <c r="R257" s="1159"/>
      <c r="S257" s="1159"/>
      <c r="T257" s="1159"/>
      <c r="U257" s="1159"/>
      <c r="V257" s="1159"/>
      <c r="W257" s="1159"/>
      <c r="X257" s="1159"/>
      <c r="Y257" s="1159"/>
      <c r="Z257" s="1159"/>
      <c r="AA257" s="1166">
        <f>+O257*0.87</f>
        <v>189.80500000000001</v>
      </c>
      <c r="AB257" s="1166"/>
      <c r="AC257" s="521"/>
      <c r="AG257" s="267"/>
      <c r="AH257" s="267"/>
      <c r="AI257" s="386"/>
      <c r="AJ257" s="386"/>
      <c r="AK257" s="407"/>
      <c r="AL257" s="267"/>
      <c r="AM257" s="267"/>
      <c r="AN257" s="267"/>
      <c r="AO257" s="267"/>
    </row>
    <row r="258" spans="2:41">
      <c r="B258" s="515"/>
      <c r="C258" s="516"/>
      <c r="D258" s="518"/>
      <c r="E258" s="518"/>
      <c r="F258" s="519"/>
      <c r="G258" s="518"/>
      <c r="H258" s="518"/>
      <c r="I258" s="519"/>
      <c r="J258" s="518"/>
      <c r="K258" s="519"/>
      <c r="L258" s="519"/>
      <c r="M258" s="518"/>
      <c r="N258" s="518"/>
      <c r="O258" s="1159">
        <f>+O257/7</f>
        <v>31.166666666666668</v>
      </c>
      <c r="P258" s="1159"/>
      <c r="Q258" s="1159" t="s">
        <v>75</v>
      </c>
      <c r="R258" s="1159"/>
      <c r="S258" s="1159"/>
      <c r="T258" s="1159"/>
      <c r="U258" s="1159"/>
      <c r="V258" s="1159"/>
      <c r="W258" s="1159"/>
      <c r="X258" s="1159"/>
      <c r="Y258" s="1159"/>
      <c r="Z258" s="1159"/>
      <c r="AA258" s="520"/>
      <c r="AB258" s="520"/>
      <c r="AC258" s="521"/>
      <c r="AG258" s="267"/>
      <c r="AH258" s="267"/>
      <c r="AI258" s="412"/>
      <c r="AJ258" s="413"/>
      <c r="AK258" s="407"/>
      <c r="AL258" s="267"/>
      <c r="AM258" s="267"/>
      <c r="AN258" s="267"/>
      <c r="AO258" s="267"/>
    </row>
    <row r="259" spans="2:41">
      <c r="B259" s="536">
        <f>+B257/7</f>
        <v>28.333333333333332</v>
      </c>
      <c r="C259" s="537" t="s">
        <v>86</v>
      </c>
      <c r="D259" s="518"/>
      <c r="E259" s="518"/>
      <c r="F259" s="519"/>
      <c r="G259" s="518"/>
      <c r="H259" s="518"/>
      <c r="I259" s="519"/>
      <c r="J259" s="518"/>
      <c r="K259" s="519"/>
      <c r="L259" s="519"/>
      <c r="M259" s="518"/>
      <c r="N259" s="518"/>
      <c r="O259" s="1159">
        <f>(O257-18)/7</f>
        <v>28.595238095238098</v>
      </c>
      <c r="P259" s="1159"/>
      <c r="Q259" s="1159" t="s">
        <v>77</v>
      </c>
      <c r="R259" s="1159"/>
      <c r="S259" s="1159"/>
      <c r="T259" s="1159"/>
      <c r="U259" s="1159"/>
      <c r="V259" s="1159"/>
      <c r="W259" s="1159"/>
      <c r="X259" s="1159"/>
      <c r="Y259" s="1159"/>
      <c r="Z259" s="1159"/>
      <c r="AA259" s="520"/>
      <c r="AB259" s="520"/>
      <c r="AC259" s="521"/>
      <c r="AG259" s="267"/>
      <c r="AH259" s="267"/>
      <c r="AI259" s="267"/>
      <c r="AJ259" s="267"/>
      <c r="AK259" s="407"/>
      <c r="AL259" s="267"/>
      <c r="AM259" s="267"/>
      <c r="AN259" s="267"/>
      <c r="AO259" s="267"/>
    </row>
    <row r="260" spans="2:41">
      <c r="B260" s="515"/>
      <c r="C260" s="516"/>
      <c r="D260" s="518"/>
      <c r="E260" s="518"/>
      <c r="F260" s="519"/>
      <c r="G260" s="518"/>
      <c r="H260" s="518"/>
      <c r="I260" s="519"/>
      <c r="J260" s="518"/>
      <c r="K260" s="519"/>
      <c r="L260" s="519"/>
      <c r="M260" s="518"/>
      <c r="N260" s="518"/>
      <c r="O260" s="1159">
        <v>3</v>
      </c>
      <c r="P260" s="1159"/>
      <c r="Q260" s="1159" t="s">
        <v>79</v>
      </c>
      <c r="R260" s="1159"/>
      <c r="S260" s="1159"/>
      <c r="T260" s="1159"/>
      <c r="U260" s="1159"/>
      <c r="V260" s="1159"/>
      <c r="W260" s="1159"/>
      <c r="X260" s="1159"/>
      <c r="Y260" s="1159"/>
      <c r="Z260" s="1159"/>
      <c r="AA260" s="520"/>
      <c r="AB260" s="520"/>
      <c r="AC260" s="521"/>
      <c r="AG260" s="267"/>
      <c r="AH260" s="267"/>
      <c r="AI260" s="267"/>
      <c r="AJ260" s="267"/>
      <c r="AK260" s="267"/>
      <c r="AL260" s="267"/>
      <c r="AM260" s="267"/>
      <c r="AN260" s="267"/>
      <c r="AO260" s="267"/>
    </row>
    <row r="261" spans="2:41" ht="15.75" thickBot="1">
      <c r="B261" s="538"/>
      <c r="C261" s="539"/>
      <c r="D261" s="540"/>
      <c r="E261" s="540"/>
      <c r="F261" s="541"/>
      <c r="G261" s="540"/>
      <c r="H261" s="540"/>
      <c r="I261" s="541"/>
      <c r="J261" s="540"/>
      <c r="K261" s="541"/>
      <c r="L261" s="541"/>
      <c r="M261" s="540"/>
      <c r="N261" s="540"/>
      <c r="O261" s="1167">
        <f>+O260+O259</f>
        <v>31.595238095238098</v>
      </c>
      <c r="P261" s="1167"/>
      <c r="Q261" s="540"/>
      <c r="R261" s="540"/>
      <c r="S261" s="540"/>
      <c r="T261" s="540"/>
      <c r="U261" s="540"/>
      <c r="V261" s="540"/>
      <c r="W261" s="540"/>
      <c r="X261" s="540"/>
      <c r="Y261" s="540"/>
      <c r="Z261" s="540"/>
      <c r="AA261" s="542"/>
      <c r="AB261" s="542"/>
      <c r="AC261" s="543"/>
      <c r="AG261" s="267"/>
      <c r="AH261" s="267"/>
      <c r="AI261" s="267"/>
      <c r="AJ261" s="267"/>
      <c r="AK261" s="267"/>
      <c r="AL261" s="267"/>
      <c r="AM261" s="267"/>
      <c r="AN261" s="267"/>
      <c r="AO261" s="267"/>
    </row>
    <row r="262" spans="2:41">
      <c r="B262" s="168"/>
      <c r="AG262" s="267"/>
      <c r="AH262" s="267"/>
      <c r="AI262" s="267"/>
      <c r="AJ262" s="267"/>
      <c r="AK262" s="267"/>
      <c r="AL262" s="267"/>
      <c r="AM262" s="267"/>
      <c r="AN262" s="267"/>
      <c r="AO262" s="267"/>
    </row>
    <row r="263" spans="2:41" ht="15.75" thickBot="1">
      <c r="AE263" s="376"/>
      <c r="AF263" s="376"/>
      <c r="AJ263" s="376"/>
      <c r="AK263" s="376"/>
    </row>
    <row r="264" spans="2:41">
      <c r="C264" s="484"/>
      <c r="D264" s="485"/>
      <c r="E264" s="486"/>
      <c r="F264" s="487"/>
      <c r="G264" s="485"/>
      <c r="H264" s="485"/>
      <c r="I264" s="487"/>
      <c r="J264" s="485"/>
      <c r="K264" s="488"/>
      <c r="L264" s="488"/>
      <c r="M264" s="485"/>
      <c r="N264" s="485"/>
      <c r="O264" s="485"/>
      <c r="P264" s="485"/>
      <c r="Q264" s="485"/>
      <c r="R264" s="485"/>
      <c r="S264" s="485"/>
      <c r="T264" s="485"/>
      <c r="U264" s="485"/>
      <c r="V264" s="485"/>
      <c r="W264" s="485"/>
      <c r="X264" s="485"/>
      <c r="Y264" s="485"/>
      <c r="Z264" s="485"/>
      <c r="AA264" s="489"/>
      <c r="AB264" s="489"/>
      <c r="AC264" s="489"/>
      <c r="AD264" s="489"/>
      <c r="AE264" s="490"/>
      <c r="AF264" s="490"/>
      <c r="AG264" s="491"/>
      <c r="AJ264" s="376"/>
      <c r="AK264" s="376"/>
    </row>
    <row r="265" spans="2:41" ht="18">
      <c r="C265" s="492"/>
      <c r="D265" s="333"/>
      <c r="E265" s="493" t="s">
        <v>130</v>
      </c>
      <c r="F265" s="411"/>
      <c r="G265" s="333"/>
      <c r="H265" s="333"/>
      <c r="I265" s="411"/>
      <c r="J265" s="333"/>
      <c r="K265" s="405"/>
      <c r="L265" s="405"/>
      <c r="M265" s="333"/>
      <c r="N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  <c r="Z265" s="333"/>
      <c r="AA265" s="167"/>
      <c r="AB265" s="167"/>
      <c r="AC265" s="167"/>
      <c r="AD265" s="167"/>
      <c r="AE265" s="376"/>
      <c r="AF265" s="376"/>
      <c r="AG265" s="494"/>
      <c r="AJ265" s="376"/>
      <c r="AK265" s="376"/>
    </row>
    <row r="266" spans="2:41">
      <c r="C266" s="492"/>
      <c r="D266" s="333"/>
      <c r="E266" s="410"/>
      <c r="F266" s="411"/>
      <c r="G266" s="333"/>
      <c r="H266" s="333"/>
      <c r="I266" s="411"/>
      <c r="J266" s="333"/>
      <c r="K266" s="405"/>
      <c r="L266" s="405"/>
      <c r="M266" s="333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  <c r="AA266" s="1168" t="s">
        <v>106</v>
      </c>
      <c r="AB266" s="1169"/>
      <c r="AC266" s="1170"/>
      <c r="AD266" s="1115" t="s">
        <v>131</v>
      </c>
      <c r="AE266" s="1116"/>
      <c r="AF266" s="1117"/>
      <c r="AG266" s="494"/>
      <c r="AH266" s="167"/>
      <c r="AI266" s="167"/>
      <c r="AJ266" s="376"/>
      <c r="AK266" s="376"/>
    </row>
    <row r="267" spans="2:41" ht="16.5" thickBot="1">
      <c r="C267" s="492"/>
      <c r="D267" s="1118" t="s">
        <v>108</v>
      </c>
      <c r="E267" s="1118"/>
      <c r="F267" s="1118"/>
      <c r="G267" s="1118"/>
      <c r="H267" s="1118"/>
      <c r="I267" s="1119" t="s">
        <v>109</v>
      </c>
      <c r="J267" s="1119"/>
      <c r="K267" s="1119"/>
      <c r="L267" s="1120" t="s">
        <v>110</v>
      </c>
      <c r="M267" s="1120"/>
      <c r="N267" s="1120"/>
      <c r="O267" s="1120" t="s">
        <v>111</v>
      </c>
      <c r="P267" s="1120"/>
      <c r="Q267" s="1120"/>
      <c r="R267" s="1171" t="s">
        <v>132</v>
      </c>
      <c r="S267" s="1171"/>
      <c r="T267" s="1171"/>
      <c r="U267" s="1120" t="s">
        <v>113</v>
      </c>
      <c r="V267" s="1120"/>
      <c r="W267" s="1122"/>
      <c r="X267" s="1123" t="s">
        <v>114</v>
      </c>
      <c r="Y267" s="1124"/>
      <c r="Z267" s="1125"/>
      <c r="AA267" s="1172" t="s">
        <v>133</v>
      </c>
      <c r="AB267" s="1172"/>
      <c r="AC267" s="1173"/>
      <c r="AD267" s="1128" t="s">
        <v>133</v>
      </c>
      <c r="AE267" s="1129"/>
      <c r="AF267" s="1130"/>
      <c r="AG267" s="494"/>
      <c r="AH267" s="167"/>
      <c r="AI267" s="167"/>
      <c r="AJ267" s="376"/>
      <c r="AK267" s="376"/>
    </row>
    <row r="268" spans="2:41" ht="19.5" thickTop="1">
      <c r="C268" s="495">
        <v>1</v>
      </c>
      <c r="D268" s="1131" t="s">
        <v>119</v>
      </c>
      <c r="E268" s="1131"/>
      <c r="F268" s="1131"/>
      <c r="G268" s="1131"/>
      <c r="H268" s="1131"/>
      <c r="I268" s="1174">
        <v>38.5</v>
      </c>
      <c r="J268" s="1174"/>
      <c r="K268" s="1174"/>
      <c r="L268" s="1133">
        <v>1</v>
      </c>
      <c r="M268" s="1133"/>
      <c r="N268" s="1133"/>
      <c r="O268" s="1133">
        <v>2</v>
      </c>
      <c r="P268" s="1133"/>
      <c r="Q268" s="1133"/>
      <c r="R268" s="1175">
        <f t="shared" ref="R268:R274" si="97">+I268+L268+O268</f>
        <v>41.5</v>
      </c>
      <c r="S268" s="1175"/>
      <c r="T268" s="1175"/>
      <c r="U268" s="1135">
        <f t="shared" ref="U268:U274" si="98">+I268*7+(L268+O268)*6</f>
        <v>287.5</v>
      </c>
      <c r="V268" s="1135"/>
      <c r="W268" s="1136"/>
      <c r="X268" s="1137">
        <f t="shared" ref="X268:X274" si="99">+U268/7*30</f>
        <v>1232.1428571428571</v>
      </c>
      <c r="Y268" s="1138"/>
      <c r="Z268" s="1139"/>
      <c r="AA268" s="1176">
        <v>37.571399999999997</v>
      </c>
      <c r="AB268" s="1177"/>
      <c r="AC268" s="1177"/>
      <c r="AD268" s="1178">
        <f t="shared" ref="AD268:AD274" si="100">+AA268*30</f>
        <v>1127.1419999999998</v>
      </c>
      <c r="AE268" s="1178"/>
      <c r="AF268" s="1178"/>
      <c r="AG268" s="494"/>
      <c r="AH268" s="167" t="s">
        <v>134</v>
      </c>
      <c r="AI268" s="1149" t="s">
        <v>135</v>
      </c>
      <c r="AJ268" s="1179"/>
      <c r="AK268" s="1179"/>
      <c r="AL268" s="1179"/>
      <c r="AM268" s="1180"/>
    </row>
    <row r="269" spans="2:41" ht="17.25">
      <c r="C269" s="495">
        <v>2</v>
      </c>
      <c r="D269" s="1144" t="s">
        <v>120</v>
      </c>
      <c r="E269" s="1144"/>
      <c r="F269" s="1144"/>
      <c r="G269" s="1144"/>
      <c r="H269" s="1144"/>
      <c r="I269" s="1165">
        <v>38.5</v>
      </c>
      <c r="J269" s="1165"/>
      <c r="K269" s="1165"/>
      <c r="L269" s="1146">
        <v>1</v>
      </c>
      <c r="M269" s="1146"/>
      <c r="N269" s="1146"/>
      <c r="O269" s="1146">
        <v>2</v>
      </c>
      <c r="P269" s="1146"/>
      <c r="Q269" s="1146"/>
      <c r="R269" s="1160">
        <f t="shared" si="97"/>
        <v>41.5</v>
      </c>
      <c r="S269" s="1160"/>
      <c r="T269" s="1160"/>
      <c r="U269" s="1148">
        <f t="shared" si="98"/>
        <v>287.5</v>
      </c>
      <c r="V269" s="1148"/>
      <c r="W269" s="1149"/>
      <c r="X269" s="1150">
        <f t="shared" si="99"/>
        <v>1232.1428571428571</v>
      </c>
      <c r="Y269" s="1151"/>
      <c r="Z269" s="1152"/>
      <c r="AA269" s="1181">
        <v>35.571399999999997</v>
      </c>
      <c r="AB269" s="1182"/>
      <c r="AC269" s="1182"/>
      <c r="AD269" s="1183">
        <f t="shared" si="100"/>
        <v>1067.1419999999998</v>
      </c>
      <c r="AE269" s="1183"/>
      <c r="AF269" s="1183"/>
      <c r="AG269" s="494"/>
      <c r="AH269" s="167"/>
      <c r="AI269" s="167"/>
      <c r="AJ269" s="376"/>
      <c r="AK269" s="376"/>
    </row>
    <row r="270" spans="2:41" ht="17.25">
      <c r="C270" s="495">
        <v>3</v>
      </c>
      <c r="D270" s="1144" t="s">
        <v>118</v>
      </c>
      <c r="E270" s="1144"/>
      <c r="F270" s="1144"/>
      <c r="G270" s="1144"/>
      <c r="H270" s="1144"/>
      <c r="I270" s="1165">
        <v>38.5</v>
      </c>
      <c r="J270" s="1165"/>
      <c r="K270" s="1165"/>
      <c r="L270" s="1146">
        <v>1</v>
      </c>
      <c r="M270" s="1146"/>
      <c r="N270" s="1146"/>
      <c r="O270" s="1146">
        <v>2</v>
      </c>
      <c r="P270" s="1146"/>
      <c r="Q270" s="1146"/>
      <c r="R270" s="1160">
        <f t="shared" si="97"/>
        <v>41.5</v>
      </c>
      <c r="S270" s="1160"/>
      <c r="T270" s="1160"/>
      <c r="U270" s="1148">
        <f t="shared" si="98"/>
        <v>287.5</v>
      </c>
      <c r="V270" s="1148"/>
      <c r="W270" s="1149"/>
      <c r="X270" s="1150">
        <f t="shared" si="99"/>
        <v>1232.1428571428571</v>
      </c>
      <c r="Y270" s="1151"/>
      <c r="Z270" s="1152"/>
      <c r="AA270" s="1181">
        <v>32.571399999999997</v>
      </c>
      <c r="AB270" s="1182"/>
      <c r="AC270" s="1182"/>
      <c r="AD270" s="1183">
        <f t="shared" si="100"/>
        <v>977.14199999999994</v>
      </c>
      <c r="AE270" s="1183"/>
      <c r="AF270" s="1183"/>
      <c r="AG270" s="494"/>
      <c r="AH270" s="167"/>
      <c r="AI270" s="167"/>
      <c r="AJ270" s="376"/>
      <c r="AK270" s="376"/>
    </row>
    <row r="271" spans="2:41" ht="17.25">
      <c r="C271" s="495">
        <v>4</v>
      </c>
      <c r="D271" s="1144" t="s">
        <v>136</v>
      </c>
      <c r="E271" s="1144"/>
      <c r="F271" s="1144"/>
      <c r="G271" s="1144"/>
      <c r="H271" s="1144"/>
      <c r="I271" s="1165">
        <v>35</v>
      </c>
      <c r="J271" s="1165"/>
      <c r="K271" s="1165"/>
      <c r="L271" s="1146">
        <v>1</v>
      </c>
      <c r="M271" s="1146"/>
      <c r="N271" s="1146"/>
      <c r="O271" s="1146">
        <v>2</v>
      </c>
      <c r="P271" s="1146"/>
      <c r="Q271" s="1146"/>
      <c r="R271" s="1160">
        <f t="shared" si="97"/>
        <v>38</v>
      </c>
      <c r="S271" s="1160"/>
      <c r="T271" s="1160"/>
      <c r="U271" s="1148">
        <f t="shared" si="98"/>
        <v>263</v>
      </c>
      <c r="V271" s="1148"/>
      <c r="W271" s="1149"/>
      <c r="X271" s="1150">
        <f t="shared" si="99"/>
        <v>1127.1428571428571</v>
      </c>
      <c r="Y271" s="1151"/>
      <c r="Z271" s="1152"/>
      <c r="AA271" s="1181">
        <v>35.321399999999997</v>
      </c>
      <c r="AB271" s="1182"/>
      <c r="AC271" s="1182"/>
      <c r="AD271" s="1183">
        <f t="shared" si="100"/>
        <v>1059.6419999999998</v>
      </c>
      <c r="AE271" s="1183"/>
      <c r="AF271" s="1183"/>
      <c r="AG271" s="494"/>
      <c r="AH271" s="167"/>
      <c r="AI271" s="167"/>
      <c r="AJ271" s="376"/>
      <c r="AK271" s="376"/>
    </row>
    <row r="272" spans="2:41" ht="17.25">
      <c r="C272" s="495">
        <v>5</v>
      </c>
      <c r="D272" s="1144" t="s">
        <v>137</v>
      </c>
      <c r="E272" s="1144"/>
      <c r="F272" s="1144"/>
      <c r="G272" s="1144"/>
      <c r="H272" s="1144"/>
      <c r="I272" s="1165">
        <v>33.799999999999997</v>
      </c>
      <c r="J272" s="1165"/>
      <c r="K272" s="1165"/>
      <c r="L272" s="1146">
        <v>1</v>
      </c>
      <c r="M272" s="1146"/>
      <c r="N272" s="1146"/>
      <c r="O272" s="1146">
        <v>2</v>
      </c>
      <c r="P272" s="1146"/>
      <c r="Q272" s="1146"/>
      <c r="R272" s="1160">
        <f t="shared" si="97"/>
        <v>36.799999999999997</v>
      </c>
      <c r="S272" s="1160"/>
      <c r="T272" s="1160"/>
      <c r="U272" s="1148">
        <f t="shared" si="98"/>
        <v>254.59999999999997</v>
      </c>
      <c r="V272" s="1148"/>
      <c r="W272" s="1149"/>
      <c r="X272" s="1150">
        <f t="shared" si="99"/>
        <v>1091.1428571428569</v>
      </c>
      <c r="Y272" s="1151"/>
      <c r="Z272" s="1152"/>
      <c r="AA272" s="1181">
        <v>31.571400000000001</v>
      </c>
      <c r="AB272" s="1182"/>
      <c r="AC272" s="1182"/>
      <c r="AD272" s="1183">
        <f t="shared" si="100"/>
        <v>947.14200000000005</v>
      </c>
      <c r="AE272" s="1183"/>
      <c r="AF272" s="1183"/>
      <c r="AG272" s="494"/>
      <c r="AH272" s="167"/>
      <c r="AI272" s="167"/>
      <c r="AJ272" s="376"/>
      <c r="AK272" s="376"/>
    </row>
    <row r="273" spans="3:41" ht="17.25">
      <c r="C273" s="495">
        <v>6</v>
      </c>
      <c r="D273" s="1144" t="s">
        <v>138</v>
      </c>
      <c r="E273" s="1144"/>
      <c r="F273" s="1144"/>
      <c r="G273" s="1144"/>
      <c r="H273" s="1144"/>
      <c r="I273" s="1165">
        <v>33.799999999999997</v>
      </c>
      <c r="J273" s="1165"/>
      <c r="K273" s="1165"/>
      <c r="L273" s="1146">
        <v>1</v>
      </c>
      <c r="M273" s="1146"/>
      <c r="N273" s="1146"/>
      <c r="O273" s="1146">
        <v>2</v>
      </c>
      <c r="P273" s="1146"/>
      <c r="Q273" s="1146"/>
      <c r="R273" s="1160">
        <f t="shared" si="97"/>
        <v>36.799999999999997</v>
      </c>
      <c r="S273" s="1160"/>
      <c r="T273" s="1160"/>
      <c r="U273" s="1148">
        <f t="shared" si="98"/>
        <v>254.59999999999997</v>
      </c>
      <c r="V273" s="1148"/>
      <c r="W273" s="1149"/>
      <c r="X273" s="1150">
        <f t="shared" si="99"/>
        <v>1091.1428571428569</v>
      </c>
      <c r="Y273" s="1151"/>
      <c r="Z273" s="1152"/>
      <c r="AA273" s="1181">
        <v>33.333300000000001</v>
      </c>
      <c r="AB273" s="1182"/>
      <c r="AC273" s="1182"/>
      <c r="AD273" s="1183">
        <f t="shared" si="100"/>
        <v>999.99900000000002</v>
      </c>
      <c r="AE273" s="1183"/>
      <c r="AF273" s="1183"/>
      <c r="AG273" s="494"/>
      <c r="AH273" s="167"/>
      <c r="AI273" s="167"/>
      <c r="AJ273" s="376"/>
      <c r="AK273" s="376"/>
    </row>
    <row r="274" spans="3:41" ht="17.25">
      <c r="C274" s="495">
        <v>7</v>
      </c>
      <c r="D274" s="1144" t="s">
        <v>139</v>
      </c>
      <c r="E274" s="1144"/>
      <c r="F274" s="1144"/>
      <c r="G274" s="1144"/>
      <c r="H274" s="1144"/>
      <c r="I274" s="1165">
        <v>26</v>
      </c>
      <c r="J274" s="1165"/>
      <c r="K274" s="1165"/>
      <c r="L274" s="1146">
        <v>1</v>
      </c>
      <c r="M274" s="1146"/>
      <c r="N274" s="1146"/>
      <c r="O274" s="1146">
        <v>2</v>
      </c>
      <c r="P274" s="1146"/>
      <c r="Q274" s="1146"/>
      <c r="R274" s="1160">
        <f t="shared" si="97"/>
        <v>29</v>
      </c>
      <c r="S274" s="1160"/>
      <c r="T274" s="1160"/>
      <c r="U274" s="1148">
        <f t="shared" si="98"/>
        <v>200</v>
      </c>
      <c r="V274" s="1148"/>
      <c r="W274" s="1149"/>
      <c r="X274" s="1150">
        <f t="shared" si="99"/>
        <v>857.14285714285722</v>
      </c>
      <c r="Y274" s="1151"/>
      <c r="Z274" s="1152"/>
      <c r="AA274" s="1181">
        <v>25</v>
      </c>
      <c r="AB274" s="1182"/>
      <c r="AC274" s="1182"/>
      <c r="AD274" s="1183">
        <f t="shared" si="100"/>
        <v>750</v>
      </c>
      <c r="AE274" s="1183"/>
      <c r="AF274" s="1183"/>
      <c r="AG274" s="494"/>
      <c r="AH274" s="167"/>
      <c r="AI274" s="167"/>
      <c r="AJ274" s="376"/>
      <c r="AK274" s="376"/>
    </row>
    <row r="275" spans="3:41" ht="17.25">
      <c r="C275" s="492"/>
      <c r="D275" s="409"/>
      <c r="E275" s="410"/>
      <c r="F275" s="411"/>
      <c r="G275" s="333"/>
      <c r="H275" s="333"/>
      <c r="I275" s="411"/>
      <c r="J275" s="333"/>
      <c r="K275" s="405"/>
      <c r="L275" s="405"/>
      <c r="M275" s="333"/>
      <c r="N275" s="333"/>
      <c r="O275" s="333"/>
      <c r="P275" s="333"/>
      <c r="Q275" s="333"/>
      <c r="R275" s="333"/>
      <c r="S275" s="1160" t="s">
        <v>23</v>
      </c>
      <c r="T275" s="1160"/>
      <c r="U275" s="1160"/>
      <c r="V275" s="333"/>
      <c r="W275" s="333"/>
      <c r="X275" s="1161">
        <f>SUM(X268:Z274)</f>
        <v>7862.9999999999991</v>
      </c>
      <c r="Y275" s="1162"/>
      <c r="Z275" s="1163"/>
      <c r="AA275" s="496"/>
      <c r="AB275" s="496"/>
      <c r="AC275" s="496"/>
      <c r="AD275" s="1184">
        <f>SUM(AD268:AF274)</f>
        <v>6928.2089999999989</v>
      </c>
      <c r="AE275" s="1184"/>
      <c r="AF275" s="1184"/>
      <c r="AG275" s="494"/>
      <c r="AH275" s="167"/>
      <c r="AI275" s="167"/>
      <c r="AJ275" s="376"/>
      <c r="AK275" s="376"/>
    </row>
    <row r="276" spans="3:41" ht="15.75" thickBot="1">
      <c r="C276" s="492"/>
      <c r="D276" s="333"/>
      <c r="E276" s="410"/>
      <c r="F276" s="411"/>
      <c r="G276" s="333"/>
      <c r="H276" s="333"/>
      <c r="I276" s="411"/>
      <c r="J276" s="333"/>
      <c r="K276" s="405"/>
      <c r="L276" s="405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  <c r="AA276" s="167"/>
      <c r="AB276" s="167"/>
      <c r="AC276" s="167"/>
      <c r="AD276" s="167"/>
      <c r="AE276" s="376"/>
      <c r="AF276" s="376"/>
      <c r="AG276" s="494"/>
      <c r="AH276" s="167"/>
      <c r="AI276" s="167"/>
      <c r="AJ276" s="376"/>
      <c r="AK276" s="376"/>
    </row>
    <row r="277" spans="3:41" ht="15.75" thickBot="1">
      <c r="C277" s="492"/>
      <c r="D277" s="333"/>
      <c r="E277" s="410"/>
      <c r="F277" s="411"/>
      <c r="G277" s="333"/>
      <c r="H277" s="333"/>
      <c r="I277" s="411"/>
      <c r="J277" s="333"/>
      <c r="K277" s="405"/>
      <c r="L277" s="1185" t="s">
        <v>140</v>
      </c>
      <c r="M277" s="1185"/>
      <c r="N277" s="1185"/>
      <c r="O277" s="333"/>
      <c r="P277" s="333"/>
      <c r="Q277" s="333"/>
      <c r="R277" s="333"/>
      <c r="S277" s="333"/>
      <c r="T277" s="499" t="s">
        <v>141</v>
      </c>
      <c r="U277" s="333"/>
      <c r="V277" s="333"/>
      <c r="W277" s="333"/>
      <c r="X277" s="333"/>
      <c r="Y277" s="333"/>
      <c r="Z277" s="333"/>
      <c r="AA277" s="167"/>
      <c r="AB277" s="167"/>
      <c r="AC277" s="167"/>
      <c r="AD277" s="1156">
        <f>+X275-AD275+0.01</f>
        <v>934.80100000000016</v>
      </c>
      <c r="AE277" s="1157"/>
      <c r="AF277" s="1158"/>
      <c r="AG277" s="494"/>
      <c r="AH277" s="167"/>
      <c r="AI277" s="167"/>
      <c r="AJ277" s="376"/>
      <c r="AK277" s="376"/>
    </row>
    <row r="278" spans="3:41" ht="15.75" thickBot="1">
      <c r="C278" s="500"/>
      <c r="D278" s="501"/>
      <c r="E278" s="502"/>
      <c r="F278" s="503"/>
      <c r="G278" s="501"/>
      <c r="H278" s="501"/>
      <c r="I278" s="503"/>
      <c r="J278" s="501"/>
      <c r="K278" s="504"/>
      <c r="L278" s="504"/>
      <c r="M278" s="501"/>
      <c r="N278" s="501"/>
      <c r="O278" s="501"/>
      <c r="P278" s="501"/>
      <c r="Q278" s="501"/>
      <c r="R278" s="501"/>
      <c r="S278" s="501"/>
      <c r="T278" s="501"/>
      <c r="U278" s="501"/>
      <c r="V278" s="501"/>
      <c r="W278" s="501"/>
      <c r="X278" s="501"/>
      <c r="Y278" s="501"/>
      <c r="Z278" s="501"/>
      <c r="AA278" s="505"/>
      <c r="AB278" s="505"/>
      <c r="AC278" s="505"/>
      <c r="AD278" s="506"/>
      <c r="AE278" s="506"/>
      <c r="AF278" s="506"/>
      <c r="AG278" s="507"/>
      <c r="AH278" s="167"/>
      <c r="AI278" s="167"/>
      <c r="AJ278" s="376"/>
      <c r="AK278" s="376"/>
    </row>
    <row r="279" spans="3:41">
      <c r="AG279" s="267"/>
      <c r="AH279" s="267"/>
      <c r="AI279" s="267"/>
      <c r="AJ279" s="267"/>
      <c r="AK279" s="267"/>
      <c r="AL279" s="267"/>
      <c r="AM279" s="267"/>
      <c r="AN279" s="267"/>
      <c r="AO279" s="267"/>
    </row>
    <row r="280" spans="3:41">
      <c r="AG280" s="267"/>
      <c r="AH280" s="267"/>
      <c r="AI280" s="267"/>
      <c r="AJ280" s="267"/>
      <c r="AK280" s="267"/>
      <c r="AL280" s="267"/>
      <c r="AM280" s="267"/>
      <c r="AN280" s="267"/>
      <c r="AO280" s="267"/>
    </row>
    <row r="281" spans="3:41">
      <c r="AG281" s="267"/>
      <c r="AH281" s="267"/>
      <c r="AI281" s="267"/>
      <c r="AJ281" s="267"/>
      <c r="AK281" s="267"/>
      <c r="AL281" s="267"/>
      <c r="AM281" s="267"/>
      <c r="AN281" s="267"/>
      <c r="AO281" s="267"/>
    </row>
  </sheetData>
  <mergeCells count="848"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25:AQ25"/>
    <mergeCell ref="AR25:AS25"/>
    <mergeCell ref="BE26:BE27"/>
    <mergeCell ref="BF26:BF27"/>
    <mergeCell ref="B27:B32"/>
    <mergeCell ref="C27:J28"/>
    <mergeCell ref="K27:L28"/>
    <mergeCell ref="M27:T28"/>
    <mergeCell ref="U27:V28"/>
    <mergeCell ref="W27:AD28"/>
    <mergeCell ref="AZ27:BC27"/>
    <mergeCell ref="AZ28:BB29"/>
    <mergeCell ref="C29:D32"/>
    <mergeCell ref="E29:E32"/>
    <mergeCell ref="F29:F32"/>
    <mergeCell ref="G29:H32"/>
    <mergeCell ref="I29:I32"/>
    <mergeCell ref="J29:J32"/>
    <mergeCell ref="AM27:AM32"/>
    <mergeCell ref="AN27:AN32"/>
    <mergeCell ref="AO27:AO32"/>
    <mergeCell ref="AP27:AP32"/>
    <mergeCell ref="AQ27:AQ32"/>
    <mergeCell ref="AR27:AS32"/>
    <mergeCell ref="K29:K32"/>
    <mergeCell ref="L29:L32"/>
    <mergeCell ref="M29:N32"/>
    <mergeCell ref="O29:O32"/>
    <mergeCell ref="P29:P32"/>
    <mergeCell ref="Q29:R32"/>
    <mergeCell ref="AR33:AS33"/>
    <mergeCell ref="AW33:AX33"/>
    <mergeCell ref="AR34:AS34"/>
    <mergeCell ref="AW34:AX34"/>
    <mergeCell ref="AH27:AH32"/>
    <mergeCell ref="AI27:AI32"/>
    <mergeCell ref="AJ27:AJ32"/>
    <mergeCell ref="AK27:AK32"/>
    <mergeCell ref="AL27:AL32"/>
    <mergeCell ref="S29:S32"/>
    <mergeCell ref="T29:T32"/>
    <mergeCell ref="U29:U32"/>
    <mergeCell ref="V29:V32"/>
    <mergeCell ref="W29:X32"/>
    <mergeCell ref="Y29:Y32"/>
    <mergeCell ref="AR35:AS35"/>
    <mergeCell ref="AW35:AX35"/>
    <mergeCell ref="Z29:Z32"/>
    <mergeCell ref="AA29:AB32"/>
    <mergeCell ref="AC29:AC32"/>
    <mergeCell ref="AD29:AD32"/>
    <mergeCell ref="AE29:AE32"/>
    <mergeCell ref="AF29:AF32"/>
    <mergeCell ref="AT27:AT32"/>
    <mergeCell ref="AW27:AX32"/>
    <mergeCell ref="AE27:AF28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45:AS45"/>
    <mergeCell ref="AW45:AX45"/>
    <mergeCell ref="AR46:AS46"/>
    <mergeCell ref="AW46:AX46"/>
    <mergeCell ref="AR47:AS47"/>
    <mergeCell ref="AW47:AX47"/>
    <mergeCell ref="AR42:AS42"/>
    <mergeCell ref="AW42:AX42"/>
    <mergeCell ref="AR43:AS43"/>
    <mergeCell ref="AW43:AX43"/>
    <mergeCell ref="AR44:AS44"/>
    <mergeCell ref="AW44:AX44"/>
    <mergeCell ref="AW49:AX50"/>
    <mergeCell ref="C56:J57"/>
    <mergeCell ref="K56:L57"/>
    <mergeCell ref="M56:T57"/>
    <mergeCell ref="U56:V57"/>
    <mergeCell ref="W56:AD57"/>
    <mergeCell ref="AE56:AF57"/>
    <mergeCell ref="AG56:AN57"/>
    <mergeCell ref="AO56:AO57"/>
    <mergeCell ref="AP58:AQ58"/>
    <mergeCell ref="AR58:AS58"/>
    <mergeCell ref="C60:J61"/>
    <mergeCell ref="K60:L61"/>
    <mergeCell ref="M60:T61"/>
    <mergeCell ref="U60:V61"/>
    <mergeCell ref="W60:AD61"/>
    <mergeCell ref="AE60:AF61"/>
    <mergeCell ref="AR48:AS48"/>
    <mergeCell ref="N70:O70"/>
    <mergeCell ref="Q70:R70"/>
    <mergeCell ref="AR62:AS62"/>
    <mergeCell ref="AW62:AX62"/>
    <mergeCell ref="AK63:AL63"/>
    <mergeCell ref="C67:D69"/>
    <mergeCell ref="E67:F69"/>
    <mergeCell ref="G67:H71"/>
    <mergeCell ref="I67:J69"/>
    <mergeCell ref="K67:L69"/>
    <mergeCell ref="N67:O69"/>
    <mergeCell ref="Q67:R69"/>
    <mergeCell ref="C71:D71"/>
    <mergeCell ref="E71:F71"/>
    <mergeCell ref="I71:J71"/>
    <mergeCell ref="K71:L71"/>
    <mergeCell ref="N71:O71"/>
    <mergeCell ref="Q71:R71"/>
    <mergeCell ref="U67:U72"/>
    <mergeCell ref="V67:V72"/>
    <mergeCell ref="W67:W72"/>
    <mergeCell ref="X67:X72"/>
    <mergeCell ref="C70:D70"/>
    <mergeCell ref="Y73:Z73"/>
    <mergeCell ref="C74:D74"/>
    <mergeCell ref="E74:F74"/>
    <mergeCell ref="I74:J74"/>
    <mergeCell ref="K74:L74"/>
    <mergeCell ref="N74:O74"/>
    <mergeCell ref="Q74:R74"/>
    <mergeCell ref="Y74:Z74"/>
    <mergeCell ref="C73:D73"/>
    <mergeCell ref="E73:F73"/>
    <mergeCell ref="I73:J73"/>
    <mergeCell ref="K73:L73"/>
    <mergeCell ref="N73:O73"/>
    <mergeCell ref="Q73:R73"/>
    <mergeCell ref="C75:D75"/>
    <mergeCell ref="E75:F75"/>
    <mergeCell ref="I75:J75"/>
    <mergeCell ref="K75:L75"/>
    <mergeCell ref="N75:O75"/>
    <mergeCell ref="Q75:R75"/>
    <mergeCell ref="E70:F70"/>
    <mergeCell ref="I70:J70"/>
    <mergeCell ref="Q78:R78"/>
    <mergeCell ref="Q76:R76"/>
    <mergeCell ref="C77:D77"/>
    <mergeCell ref="E77:F77"/>
    <mergeCell ref="G77:H77"/>
    <mergeCell ref="I77:J77"/>
    <mergeCell ref="K77:L77"/>
    <mergeCell ref="N77:O77"/>
    <mergeCell ref="Q77:R77"/>
    <mergeCell ref="C76:D76"/>
    <mergeCell ref="E76:F76"/>
    <mergeCell ref="G76:H76"/>
    <mergeCell ref="I76:J76"/>
    <mergeCell ref="K76:L76"/>
    <mergeCell ref="N76:O76"/>
    <mergeCell ref="K70:L70"/>
    <mergeCell ref="Y78:Z78"/>
    <mergeCell ref="C79:D79"/>
    <mergeCell ref="E79:F79"/>
    <mergeCell ref="G79:H79"/>
    <mergeCell ref="I79:J79"/>
    <mergeCell ref="K79:L79"/>
    <mergeCell ref="N79:O79"/>
    <mergeCell ref="Q79:R79"/>
    <mergeCell ref="Y79:Z79"/>
    <mergeCell ref="C78:D78"/>
    <mergeCell ref="E78:F78"/>
    <mergeCell ref="G78:H78"/>
    <mergeCell ref="I78:J78"/>
    <mergeCell ref="K78:L78"/>
    <mergeCell ref="N78:O78"/>
    <mergeCell ref="Q80:R80"/>
    <mergeCell ref="Y80:Z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G80:H80"/>
    <mergeCell ref="I80:J80"/>
    <mergeCell ref="K80:L80"/>
    <mergeCell ref="N80:O80"/>
    <mergeCell ref="C84:D84"/>
    <mergeCell ref="E84:F84"/>
    <mergeCell ref="I84:J84"/>
    <mergeCell ref="K84:L84"/>
    <mergeCell ref="N84:O84"/>
    <mergeCell ref="Q84:R84"/>
    <mergeCell ref="Q82:R82"/>
    <mergeCell ref="C83:D83"/>
    <mergeCell ref="E83:F83"/>
    <mergeCell ref="G83:H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Q85:R85"/>
    <mergeCell ref="C86:D86"/>
    <mergeCell ref="E86:F86"/>
    <mergeCell ref="G86:H86"/>
    <mergeCell ref="I86:J86"/>
    <mergeCell ref="K86:L86"/>
    <mergeCell ref="N86:O86"/>
    <mergeCell ref="Q86:R86"/>
    <mergeCell ref="C85:D85"/>
    <mergeCell ref="E85:F85"/>
    <mergeCell ref="G85:H85"/>
    <mergeCell ref="I85:J85"/>
    <mergeCell ref="K85:L85"/>
    <mergeCell ref="N85:O85"/>
    <mergeCell ref="H91:N91"/>
    <mergeCell ref="O93:Z93"/>
    <mergeCell ref="O94:P94"/>
    <mergeCell ref="Q94:Z94"/>
    <mergeCell ref="O95:P95"/>
    <mergeCell ref="Q95:Z95"/>
    <mergeCell ref="Q88:R88"/>
    <mergeCell ref="C89:D89"/>
    <mergeCell ref="E89:F89"/>
    <mergeCell ref="G89:H89"/>
    <mergeCell ref="I89:J89"/>
    <mergeCell ref="K89:L89"/>
    <mergeCell ref="N89:O89"/>
    <mergeCell ref="Q89:R89"/>
    <mergeCell ref="C88:D88"/>
    <mergeCell ref="E88:F88"/>
    <mergeCell ref="G88:H88"/>
    <mergeCell ref="I88:J88"/>
    <mergeCell ref="K88:L88"/>
    <mergeCell ref="N88:O88"/>
    <mergeCell ref="O99:P99"/>
    <mergeCell ref="O101:Z101"/>
    <mergeCell ref="O102:P102"/>
    <mergeCell ref="Q102:Z102"/>
    <mergeCell ref="O103:P103"/>
    <mergeCell ref="Q103:Z103"/>
    <mergeCell ref="AA95:AB95"/>
    <mergeCell ref="O96:P96"/>
    <mergeCell ref="Q96:Z96"/>
    <mergeCell ref="O97:P97"/>
    <mergeCell ref="Q97:Z97"/>
    <mergeCell ref="O98:P98"/>
    <mergeCell ref="Q98:Z98"/>
    <mergeCell ref="O107:P107"/>
    <mergeCell ref="H109:N109"/>
    <mergeCell ref="O111:Z111"/>
    <mergeCell ref="O112:P112"/>
    <mergeCell ref="Q112:Z112"/>
    <mergeCell ref="AE112:AG112"/>
    <mergeCell ref="AA103:AB103"/>
    <mergeCell ref="O104:P104"/>
    <mergeCell ref="Q104:Z104"/>
    <mergeCell ref="O105:P105"/>
    <mergeCell ref="Q105:Z105"/>
    <mergeCell ref="O106:P106"/>
    <mergeCell ref="Q106:Z106"/>
    <mergeCell ref="O114:P114"/>
    <mergeCell ref="Q114:Z114"/>
    <mergeCell ref="AE114:AG114"/>
    <mergeCell ref="AI114:AK114"/>
    <mergeCell ref="AL114:AN114"/>
    <mergeCell ref="AO114:AQ114"/>
    <mergeCell ref="AI112:AK112"/>
    <mergeCell ref="AL112:AN112"/>
    <mergeCell ref="AO112:AQ112"/>
    <mergeCell ref="O113:P113"/>
    <mergeCell ref="Q113:Z113"/>
    <mergeCell ref="AA113:AB113"/>
    <mergeCell ref="AE113:AG113"/>
    <mergeCell ref="AI113:AK113"/>
    <mergeCell ref="AL113:AN113"/>
    <mergeCell ref="AO113:AQ113"/>
    <mergeCell ref="O117:P117"/>
    <mergeCell ref="AE117:AG117"/>
    <mergeCell ref="AI117:AK117"/>
    <mergeCell ref="O119:Z119"/>
    <mergeCell ref="O120:P120"/>
    <mergeCell ref="Q120:Z120"/>
    <mergeCell ref="O115:P115"/>
    <mergeCell ref="Q115:Z115"/>
    <mergeCell ref="AE115:AG115"/>
    <mergeCell ref="AI115:AK115"/>
    <mergeCell ref="O116:P116"/>
    <mergeCell ref="Q116:Z116"/>
    <mergeCell ref="AE116:AG116"/>
    <mergeCell ref="AI116:AK116"/>
    <mergeCell ref="H128:N128"/>
    <mergeCell ref="O130:Z130"/>
    <mergeCell ref="O131:P131"/>
    <mergeCell ref="Q131:Z131"/>
    <mergeCell ref="O121:P121"/>
    <mergeCell ref="Q121:Z121"/>
    <mergeCell ref="AA121:AB121"/>
    <mergeCell ref="O122:P122"/>
    <mergeCell ref="Q122:Z122"/>
    <mergeCell ref="O123:P123"/>
    <mergeCell ref="Q123:Z123"/>
    <mergeCell ref="O132:P132"/>
    <mergeCell ref="Q132:Z132"/>
    <mergeCell ref="AA132:AB132"/>
    <mergeCell ref="O133:P133"/>
    <mergeCell ref="Q133:Z133"/>
    <mergeCell ref="O134:P134"/>
    <mergeCell ref="Q134:Z134"/>
    <mergeCell ref="O124:P124"/>
    <mergeCell ref="Q124:Z124"/>
    <mergeCell ref="O125:P125"/>
    <mergeCell ref="AA140:AB140"/>
    <mergeCell ref="O141:P141"/>
    <mergeCell ref="Q141:Z141"/>
    <mergeCell ref="O142:P142"/>
    <mergeCell ref="Q142:Z142"/>
    <mergeCell ref="O135:P135"/>
    <mergeCell ref="Q135:Z135"/>
    <mergeCell ref="O136:P136"/>
    <mergeCell ref="O138:Z138"/>
    <mergeCell ref="O139:P139"/>
    <mergeCell ref="Q139:Z139"/>
    <mergeCell ref="O143:P143"/>
    <mergeCell ref="Q143:Z143"/>
    <mergeCell ref="O144:P144"/>
    <mergeCell ref="H146:N146"/>
    <mergeCell ref="O148:Z148"/>
    <mergeCell ref="O149:P149"/>
    <mergeCell ref="Q149:Z149"/>
    <mergeCell ref="O140:P140"/>
    <mergeCell ref="Q140:Z140"/>
    <mergeCell ref="O153:P153"/>
    <mergeCell ref="Q153:Z153"/>
    <mergeCell ref="AF153:AJ153"/>
    <mergeCell ref="O154:P154"/>
    <mergeCell ref="O156:Z156"/>
    <mergeCell ref="O157:P157"/>
    <mergeCell ref="Q157:Z157"/>
    <mergeCell ref="O150:P150"/>
    <mergeCell ref="Q150:Z150"/>
    <mergeCell ref="AA150:AB150"/>
    <mergeCell ref="O151:P151"/>
    <mergeCell ref="Q151:Z151"/>
    <mergeCell ref="O152:P152"/>
    <mergeCell ref="Q152:Z152"/>
    <mergeCell ref="H166:N166"/>
    <mergeCell ref="O168:Z168"/>
    <mergeCell ref="O169:P169"/>
    <mergeCell ref="Q169:Z169"/>
    <mergeCell ref="O158:P158"/>
    <mergeCell ref="Q158:Z158"/>
    <mergeCell ref="AA158:AB158"/>
    <mergeCell ref="O159:P159"/>
    <mergeCell ref="Q159:Z159"/>
    <mergeCell ref="O160:P160"/>
    <mergeCell ref="Q160:Z160"/>
    <mergeCell ref="AG169:AH169"/>
    <mergeCell ref="AJ169:AK169"/>
    <mergeCell ref="O170:P170"/>
    <mergeCell ref="Q170:Z170"/>
    <mergeCell ref="AA170:AB170"/>
    <mergeCell ref="AG170:AH170"/>
    <mergeCell ref="AJ170:AK170"/>
    <mergeCell ref="O161:P161"/>
    <mergeCell ref="Q161:Z161"/>
    <mergeCell ref="O162:P162"/>
    <mergeCell ref="AJ173:AK173"/>
    <mergeCell ref="O174:P174"/>
    <mergeCell ref="AK174:AL174"/>
    <mergeCell ref="O171:P171"/>
    <mergeCell ref="Q171:Z171"/>
    <mergeCell ref="AG171:AH171"/>
    <mergeCell ref="AJ171:AK171"/>
    <mergeCell ref="O172:P172"/>
    <mergeCell ref="Q172:Z172"/>
    <mergeCell ref="AG172:AH172"/>
    <mergeCell ref="AJ172:AK172"/>
    <mergeCell ref="O176:Z176"/>
    <mergeCell ref="O177:P177"/>
    <mergeCell ref="Q177:Z177"/>
    <mergeCell ref="O178:P178"/>
    <mergeCell ref="Q178:Z178"/>
    <mergeCell ref="AA178:AB178"/>
    <mergeCell ref="O173:P173"/>
    <mergeCell ref="Q173:Z173"/>
    <mergeCell ref="AG173:AH173"/>
    <mergeCell ref="O182:P182"/>
    <mergeCell ref="O187:Z187"/>
    <mergeCell ref="O188:P188"/>
    <mergeCell ref="Q188:Z188"/>
    <mergeCell ref="O189:P189"/>
    <mergeCell ref="Q189:Z189"/>
    <mergeCell ref="O179:P179"/>
    <mergeCell ref="Q179:Z179"/>
    <mergeCell ref="O180:P180"/>
    <mergeCell ref="Q180:Z180"/>
    <mergeCell ref="O181:P181"/>
    <mergeCell ref="Q181:Z181"/>
    <mergeCell ref="O193:P193"/>
    <mergeCell ref="O195:Z195"/>
    <mergeCell ref="O196:P196"/>
    <mergeCell ref="Q196:Z196"/>
    <mergeCell ref="O197:P197"/>
    <mergeCell ref="Q197:Z197"/>
    <mergeCell ref="AA189:AB189"/>
    <mergeCell ref="O190:P190"/>
    <mergeCell ref="Q190:Z190"/>
    <mergeCell ref="O191:P191"/>
    <mergeCell ref="Q191:Z191"/>
    <mergeCell ref="O192:P192"/>
    <mergeCell ref="Q192:Z192"/>
    <mergeCell ref="O201:P201"/>
    <mergeCell ref="C204:D206"/>
    <mergeCell ref="E204:F206"/>
    <mergeCell ref="G204:H208"/>
    <mergeCell ref="I204:J206"/>
    <mergeCell ref="K204:L206"/>
    <mergeCell ref="N204:O206"/>
    <mergeCell ref="AA197:AB197"/>
    <mergeCell ref="O198:P198"/>
    <mergeCell ref="Q198:Z198"/>
    <mergeCell ref="O199:P199"/>
    <mergeCell ref="Q199:Z199"/>
    <mergeCell ref="O200:P200"/>
    <mergeCell ref="Q200:Z200"/>
    <mergeCell ref="Q204:R206"/>
    <mergeCell ref="U204:U209"/>
    <mergeCell ref="V204:V209"/>
    <mergeCell ref="W204:W209"/>
    <mergeCell ref="X204:X209"/>
    <mergeCell ref="C207:D207"/>
    <mergeCell ref="E207:F207"/>
    <mergeCell ref="I207:J207"/>
    <mergeCell ref="K207:L207"/>
    <mergeCell ref="N207:O207"/>
    <mergeCell ref="C210:D210"/>
    <mergeCell ref="E210:F210"/>
    <mergeCell ref="I210:J210"/>
    <mergeCell ref="K210:L210"/>
    <mergeCell ref="N210:O210"/>
    <mergeCell ref="Q210:R210"/>
    <mergeCell ref="Q207:R207"/>
    <mergeCell ref="C208:D208"/>
    <mergeCell ref="E208:F208"/>
    <mergeCell ref="I208:J208"/>
    <mergeCell ref="K208:L208"/>
    <mergeCell ref="N208:O208"/>
    <mergeCell ref="Q208:R208"/>
    <mergeCell ref="C212:D212"/>
    <mergeCell ref="E212:F212"/>
    <mergeCell ref="I212:J212"/>
    <mergeCell ref="K212:L212"/>
    <mergeCell ref="N212:O212"/>
    <mergeCell ref="Q212:R212"/>
    <mergeCell ref="C211:D211"/>
    <mergeCell ref="E211:F211"/>
    <mergeCell ref="I211:J211"/>
    <mergeCell ref="K211:L211"/>
    <mergeCell ref="N211:O211"/>
    <mergeCell ref="Q211:R211"/>
    <mergeCell ref="S213:T213"/>
    <mergeCell ref="Z213:AC213"/>
    <mergeCell ref="C214:D214"/>
    <mergeCell ref="E214:F214"/>
    <mergeCell ref="I214:J214"/>
    <mergeCell ref="K214:L214"/>
    <mergeCell ref="N214:O214"/>
    <mergeCell ref="Q214:R214"/>
    <mergeCell ref="C213:D213"/>
    <mergeCell ref="E213:F213"/>
    <mergeCell ref="I213:J213"/>
    <mergeCell ref="K213:L213"/>
    <mergeCell ref="N213:O213"/>
    <mergeCell ref="Q213:R213"/>
    <mergeCell ref="Q215:R215"/>
    <mergeCell ref="AB215:AK215"/>
    <mergeCell ref="C216:D216"/>
    <mergeCell ref="E216:F216"/>
    <mergeCell ref="G216:H216"/>
    <mergeCell ref="I216:J216"/>
    <mergeCell ref="K216:L216"/>
    <mergeCell ref="N216:O216"/>
    <mergeCell ref="Q216:R216"/>
    <mergeCell ref="S216:T216"/>
    <mergeCell ref="C215:D215"/>
    <mergeCell ref="E215:F215"/>
    <mergeCell ref="G215:H215"/>
    <mergeCell ref="I215:J215"/>
    <mergeCell ref="K215:L215"/>
    <mergeCell ref="N215:O215"/>
    <mergeCell ref="Q217:R217"/>
    <mergeCell ref="C218:D218"/>
    <mergeCell ref="E218:F218"/>
    <mergeCell ref="G218:H218"/>
    <mergeCell ref="I218:J218"/>
    <mergeCell ref="K218:L218"/>
    <mergeCell ref="N218:O218"/>
    <mergeCell ref="Q218:R218"/>
    <mergeCell ref="C217:D217"/>
    <mergeCell ref="E217:F217"/>
    <mergeCell ref="G217:H217"/>
    <mergeCell ref="I217:J217"/>
    <mergeCell ref="K217:L217"/>
    <mergeCell ref="N217:O217"/>
    <mergeCell ref="Z219:AC219"/>
    <mergeCell ref="C220:D220"/>
    <mergeCell ref="E220:F220"/>
    <mergeCell ref="G220:H220"/>
    <mergeCell ref="I220:J220"/>
    <mergeCell ref="K220:L220"/>
    <mergeCell ref="N220:O220"/>
    <mergeCell ref="Q220:R220"/>
    <mergeCell ref="C219:D219"/>
    <mergeCell ref="E219:F219"/>
    <mergeCell ref="I219:J219"/>
    <mergeCell ref="K219:L219"/>
    <mergeCell ref="N219:O219"/>
    <mergeCell ref="Q219:R219"/>
    <mergeCell ref="AF222:AH222"/>
    <mergeCell ref="C223:D223"/>
    <mergeCell ref="E223:F223"/>
    <mergeCell ref="G223:H223"/>
    <mergeCell ref="I223:J223"/>
    <mergeCell ref="K223:L223"/>
    <mergeCell ref="N223:O223"/>
    <mergeCell ref="Q223:R223"/>
    <mergeCell ref="Q221:R221"/>
    <mergeCell ref="C222:D222"/>
    <mergeCell ref="E222:F222"/>
    <mergeCell ref="G222:H222"/>
    <mergeCell ref="I222:J222"/>
    <mergeCell ref="K222:L222"/>
    <mergeCell ref="N222:O222"/>
    <mergeCell ref="Q222:R222"/>
    <mergeCell ref="C221:D221"/>
    <mergeCell ref="E221:F221"/>
    <mergeCell ref="G221:H221"/>
    <mergeCell ref="I221:J221"/>
    <mergeCell ref="K221:L221"/>
    <mergeCell ref="N221:O221"/>
    <mergeCell ref="Q224:R224"/>
    <mergeCell ref="AA229:AC229"/>
    <mergeCell ref="AD229:AF229"/>
    <mergeCell ref="D230:H230"/>
    <mergeCell ref="I230:K230"/>
    <mergeCell ref="L230:N230"/>
    <mergeCell ref="O230:Q230"/>
    <mergeCell ref="R230:T230"/>
    <mergeCell ref="U230:W230"/>
    <mergeCell ref="X230:Z230"/>
    <mergeCell ref="C224:D224"/>
    <mergeCell ref="E224:F224"/>
    <mergeCell ref="G224:H224"/>
    <mergeCell ref="I224:J224"/>
    <mergeCell ref="K224:L224"/>
    <mergeCell ref="N224:O224"/>
    <mergeCell ref="AA230:AC230"/>
    <mergeCell ref="AD230:AF230"/>
    <mergeCell ref="AI231:AK231"/>
    <mergeCell ref="D232:H232"/>
    <mergeCell ref="I232:K232"/>
    <mergeCell ref="L232:N232"/>
    <mergeCell ref="O232:Q232"/>
    <mergeCell ref="R232:T232"/>
    <mergeCell ref="U232:W232"/>
    <mergeCell ref="X232:Z232"/>
    <mergeCell ref="AA232:AC232"/>
    <mergeCell ref="AD232:AF232"/>
    <mergeCell ref="AI232:AK232"/>
    <mergeCell ref="D231:H231"/>
    <mergeCell ref="I231:K231"/>
    <mergeCell ref="L231:N231"/>
    <mergeCell ref="O231:Q231"/>
    <mergeCell ref="R231:T231"/>
    <mergeCell ref="U231:W231"/>
    <mergeCell ref="X231:Z231"/>
    <mergeCell ref="AA231:AC231"/>
    <mergeCell ref="AD231:AF231"/>
    <mergeCell ref="D233:H233"/>
    <mergeCell ref="I233:K233"/>
    <mergeCell ref="L233:N233"/>
    <mergeCell ref="O233:Q233"/>
    <mergeCell ref="R233:T233"/>
    <mergeCell ref="U233:W233"/>
    <mergeCell ref="X233:Z233"/>
    <mergeCell ref="AA233:AC233"/>
    <mergeCell ref="AD233:AF233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AD234:AF234"/>
    <mergeCell ref="X235:Z235"/>
    <mergeCell ref="AA235:AC235"/>
    <mergeCell ref="AD235:AF235"/>
    <mergeCell ref="D236:H236"/>
    <mergeCell ref="I236:K236"/>
    <mergeCell ref="L236:N236"/>
    <mergeCell ref="O236:Q236"/>
    <mergeCell ref="R236:T236"/>
    <mergeCell ref="U236:W236"/>
    <mergeCell ref="X236:Z236"/>
    <mergeCell ref="D235:H235"/>
    <mergeCell ref="I235:K235"/>
    <mergeCell ref="L235:N235"/>
    <mergeCell ref="O235:Q235"/>
    <mergeCell ref="R235:T235"/>
    <mergeCell ref="U235:W235"/>
    <mergeCell ref="AA236:AC236"/>
    <mergeCell ref="AD236:AF236"/>
    <mergeCell ref="D237:H237"/>
    <mergeCell ref="I237:K237"/>
    <mergeCell ref="L237:N237"/>
    <mergeCell ref="O237:Q237"/>
    <mergeCell ref="R237:T237"/>
    <mergeCell ref="U237:W237"/>
    <mergeCell ref="X237:Z237"/>
    <mergeCell ref="AA237:AC237"/>
    <mergeCell ref="AD237:AF237"/>
    <mergeCell ref="D238:H238"/>
    <mergeCell ref="I238:K238"/>
    <mergeCell ref="L238:N238"/>
    <mergeCell ref="O238:Q238"/>
    <mergeCell ref="R238:T238"/>
    <mergeCell ref="U238:W238"/>
    <mergeCell ref="X238:Z238"/>
    <mergeCell ref="AA238:AC238"/>
    <mergeCell ref="AD238:AF238"/>
    <mergeCell ref="D241:F241"/>
    <mergeCell ref="D242:F242"/>
    <mergeCell ref="M242:O242"/>
    <mergeCell ref="AD242:AF242"/>
    <mergeCell ref="O247:Z247"/>
    <mergeCell ref="O248:P248"/>
    <mergeCell ref="Q248:Z248"/>
    <mergeCell ref="X239:Z239"/>
    <mergeCell ref="AA239:AC239"/>
    <mergeCell ref="AD239:AF239"/>
    <mergeCell ref="S240:U240"/>
    <mergeCell ref="X240:Z240"/>
    <mergeCell ref="AD240:AF240"/>
    <mergeCell ref="D239:H239"/>
    <mergeCell ref="I239:K239"/>
    <mergeCell ref="L239:N239"/>
    <mergeCell ref="O239:Q239"/>
    <mergeCell ref="R239:T239"/>
    <mergeCell ref="U239:W239"/>
    <mergeCell ref="AF252:AJ252"/>
    <mergeCell ref="O253:P253"/>
    <mergeCell ref="O255:Z255"/>
    <mergeCell ref="O256:P256"/>
    <mergeCell ref="Q256:Z256"/>
    <mergeCell ref="O249:P249"/>
    <mergeCell ref="Q249:Z249"/>
    <mergeCell ref="AA249:AB249"/>
    <mergeCell ref="O250:P250"/>
    <mergeCell ref="Q250:Z250"/>
    <mergeCell ref="O251:P251"/>
    <mergeCell ref="Q251:Z251"/>
    <mergeCell ref="O257:P257"/>
    <mergeCell ref="Q257:Z257"/>
    <mergeCell ref="AA257:AB257"/>
    <mergeCell ref="O258:P258"/>
    <mergeCell ref="Q258:Z258"/>
    <mergeCell ref="O259:P259"/>
    <mergeCell ref="Q259:Z259"/>
    <mergeCell ref="O252:P252"/>
    <mergeCell ref="Q252:Z252"/>
    <mergeCell ref="O260:P260"/>
    <mergeCell ref="Q260:Z260"/>
    <mergeCell ref="O261:P261"/>
    <mergeCell ref="AA266:AC266"/>
    <mergeCell ref="AD266:AF266"/>
    <mergeCell ref="D267:H267"/>
    <mergeCell ref="I267:K267"/>
    <mergeCell ref="L267:N267"/>
    <mergeCell ref="O267:Q267"/>
    <mergeCell ref="R267:T267"/>
    <mergeCell ref="U267:W267"/>
    <mergeCell ref="X267:Z267"/>
    <mergeCell ref="AA267:AC267"/>
    <mergeCell ref="AD267:AF267"/>
    <mergeCell ref="AI268:AM268"/>
    <mergeCell ref="D269:H269"/>
    <mergeCell ref="I269:K269"/>
    <mergeCell ref="L269:N269"/>
    <mergeCell ref="O269:Q269"/>
    <mergeCell ref="R269:T269"/>
    <mergeCell ref="U269:W269"/>
    <mergeCell ref="X269:Z269"/>
    <mergeCell ref="AA269:AC269"/>
    <mergeCell ref="AD269:AF269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D270:H270"/>
    <mergeCell ref="I270:K270"/>
    <mergeCell ref="L270:N270"/>
    <mergeCell ref="O270:Q270"/>
    <mergeCell ref="R270:T270"/>
    <mergeCell ref="U270:W270"/>
    <mergeCell ref="X270:Z270"/>
    <mergeCell ref="AA270:AC270"/>
    <mergeCell ref="AD270:AF270"/>
    <mergeCell ref="D271:H271"/>
    <mergeCell ref="I271:K271"/>
    <mergeCell ref="L271:N271"/>
    <mergeCell ref="O271:Q271"/>
    <mergeCell ref="R271:T271"/>
    <mergeCell ref="U271:W271"/>
    <mergeCell ref="X271:Z271"/>
    <mergeCell ref="AA271:AC271"/>
    <mergeCell ref="AD271:AF271"/>
    <mergeCell ref="D272:H272"/>
    <mergeCell ref="I272:K272"/>
    <mergeCell ref="L272:N272"/>
    <mergeCell ref="O272:Q272"/>
    <mergeCell ref="R272:T272"/>
    <mergeCell ref="U272:W272"/>
    <mergeCell ref="X272:Z272"/>
    <mergeCell ref="AA272:AC272"/>
    <mergeCell ref="AD272:AF272"/>
    <mergeCell ref="D274:H274"/>
    <mergeCell ref="I274:K274"/>
    <mergeCell ref="L274:N274"/>
    <mergeCell ref="O274:Q274"/>
    <mergeCell ref="R274:T274"/>
    <mergeCell ref="U274:W274"/>
    <mergeCell ref="X274:Z274"/>
    <mergeCell ref="D273:H273"/>
    <mergeCell ref="I273:K273"/>
    <mergeCell ref="L273:N273"/>
    <mergeCell ref="O273:Q273"/>
    <mergeCell ref="R273:T273"/>
    <mergeCell ref="U273:W273"/>
    <mergeCell ref="AA274:AC274"/>
    <mergeCell ref="AD274:AF274"/>
    <mergeCell ref="S275:U275"/>
    <mergeCell ref="X275:Z275"/>
    <mergeCell ref="AD275:AF275"/>
    <mergeCell ref="L277:N277"/>
    <mergeCell ref="AD277:AF277"/>
    <mergeCell ref="X273:Z273"/>
    <mergeCell ref="AA273:AC273"/>
    <mergeCell ref="AD273:AF273"/>
  </mergeCells>
  <conditionalFormatting sqref="AP203:AP206 AH62 AP62 AH33:AH50 AP33:AP50">
    <cfRule type="cellIs" dxfId="128" priority="16" stopIfTrue="1" operator="lessThanOrEqual">
      <formula>0</formula>
    </cfRule>
  </conditionalFormatting>
  <conditionalFormatting sqref="L291:L292 K262:L262 K291:K294 L294 K162:L163 K279:L282 K183:L183 K202:L244 L86:L145 K84:K145 K83:L83 K77:K82">
    <cfRule type="cellIs" dxfId="127" priority="15" stopIfTrue="1" operator="greaterThanOrEqual">
      <formula>$K$74</formula>
    </cfRule>
  </conditionalFormatting>
  <conditionalFormatting sqref="AR50:AT50 AR48:AT48 AP58:AT59 AR62:AS62 AS38 AS40 AR33:AS33 AT5 AR34:AR44 AP11:AT27 AR45:AS47">
    <cfRule type="cellIs" dxfId="126" priority="14" stopIfTrue="1" operator="lessThan">
      <formula>0</formula>
    </cfRule>
  </conditionalFormatting>
  <conditionalFormatting sqref="P203:P205 AJ58:AJ59 F62 Z62 F58:F60 P62:P68 P58:P60 Z58:Z60 F11:F26 AJ11:AJ27 P11:P27 Z11:Z27 Z33:Z50 P33:P55 F33:F50">
    <cfRule type="cellIs" dxfId="125" priority="13" stopIfTrue="1" operator="lessThanOrEqual">
      <formula>0</formula>
    </cfRule>
  </conditionalFormatting>
  <conditionalFormatting sqref="S203:S205 AM58:AM59 AC62 I62 AC58:AC60 S62:S68 S58:S60 I58:I60 AM11:AM27 I11:I26 S11:S27 AC11:AC27 AC33:AC50 S33:S55 I33:I50">
    <cfRule type="cellIs" dxfId="124" priority="12" stopIfTrue="1" operator="lessThanOrEqual">
      <formula>0</formula>
    </cfRule>
  </conditionalFormatting>
  <conditionalFormatting sqref="U203:V205 K58:L60 AO58:AO59 AE58:AE59 K62:L62 AE62:AF62 U62:V68 AE60:AF60 U58:V60 K48:L50 AE48:AF50 U48:V56 AF45:AF46 L45:L46 V45:V46 U43:V43 AE43:AF43 L39:L42 AF39:AF42 U33:V33 K26:L27 AE26:AF27 K33:L33 U26:V27 AE33:AF33 L23:L24 V23:V24 U34:U42 AE34:AE42 K16:L19 L20 V16:V20 K12:K15 K11:L11 U11:V11 V38:V42 K20:K25 U12:U25 AE11:AE25 AO11:AO27 U44:U47 AE44:AE47 K34:K47">
    <cfRule type="cellIs" dxfId="123" priority="11" stopIfTrue="1" operator="lessThanOrEqual">
      <formula>0</formula>
    </cfRule>
  </conditionalFormatting>
  <conditionalFormatting sqref="W213:X222 Z203:AA205 W224:X224 Z63:AA63 AA68:AB70 AA73:AB74 Z51:AA55 W75:X76 W78:X89">
    <cfRule type="cellIs" dxfId="122" priority="10" stopIfTrue="1" operator="lessThan">
      <formula>0</formula>
    </cfRule>
  </conditionalFormatting>
  <conditionalFormatting sqref="X203:X205 U224 U213:U222 X63:X68 X51 X53:X55 U75:U76 U78:U89">
    <cfRule type="cellIs" dxfId="121" priority="9" stopIfTrue="1" operator="greaterThan">
      <formula>48</formula>
    </cfRule>
  </conditionalFormatting>
  <conditionalFormatting sqref="C279:C283 C291:D294 C162:D162 D279:D290 C90:D145 C244:D244 C225:D225">
    <cfRule type="cellIs" dxfId="120" priority="8" stopIfTrue="1" operator="lessThan">
      <formula>$C$73</formula>
    </cfRule>
  </conditionalFormatting>
  <conditionalFormatting sqref="AI62:AO62 AI33:AO50">
    <cfRule type="cellIs" dxfId="119" priority="6" stopIfTrue="1" operator="equal">
      <formula>0</formula>
    </cfRule>
    <cfRule type="cellIs" dxfId="118" priority="7" stopIfTrue="1" operator="lessThan">
      <formula>0</formula>
    </cfRule>
  </conditionalFormatting>
  <conditionalFormatting sqref="AT62 AT33:AT47">
    <cfRule type="cellIs" dxfId="117" priority="4" stopIfTrue="1" operator="greaterThan">
      <formula>0</formula>
    </cfRule>
    <cfRule type="cellIs" dxfId="116" priority="5" stopIfTrue="1" operator="lessThan">
      <formula>1</formula>
    </cfRule>
  </conditionalFormatting>
  <conditionalFormatting sqref="K210:L220 K223:L223 K73:L88">
    <cfRule type="cellIs" dxfId="115" priority="3" stopIfTrue="1" operator="greaterThanOrEqual">
      <formula>$K$71</formula>
    </cfRule>
  </conditionalFormatting>
  <conditionalFormatting sqref="AF58:AF59 L12:L25 AF11:AF25 V12:V25 AF33:AF47 V33:V47 L33:L47">
    <cfRule type="cellIs" dxfId="114" priority="1" stopIfTrue="1" operator="equal">
      <formula>0</formula>
    </cfRule>
    <cfRule type="cellIs" dxfId="113" priority="2" stopIfTrue="1" operator="lessThan">
      <formula>0</formula>
    </cfRule>
  </conditionalFormatting>
  <hyperlinks>
    <hyperlink ref="AB215" r:id="rId1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F14:BA16 AK36 AF18:BA19 AF17 AJ17:BA17 AF21:BA22 AF20 AJ20:BA20 AF24:BA24 AF23:AM23 AO23:BA23" formula="1"/>
  </ignoredErrors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H281"/>
  <sheetViews>
    <sheetView zoomScale="90" zoomScaleNormal="90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AP41" sqref="AP41"/>
    </sheetView>
  </sheetViews>
  <sheetFormatPr baseColWidth="10" defaultRowHeight="15"/>
  <cols>
    <col min="1" max="1" width="2.28515625" style="1" customWidth="1"/>
    <col min="2" max="2" width="13.7109375" style="7" customWidth="1"/>
    <col min="3" max="4" width="4.28515625" style="3" customWidth="1"/>
    <col min="5" max="5" width="4.28515625" style="4" customWidth="1"/>
    <col min="6" max="6" width="4.28515625" style="5" customWidth="1"/>
    <col min="7" max="8" width="4.28515625" style="3" customWidth="1"/>
    <col min="9" max="9" width="4.28515625" style="5" customWidth="1"/>
    <col min="10" max="10" width="4.28515625" style="3" customWidth="1"/>
    <col min="11" max="12" width="4.28515625" style="6" customWidth="1"/>
    <col min="13" max="26" width="4.28515625" style="3" customWidth="1"/>
    <col min="27" max="39" width="4.28515625" style="7" customWidth="1"/>
    <col min="40" max="40" width="4.7109375" style="7" customWidth="1"/>
    <col min="41" max="41" width="4.28515625" style="7" customWidth="1"/>
    <col min="42" max="42" width="4.7109375" style="7" customWidth="1"/>
    <col min="43" max="43" width="0.5703125" style="7" customWidth="1"/>
    <col min="44" max="45" width="4.140625" style="7" customWidth="1"/>
    <col min="46" max="46" width="7.7109375" style="7" customWidth="1"/>
    <col min="47" max="47" width="0.85546875" style="7" customWidth="1"/>
    <col min="48" max="54" width="2.7109375" style="7" customWidth="1"/>
    <col min="55" max="55" width="0.85546875" style="7" customWidth="1"/>
    <col min="56" max="56" width="8.42578125" style="7" bestFit="1" customWidth="1"/>
    <col min="57" max="57" width="10.28515625" style="7" customWidth="1"/>
    <col min="58" max="59" width="11.42578125" style="7"/>
    <col min="60" max="62" width="12.7109375" style="7" customWidth="1"/>
    <col min="63" max="16384" width="11.42578125" style="7"/>
  </cols>
  <sheetData>
    <row r="1" spans="1:60" ht="6.95" customHeight="1">
      <c r="B1" s="2">
        <f>+W27</f>
        <v>43873</v>
      </c>
      <c r="C1" s="3" t="s">
        <v>0</v>
      </c>
      <c r="AN1" s="8"/>
      <c r="AO1" s="8"/>
      <c r="AR1" s="734">
        <f>+AR48+AT48</f>
        <v>187</v>
      </c>
      <c r="AS1" s="735"/>
      <c r="AT1" s="735"/>
      <c r="AU1" s="736"/>
    </row>
    <row r="2" spans="1:60" ht="6.95" customHeight="1">
      <c r="AJ2" s="8"/>
      <c r="AK2" s="8"/>
      <c r="AL2" s="8"/>
      <c r="AM2" s="8"/>
      <c r="AN2" s="8"/>
      <c r="AO2" s="8"/>
      <c r="AR2" s="737"/>
      <c r="AS2" s="738"/>
      <c r="AT2" s="738"/>
      <c r="AU2" s="739"/>
    </row>
    <row r="3" spans="1:60" s="10" customFormat="1" ht="20.100000000000001" customHeight="1">
      <c r="A3" s="1"/>
      <c r="B3" s="740">
        <f>+B1+1</f>
        <v>43874</v>
      </c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740"/>
      <c r="AB3" s="740"/>
      <c r="AC3" s="740"/>
      <c r="AD3" s="740"/>
      <c r="AE3" s="740"/>
      <c r="AF3" s="740"/>
      <c r="AG3" s="740"/>
      <c r="AH3" s="740"/>
      <c r="AI3" s="740"/>
      <c r="AJ3" s="740"/>
      <c r="AK3" s="740"/>
      <c r="AL3" s="740"/>
      <c r="AM3" s="740"/>
      <c r="AN3" s="740"/>
      <c r="AO3" s="740"/>
      <c r="AP3" s="9"/>
      <c r="AT3" s="11"/>
    </row>
    <row r="4" spans="1:60" ht="3" customHeight="1" thickBot="1">
      <c r="B4" s="12"/>
      <c r="C4" s="3">
        <v>0</v>
      </c>
    </row>
    <row r="5" spans="1:60" ht="9.9499999999999993" customHeight="1">
      <c r="B5" s="741" t="s">
        <v>1</v>
      </c>
      <c r="C5" s="744">
        <v>43867</v>
      </c>
      <c r="D5" s="744"/>
      <c r="E5" s="744"/>
      <c r="F5" s="744"/>
      <c r="G5" s="744"/>
      <c r="H5" s="744"/>
      <c r="I5" s="744"/>
      <c r="J5" s="744"/>
      <c r="K5" s="746"/>
      <c r="L5" s="747"/>
      <c r="M5" s="744">
        <f>1+C5</f>
        <v>43868</v>
      </c>
      <c r="N5" s="744"/>
      <c r="O5" s="744"/>
      <c r="P5" s="744"/>
      <c r="Q5" s="744"/>
      <c r="R5" s="744"/>
      <c r="S5" s="744"/>
      <c r="T5" s="744"/>
      <c r="U5" s="746"/>
      <c r="V5" s="747"/>
      <c r="W5" s="750">
        <f>1+M5</f>
        <v>43869</v>
      </c>
      <c r="X5" s="750"/>
      <c r="Y5" s="750"/>
      <c r="Z5" s="750"/>
      <c r="AA5" s="750"/>
      <c r="AB5" s="750"/>
      <c r="AC5" s="750"/>
      <c r="AD5" s="750"/>
      <c r="AE5" s="752"/>
      <c r="AF5" s="753"/>
      <c r="AG5" s="756">
        <f>1+W5</f>
        <v>43870</v>
      </c>
      <c r="AH5" s="757"/>
      <c r="AI5" s="757"/>
      <c r="AJ5" s="757"/>
      <c r="AK5" s="757"/>
      <c r="AL5" s="757"/>
      <c r="AM5" s="757"/>
      <c r="AN5" s="757"/>
      <c r="AO5" s="791" t="s">
        <v>2</v>
      </c>
      <c r="AP5" s="793" t="s">
        <v>3</v>
      </c>
      <c r="AQ5" s="794"/>
      <c r="AR5" s="794"/>
      <c r="AS5" s="795"/>
      <c r="AT5" s="802" t="s">
        <v>4</v>
      </c>
      <c r="AV5" s="779" t="s">
        <v>5</v>
      </c>
      <c r="AW5" s="779"/>
      <c r="AX5" s="779"/>
      <c r="AY5" s="779"/>
      <c r="AZ5" s="779"/>
      <c r="BA5" s="779"/>
      <c r="BB5" s="779"/>
      <c r="BC5" s="13"/>
      <c r="BD5" s="804" t="s">
        <v>6</v>
      </c>
      <c r="BE5" s="805" t="s">
        <v>7</v>
      </c>
      <c r="BF5" s="776" t="s">
        <v>8</v>
      </c>
    </row>
    <row r="6" spans="1:60" ht="9.9499999999999993" customHeight="1">
      <c r="B6" s="742"/>
      <c r="C6" s="745"/>
      <c r="D6" s="745"/>
      <c r="E6" s="745"/>
      <c r="F6" s="745"/>
      <c r="G6" s="745"/>
      <c r="H6" s="745"/>
      <c r="I6" s="745"/>
      <c r="J6" s="745"/>
      <c r="K6" s="748"/>
      <c r="L6" s="749"/>
      <c r="M6" s="745"/>
      <c r="N6" s="745"/>
      <c r="O6" s="745"/>
      <c r="P6" s="745"/>
      <c r="Q6" s="745"/>
      <c r="R6" s="745"/>
      <c r="S6" s="745"/>
      <c r="T6" s="745"/>
      <c r="U6" s="748"/>
      <c r="V6" s="749"/>
      <c r="W6" s="751"/>
      <c r="X6" s="751"/>
      <c r="Y6" s="751"/>
      <c r="Z6" s="751"/>
      <c r="AA6" s="751"/>
      <c r="AB6" s="751"/>
      <c r="AC6" s="751"/>
      <c r="AD6" s="751"/>
      <c r="AE6" s="754"/>
      <c r="AF6" s="755"/>
      <c r="AG6" s="758"/>
      <c r="AH6" s="759"/>
      <c r="AI6" s="759"/>
      <c r="AJ6" s="759"/>
      <c r="AK6" s="759"/>
      <c r="AL6" s="759"/>
      <c r="AM6" s="759"/>
      <c r="AN6" s="759"/>
      <c r="AO6" s="792"/>
      <c r="AP6" s="796"/>
      <c r="AQ6" s="797"/>
      <c r="AR6" s="797"/>
      <c r="AS6" s="798"/>
      <c r="AT6" s="803"/>
      <c r="AV6" s="779" t="s">
        <v>9</v>
      </c>
      <c r="AW6" s="779"/>
      <c r="AX6" s="779"/>
      <c r="AY6" s="779"/>
      <c r="AZ6" s="779"/>
      <c r="BA6" s="779"/>
      <c r="BB6" s="779"/>
      <c r="BC6" s="13"/>
      <c r="BD6" s="804"/>
      <c r="BE6" s="805"/>
      <c r="BF6" s="777"/>
    </row>
    <row r="7" spans="1:60" ht="15.2" customHeight="1">
      <c r="B7" s="742"/>
      <c r="C7" s="780" t="s">
        <v>10</v>
      </c>
      <c r="D7" s="781"/>
      <c r="E7" s="766" t="s">
        <v>11</v>
      </c>
      <c r="F7" s="769" t="s">
        <v>12</v>
      </c>
      <c r="G7" s="772" t="s">
        <v>10</v>
      </c>
      <c r="H7" s="761"/>
      <c r="I7" s="769" t="s">
        <v>12</v>
      </c>
      <c r="J7" s="773" t="s">
        <v>13</v>
      </c>
      <c r="K7" s="786" t="s">
        <v>14</v>
      </c>
      <c r="L7" s="789" t="s">
        <v>15</v>
      </c>
      <c r="M7" s="760" t="s">
        <v>10</v>
      </c>
      <c r="N7" s="761"/>
      <c r="O7" s="766" t="s">
        <v>11</v>
      </c>
      <c r="P7" s="769" t="s">
        <v>12</v>
      </c>
      <c r="Q7" s="772" t="s">
        <v>10</v>
      </c>
      <c r="R7" s="761"/>
      <c r="S7" s="769" t="s">
        <v>12</v>
      </c>
      <c r="T7" s="773" t="s">
        <v>13</v>
      </c>
      <c r="U7" s="786" t="s">
        <v>14</v>
      </c>
      <c r="V7" s="789" t="s">
        <v>15</v>
      </c>
      <c r="W7" s="814" t="s">
        <v>10</v>
      </c>
      <c r="X7" s="810"/>
      <c r="Y7" s="766" t="s">
        <v>11</v>
      </c>
      <c r="Z7" s="769" t="s">
        <v>12</v>
      </c>
      <c r="AA7" s="809" t="s">
        <v>10</v>
      </c>
      <c r="AB7" s="810"/>
      <c r="AC7" s="769" t="s">
        <v>12</v>
      </c>
      <c r="AD7" s="773" t="s">
        <v>13</v>
      </c>
      <c r="AE7" s="807" t="s">
        <v>14</v>
      </c>
      <c r="AF7" s="789" t="s">
        <v>15</v>
      </c>
      <c r="AG7" s="809" t="s">
        <v>10</v>
      </c>
      <c r="AH7" s="810"/>
      <c r="AI7" s="766" t="s">
        <v>11</v>
      </c>
      <c r="AJ7" s="825" t="s">
        <v>12</v>
      </c>
      <c r="AK7" s="809" t="s">
        <v>10</v>
      </c>
      <c r="AL7" s="810"/>
      <c r="AM7" s="769" t="s">
        <v>12</v>
      </c>
      <c r="AN7" s="828" t="s">
        <v>16</v>
      </c>
      <c r="AO7" s="830" t="s">
        <v>14</v>
      </c>
      <c r="AP7" s="796"/>
      <c r="AQ7" s="797"/>
      <c r="AR7" s="797"/>
      <c r="AS7" s="798"/>
      <c r="AT7" s="803"/>
      <c r="AV7" s="806">
        <f>+C5</f>
        <v>43867</v>
      </c>
      <c r="AW7" s="806">
        <f>+M5</f>
        <v>43868</v>
      </c>
      <c r="AX7" s="806">
        <f>+W5</f>
        <v>43869</v>
      </c>
      <c r="AY7" s="832">
        <f>+AG5</f>
        <v>43870</v>
      </c>
      <c r="AZ7" s="806">
        <f>+C27</f>
        <v>43871</v>
      </c>
      <c r="BA7" s="806">
        <f>+M27</f>
        <v>43872</v>
      </c>
      <c r="BB7" s="806">
        <f>+W27</f>
        <v>43873</v>
      </c>
      <c r="BC7" s="14"/>
      <c r="BD7" s="804"/>
      <c r="BE7" s="805"/>
      <c r="BF7" s="777"/>
    </row>
    <row r="8" spans="1:60" ht="15.2" customHeight="1">
      <c r="B8" s="742"/>
      <c r="C8" s="782"/>
      <c r="D8" s="783"/>
      <c r="E8" s="767"/>
      <c r="F8" s="770"/>
      <c r="G8" s="763"/>
      <c r="H8" s="763"/>
      <c r="I8" s="770"/>
      <c r="J8" s="774"/>
      <c r="K8" s="787"/>
      <c r="L8" s="789"/>
      <c r="M8" s="762"/>
      <c r="N8" s="763"/>
      <c r="O8" s="767"/>
      <c r="P8" s="770"/>
      <c r="Q8" s="763"/>
      <c r="R8" s="763"/>
      <c r="S8" s="770"/>
      <c r="T8" s="774"/>
      <c r="U8" s="787"/>
      <c r="V8" s="789"/>
      <c r="W8" s="815"/>
      <c r="X8" s="810"/>
      <c r="Y8" s="767"/>
      <c r="Z8" s="770"/>
      <c r="AA8" s="811"/>
      <c r="AB8" s="810"/>
      <c r="AC8" s="770"/>
      <c r="AD8" s="774"/>
      <c r="AE8" s="807"/>
      <c r="AF8" s="789"/>
      <c r="AG8" s="811"/>
      <c r="AH8" s="810"/>
      <c r="AI8" s="767"/>
      <c r="AJ8" s="826"/>
      <c r="AK8" s="811"/>
      <c r="AL8" s="810"/>
      <c r="AM8" s="770"/>
      <c r="AN8" s="828"/>
      <c r="AO8" s="830"/>
      <c r="AP8" s="796"/>
      <c r="AQ8" s="797"/>
      <c r="AR8" s="797"/>
      <c r="AS8" s="798"/>
      <c r="AT8" s="803"/>
      <c r="AV8" s="806"/>
      <c r="AW8" s="806"/>
      <c r="AX8" s="806"/>
      <c r="AY8" s="832"/>
      <c r="AZ8" s="806"/>
      <c r="BA8" s="806"/>
      <c r="BB8" s="806"/>
      <c r="BC8" s="14"/>
      <c r="BD8" s="804"/>
      <c r="BE8" s="805"/>
      <c r="BF8" s="777"/>
    </row>
    <row r="9" spans="1:60" ht="15.2" customHeight="1">
      <c r="B9" s="742"/>
      <c r="C9" s="782"/>
      <c r="D9" s="783"/>
      <c r="E9" s="767"/>
      <c r="F9" s="770"/>
      <c r="G9" s="763"/>
      <c r="H9" s="763"/>
      <c r="I9" s="770"/>
      <c r="J9" s="774"/>
      <c r="K9" s="787"/>
      <c r="L9" s="789"/>
      <c r="M9" s="762"/>
      <c r="N9" s="763"/>
      <c r="O9" s="767"/>
      <c r="P9" s="770"/>
      <c r="Q9" s="763"/>
      <c r="R9" s="763"/>
      <c r="S9" s="770"/>
      <c r="T9" s="774"/>
      <c r="U9" s="787"/>
      <c r="V9" s="789"/>
      <c r="W9" s="815"/>
      <c r="X9" s="810"/>
      <c r="Y9" s="767"/>
      <c r="Z9" s="770"/>
      <c r="AA9" s="811"/>
      <c r="AB9" s="810"/>
      <c r="AC9" s="770"/>
      <c r="AD9" s="774"/>
      <c r="AE9" s="807"/>
      <c r="AF9" s="789"/>
      <c r="AG9" s="811"/>
      <c r="AH9" s="810"/>
      <c r="AI9" s="767"/>
      <c r="AJ9" s="826"/>
      <c r="AK9" s="811"/>
      <c r="AL9" s="810"/>
      <c r="AM9" s="770"/>
      <c r="AN9" s="828"/>
      <c r="AO9" s="830"/>
      <c r="AP9" s="796"/>
      <c r="AQ9" s="797"/>
      <c r="AR9" s="797"/>
      <c r="AS9" s="798"/>
      <c r="AT9" s="803"/>
      <c r="AV9" s="806"/>
      <c r="AW9" s="806"/>
      <c r="AX9" s="806"/>
      <c r="AY9" s="832"/>
      <c r="AZ9" s="806"/>
      <c r="BA9" s="806"/>
      <c r="BB9" s="806"/>
      <c r="BC9" s="14"/>
      <c r="BD9" s="804"/>
      <c r="BE9" s="805"/>
      <c r="BF9" s="777"/>
    </row>
    <row r="10" spans="1:60" ht="15.2" customHeight="1" thickBot="1">
      <c r="B10" s="743"/>
      <c r="C10" s="784"/>
      <c r="D10" s="785"/>
      <c r="E10" s="768"/>
      <c r="F10" s="771"/>
      <c r="G10" s="765"/>
      <c r="H10" s="765"/>
      <c r="I10" s="771"/>
      <c r="J10" s="775"/>
      <c r="K10" s="788"/>
      <c r="L10" s="790"/>
      <c r="M10" s="764"/>
      <c r="N10" s="765"/>
      <c r="O10" s="768"/>
      <c r="P10" s="771"/>
      <c r="Q10" s="765"/>
      <c r="R10" s="765"/>
      <c r="S10" s="771"/>
      <c r="T10" s="775"/>
      <c r="U10" s="788"/>
      <c r="V10" s="790"/>
      <c r="W10" s="816"/>
      <c r="X10" s="813"/>
      <c r="Y10" s="768"/>
      <c r="Z10" s="771"/>
      <c r="AA10" s="812"/>
      <c r="AB10" s="813"/>
      <c r="AC10" s="771"/>
      <c r="AD10" s="775"/>
      <c r="AE10" s="808"/>
      <c r="AF10" s="790"/>
      <c r="AG10" s="812"/>
      <c r="AH10" s="813"/>
      <c r="AI10" s="768"/>
      <c r="AJ10" s="827"/>
      <c r="AK10" s="812"/>
      <c r="AL10" s="813"/>
      <c r="AM10" s="771"/>
      <c r="AN10" s="829"/>
      <c r="AO10" s="831"/>
      <c r="AP10" s="799"/>
      <c r="AQ10" s="800"/>
      <c r="AR10" s="800"/>
      <c r="AS10" s="801"/>
      <c r="AT10" s="15">
        <v>4</v>
      </c>
      <c r="AV10" s="806"/>
      <c r="AW10" s="806"/>
      <c r="AX10" s="806"/>
      <c r="AY10" s="832"/>
      <c r="AZ10" s="806"/>
      <c r="BA10" s="806"/>
      <c r="BB10" s="806"/>
      <c r="BC10" s="14"/>
      <c r="BD10" s="804"/>
      <c r="BE10" s="805"/>
      <c r="BF10" s="778"/>
    </row>
    <row r="11" spans="1:60" ht="14.1" customHeight="1">
      <c r="A11" s="1">
        <v>1</v>
      </c>
      <c r="B11" s="16" t="str">
        <f t="shared" ref="B11:B24" si="0">+B73</f>
        <v>Eduardo Segura D.</v>
      </c>
      <c r="C11" s="17">
        <v>7</v>
      </c>
      <c r="D11" s="18">
        <v>16</v>
      </c>
      <c r="E11" s="19">
        <v>1</v>
      </c>
      <c r="F11" s="20">
        <f t="shared" ref="F11:F21" si="1">+D11-C11-E11</f>
        <v>8</v>
      </c>
      <c r="G11" s="21"/>
      <c r="H11" s="22"/>
      <c r="I11" s="20">
        <f t="shared" ref="I11:I21" si="2">+H11-G11</f>
        <v>0</v>
      </c>
      <c r="J11" s="23"/>
      <c r="K11" s="24">
        <f t="shared" ref="K11:K21" si="3">+I11+F11-L11</f>
        <v>8</v>
      </c>
      <c r="L11" s="25">
        <f t="shared" ref="L11:L25" si="4">IF(C11&gt;0,(F11+I11)+IF(K$5&gt;0,F11,-8),0)+IF(U$5&gt;0,I11,0)</f>
        <v>0</v>
      </c>
      <c r="M11" s="26">
        <v>7</v>
      </c>
      <c r="N11" s="21">
        <v>16</v>
      </c>
      <c r="O11" s="23">
        <v>1</v>
      </c>
      <c r="P11" s="20">
        <f t="shared" ref="P11:P21" si="5">+N11-M11-O11</f>
        <v>8</v>
      </c>
      <c r="Q11" s="22"/>
      <c r="R11" s="22"/>
      <c r="S11" s="20">
        <f t="shared" ref="S11:S21" si="6">+R11-Q11</f>
        <v>0</v>
      </c>
      <c r="T11" s="23"/>
      <c r="U11" s="24">
        <f t="shared" ref="U11:U21" si="7">+S11+P11-V11</f>
        <v>8</v>
      </c>
      <c r="V11" s="25">
        <f t="shared" ref="V11:V21" si="8">IF(M11&gt;0,(P11+S11)+IF(U$5&gt;0,P11,-8),0)+IF(AE$5&gt;0,S11,0)</f>
        <v>0</v>
      </c>
      <c r="W11" s="26">
        <v>7</v>
      </c>
      <c r="X11" s="22">
        <v>16</v>
      </c>
      <c r="Y11" s="27">
        <v>1</v>
      </c>
      <c r="Z11" s="20">
        <f t="shared" ref="Z11:Z21" si="9">+X11-W11-Y11</f>
        <v>8</v>
      </c>
      <c r="AA11" s="22"/>
      <c r="AB11" s="28"/>
      <c r="AC11" s="20">
        <f t="shared" ref="AC11:AC21" si="10">+AB11-AA11</f>
        <v>0</v>
      </c>
      <c r="AD11" s="23"/>
      <c r="AE11" s="24">
        <f t="shared" ref="AE11:AE25" si="11">+AC11+Z11-IF(AE$5&gt;0,AF11/2,AF11)</f>
        <v>8</v>
      </c>
      <c r="AF11" s="25">
        <f>IF(W11&gt;0,IF(AE$5&gt;0,(Z11+AC11)*2,(Z11+AC11-8)),0)*IF(Z11&lt;9,IF(AE$5&gt;0,1,2),1)+IF(Z11&gt;8,AC11,0)</f>
        <v>0</v>
      </c>
      <c r="AG11" s="22">
        <v>8</v>
      </c>
      <c r="AH11" s="22">
        <v>16</v>
      </c>
      <c r="AI11" s="27">
        <v>1</v>
      </c>
      <c r="AJ11" s="29">
        <f t="shared" ref="AJ11:AJ25" si="12">+AH11-AG11-AI11</f>
        <v>7</v>
      </c>
      <c r="AK11" s="21"/>
      <c r="AL11" s="21"/>
      <c r="AM11" s="20">
        <f t="shared" ref="AM11:AM21" si="13">+AL11-AK11</f>
        <v>0</v>
      </c>
      <c r="AN11" s="30"/>
      <c r="AO11" s="31">
        <f t="shared" ref="AO11:AO21" si="14">(AJ11*2+AM11)</f>
        <v>14</v>
      </c>
      <c r="AP11" s="817">
        <f t="shared" ref="AP11:AP17" si="15">+L11+V11+AF11+AO11+L33+V33+AF33-AN11</f>
        <v>28</v>
      </c>
      <c r="AQ11" s="818"/>
      <c r="AR11" s="819">
        <f t="shared" ref="AR11:AR21" si="16">ROUND(BD11*AP11,1)</f>
        <v>127.3</v>
      </c>
      <c r="AS11" s="820"/>
      <c r="AT11" s="32">
        <f t="shared" ref="AT11:AT23" si="17">IF(AT33&gt;0,AT33*$AT$10,0)</f>
        <v>28</v>
      </c>
      <c r="AV11" s="33">
        <f t="shared" ref="AV11:AV21" si="18">+L11</f>
        <v>0</v>
      </c>
      <c r="AW11" s="33">
        <f t="shared" ref="AW11:AW21" si="19">+V11</f>
        <v>0</v>
      </c>
      <c r="AX11" s="33">
        <f t="shared" ref="AX11:AX21" si="20">+AF11</f>
        <v>0</v>
      </c>
      <c r="AY11" s="34">
        <f t="shared" ref="AY11:AY21" si="21">+AO11</f>
        <v>14</v>
      </c>
      <c r="AZ11" s="33">
        <f t="shared" ref="AZ11:AZ17" si="22">+L33</f>
        <v>0</v>
      </c>
      <c r="BA11" s="33">
        <f t="shared" ref="BA11:BA17" si="23">+V33</f>
        <v>0</v>
      </c>
      <c r="BB11" s="33">
        <f t="shared" ref="BB11:BB17" si="24">+AF33</f>
        <v>14</v>
      </c>
      <c r="BC11" s="35"/>
      <c r="BD11" s="36">
        <f t="shared" ref="BD11:BD23" si="25">+I73</f>
        <v>4.5464285714285708</v>
      </c>
      <c r="BE11" s="37">
        <f t="shared" ref="BE11:BE21" si="26">+BD11*AP11</f>
        <v>127.29999999999998</v>
      </c>
      <c r="BF11" s="38">
        <f t="shared" ref="BF11:BF21" si="27">+BD11*AY11</f>
        <v>63.649999999999991</v>
      </c>
    </row>
    <row r="12" spans="1:60" ht="14.1" customHeight="1">
      <c r="A12" s="1">
        <v>2</v>
      </c>
      <c r="B12" s="63" t="str">
        <f t="shared" si="0"/>
        <v>Cesar Mendez M.</v>
      </c>
      <c r="C12" s="17">
        <v>7</v>
      </c>
      <c r="D12" s="18">
        <v>16</v>
      </c>
      <c r="E12" s="19">
        <v>1</v>
      </c>
      <c r="F12" s="40">
        <f t="shared" si="1"/>
        <v>8</v>
      </c>
      <c r="G12" s="18"/>
      <c r="H12" s="18"/>
      <c r="I12" s="40">
        <f t="shared" si="2"/>
        <v>0</v>
      </c>
      <c r="J12" s="19"/>
      <c r="K12" s="41">
        <f t="shared" si="3"/>
        <v>8</v>
      </c>
      <c r="L12" s="25">
        <f t="shared" si="4"/>
        <v>0</v>
      </c>
      <c r="M12" s="629">
        <v>7</v>
      </c>
      <c r="N12" s="18">
        <v>19</v>
      </c>
      <c r="O12" s="19">
        <v>1</v>
      </c>
      <c r="P12" s="40">
        <f t="shared" si="5"/>
        <v>11</v>
      </c>
      <c r="Q12" s="43"/>
      <c r="R12" s="43"/>
      <c r="S12" s="40">
        <f t="shared" si="6"/>
        <v>0</v>
      </c>
      <c r="T12" s="19"/>
      <c r="U12" s="41">
        <f t="shared" si="7"/>
        <v>8</v>
      </c>
      <c r="V12" s="25">
        <f t="shared" si="8"/>
        <v>3</v>
      </c>
      <c r="W12" s="18">
        <v>10</v>
      </c>
      <c r="X12" s="18">
        <v>16</v>
      </c>
      <c r="Y12" s="19">
        <v>1</v>
      </c>
      <c r="Z12" s="40">
        <f t="shared" si="9"/>
        <v>5</v>
      </c>
      <c r="AA12" s="44">
        <v>18</v>
      </c>
      <c r="AB12" s="44">
        <v>21</v>
      </c>
      <c r="AC12" s="40">
        <f t="shared" si="10"/>
        <v>3</v>
      </c>
      <c r="AD12" s="19"/>
      <c r="AE12" s="41">
        <f t="shared" si="11"/>
        <v>8</v>
      </c>
      <c r="AF12" s="25">
        <f>IF(W12&gt;0,IF(AE$5&gt;0,(Z12+AC12)*2,(Z12+AC12-8)),0)*IF(Z12&lt;9,IF(AE$5&gt;0,1,2),1)+IF(Z12&gt;8,AC12,0)</f>
        <v>0</v>
      </c>
      <c r="AG12" s="45">
        <v>7</v>
      </c>
      <c r="AH12" s="18">
        <v>16</v>
      </c>
      <c r="AI12" s="19">
        <v>1</v>
      </c>
      <c r="AJ12" s="46">
        <f>+AH12-AG12-AI12</f>
        <v>8</v>
      </c>
      <c r="AK12" s="18"/>
      <c r="AL12" s="18"/>
      <c r="AM12" s="40">
        <f t="shared" si="13"/>
        <v>0</v>
      </c>
      <c r="AN12" s="47"/>
      <c r="AO12" s="48">
        <f t="shared" si="14"/>
        <v>16</v>
      </c>
      <c r="AP12" s="821">
        <f t="shared" si="15"/>
        <v>40</v>
      </c>
      <c r="AQ12" s="822"/>
      <c r="AR12" s="823">
        <f t="shared" si="16"/>
        <v>205.4</v>
      </c>
      <c r="AS12" s="824"/>
      <c r="AT12" s="49">
        <f t="shared" si="17"/>
        <v>28</v>
      </c>
      <c r="AV12" s="33">
        <f t="shared" si="18"/>
        <v>0</v>
      </c>
      <c r="AW12" s="33">
        <f t="shared" si="19"/>
        <v>3</v>
      </c>
      <c r="AX12" s="33">
        <f t="shared" si="20"/>
        <v>0</v>
      </c>
      <c r="AY12" s="34">
        <f t="shared" si="21"/>
        <v>16</v>
      </c>
      <c r="AZ12" s="33">
        <f t="shared" si="22"/>
        <v>4</v>
      </c>
      <c r="BA12" s="33">
        <f t="shared" si="23"/>
        <v>13</v>
      </c>
      <c r="BB12" s="33">
        <f t="shared" si="24"/>
        <v>4</v>
      </c>
      <c r="BC12" s="35"/>
      <c r="BD12" s="36">
        <f t="shared" si="25"/>
        <v>5.1339285714285712</v>
      </c>
      <c r="BE12" s="37">
        <f t="shared" si="26"/>
        <v>205.35714285714283</v>
      </c>
      <c r="BF12" s="38">
        <f t="shared" si="27"/>
        <v>82.142857142857139</v>
      </c>
    </row>
    <row r="13" spans="1:60" ht="14.1" customHeight="1">
      <c r="A13" s="1">
        <v>4</v>
      </c>
      <c r="B13" s="63" t="str">
        <f t="shared" si="0"/>
        <v>Juan Manrique V.</v>
      </c>
      <c r="C13" s="17">
        <v>7</v>
      </c>
      <c r="D13" s="18">
        <v>17</v>
      </c>
      <c r="E13" s="19">
        <v>1</v>
      </c>
      <c r="F13" s="40">
        <f t="shared" si="1"/>
        <v>9</v>
      </c>
      <c r="G13" s="18"/>
      <c r="H13" s="43"/>
      <c r="I13" s="40">
        <f t="shared" si="2"/>
        <v>0</v>
      </c>
      <c r="J13" s="19"/>
      <c r="K13" s="41">
        <f t="shared" si="3"/>
        <v>8</v>
      </c>
      <c r="L13" s="25">
        <f t="shared" si="4"/>
        <v>1</v>
      </c>
      <c r="M13" s="629">
        <v>7</v>
      </c>
      <c r="N13" s="18">
        <v>18</v>
      </c>
      <c r="O13" s="19">
        <v>1</v>
      </c>
      <c r="P13" s="40">
        <f t="shared" si="5"/>
        <v>10</v>
      </c>
      <c r="Q13" s="43"/>
      <c r="R13" s="43"/>
      <c r="S13" s="40">
        <f t="shared" si="6"/>
        <v>0</v>
      </c>
      <c r="T13" s="19"/>
      <c r="U13" s="41">
        <f t="shared" si="7"/>
        <v>8</v>
      </c>
      <c r="V13" s="25">
        <f t="shared" si="8"/>
        <v>2</v>
      </c>
      <c r="W13" s="18">
        <v>7</v>
      </c>
      <c r="X13" s="18">
        <v>16</v>
      </c>
      <c r="Y13" s="19">
        <v>1</v>
      </c>
      <c r="Z13" s="40">
        <f t="shared" si="9"/>
        <v>8</v>
      </c>
      <c r="AA13" s="43"/>
      <c r="AB13" s="28"/>
      <c r="AC13" s="40">
        <f t="shared" si="10"/>
        <v>0</v>
      </c>
      <c r="AD13" s="19"/>
      <c r="AE13" s="41">
        <f t="shared" si="11"/>
        <v>8</v>
      </c>
      <c r="AF13" s="25">
        <f>IF(W13&gt;0,IF(AE$5&gt;0,(Z13+AC13)*2,(Z13+AC13-8)),0)*IF(Z13&lt;9,IF(AE$5&gt;0,1,2),1)+IF(Z13&gt;8,AC13,0)</f>
        <v>0</v>
      </c>
      <c r="AG13" s="45"/>
      <c r="AH13" s="18"/>
      <c r="AI13" s="19"/>
      <c r="AJ13" s="46">
        <f t="shared" si="12"/>
        <v>0</v>
      </c>
      <c r="AK13" s="18"/>
      <c r="AL13" s="18"/>
      <c r="AM13" s="40">
        <f t="shared" si="13"/>
        <v>0</v>
      </c>
      <c r="AN13" s="47"/>
      <c r="AO13" s="48">
        <f t="shared" si="14"/>
        <v>0</v>
      </c>
      <c r="AP13" s="845">
        <f t="shared" si="15"/>
        <v>3</v>
      </c>
      <c r="AQ13" s="846"/>
      <c r="AR13" s="823">
        <f t="shared" si="16"/>
        <v>15.4</v>
      </c>
      <c r="AS13" s="824"/>
      <c r="AT13" s="49">
        <f t="shared" si="17"/>
        <v>24</v>
      </c>
      <c r="AV13" s="33">
        <f t="shared" si="18"/>
        <v>1</v>
      </c>
      <c r="AW13" s="33">
        <f t="shared" si="19"/>
        <v>2</v>
      </c>
      <c r="AX13" s="33">
        <f t="shared" si="20"/>
        <v>0</v>
      </c>
      <c r="AY13" s="34">
        <f t="shared" si="21"/>
        <v>0</v>
      </c>
      <c r="AZ13" s="33">
        <f t="shared" si="22"/>
        <v>1</v>
      </c>
      <c r="BA13" s="33">
        <f t="shared" si="23"/>
        <v>0</v>
      </c>
      <c r="BB13" s="33">
        <f t="shared" si="24"/>
        <v>-1</v>
      </c>
      <c r="BC13" s="35"/>
      <c r="BD13" s="36">
        <f t="shared" si="25"/>
        <v>5.1339285714285712</v>
      </c>
      <c r="BE13" s="60">
        <f t="shared" si="26"/>
        <v>15.401785714285714</v>
      </c>
      <c r="BF13" s="61">
        <f t="shared" si="27"/>
        <v>0</v>
      </c>
    </row>
    <row r="14" spans="1:60" s="69" customFormat="1" ht="14.1" customHeight="1">
      <c r="A14" s="62">
        <v>5</v>
      </c>
      <c r="B14" s="63" t="str">
        <f t="shared" si="0"/>
        <v xml:space="preserve"> Irving Huaringa B.</v>
      </c>
      <c r="C14" s="17">
        <v>7</v>
      </c>
      <c r="D14" s="18">
        <v>16</v>
      </c>
      <c r="E14" s="19">
        <v>1</v>
      </c>
      <c r="F14" s="40">
        <f t="shared" si="1"/>
        <v>8</v>
      </c>
      <c r="G14" s="18"/>
      <c r="H14" s="43"/>
      <c r="I14" s="40">
        <f t="shared" si="2"/>
        <v>0</v>
      </c>
      <c r="J14" s="19"/>
      <c r="K14" s="41">
        <f t="shared" si="3"/>
        <v>8</v>
      </c>
      <c r="L14" s="25">
        <f t="shared" si="4"/>
        <v>0</v>
      </c>
      <c r="M14" s="18">
        <v>7</v>
      </c>
      <c r="N14" s="18">
        <v>16</v>
      </c>
      <c r="O14" s="19">
        <v>1</v>
      </c>
      <c r="P14" s="40">
        <f t="shared" si="5"/>
        <v>8</v>
      </c>
      <c r="Q14" s="43"/>
      <c r="R14" s="43"/>
      <c r="S14" s="40">
        <f t="shared" si="6"/>
        <v>0</v>
      </c>
      <c r="T14" s="19"/>
      <c r="U14" s="41">
        <f t="shared" si="7"/>
        <v>8</v>
      </c>
      <c r="V14" s="25">
        <f t="shared" si="8"/>
        <v>0</v>
      </c>
      <c r="W14" s="18">
        <v>7</v>
      </c>
      <c r="X14" s="43">
        <v>16</v>
      </c>
      <c r="Y14" s="54">
        <v>1</v>
      </c>
      <c r="Z14" s="53">
        <f t="shared" si="9"/>
        <v>8</v>
      </c>
      <c r="AA14" s="64"/>
      <c r="AB14" s="28"/>
      <c r="AC14" s="40">
        <f t="shared" si="10"/>
        <v>0</v>
      </c>
      <c r="AD14" s="19"/>
      <c r="AE14" s="41">
        <f t="shared" si="11"/>
        <v>5</v>
      </c>
      <c r="AF14" s="25">
        <f>IF(W14&gt;0,IF(AE$5&gt;0,(Z14+AC14)*2,(Z14+AC14-5)),0)*IF(Z14&lt;6,IF(AE$5&gt;0,1,2),1)+IF(Z14&gt;5,AC14,0)</f>
        <v>3</v>
      </c>
      <c r="AG14" s="45"/>
      <c r="AH14" s="18"/>
      <c r="AI14" s="19"/>
      <c r="AJ14" s="46">
        <f t="shared" ref="AJ14:AJ20" si="28">+AH14-AG14-AI14</f>
        <v>0</v>
      </c>
      <c r="AK14" s="18"/>
      <c r="AL14" s="18"/>
      <c r="AM14" s="40">
        <f t="shared" ref="AM14:AM20" si="29">+AL14-AK14</f>
        <v>0</v>
      </c>
      <c r="AN14" s="65"/>
      <c r="AO14" s="48">
        <f t="shared" ref="AO14:AO20" si="30">(AJ14*2+AM14)</f>
        <v>0</v>
      </c>
      <c r="AP14" s="821">
        <f t="shared" si="15"/>
        <v>3</v>
      </c>
      <c r="AQ14" s="822"/>
      <c r="AR14" s="823">
        <f t="shared" ref="AR14:AR20" si="31">ROUND(BD14*AP14,1)</f>
        <v>15.4</v>
      </c>
      <c r="AS14" s="824"/>
      <c r="AT14" s="49">
        <f t="shared" si="17"/>
        <v>24</v>
      </c>
      <c r="AU14" s="7"/>
      <c r="AV14" s="33">
        <f t="shared" ref="AV14:AV20" si="32">+L14</f>
        <v>0</v>
      </c>
      <c r="AW14" s="33">
        <f t="shared" ref="AW14:AW20" si="33">+V14</f>
        <v>0</v>
      </c>
      <c r="AX14" s="33">
        <f t="shared" ref="AX14:AX20" si="34">+AF14</f>
        <v>3</v>
      </c>
      <c r="AY14" s="34">
        <f t="shared" ref="AY14:AY20" si="35">+AO14</f>
        <v>0</v>
      </c>
      <c r="AZ14" s="33">
        <f t="shared" si="22"/>
        <v>0</v>
      </c>
      <c r="BA14" s="33">
        <f t="shared" si="23"/>
        <v>0</v>
      </c>
      <c r="BB14" s="33">
        <f t="shared" si="24"/>
        <v>0</v>
      </c>
      <c r="BC14" s="66"/>
      <c r="BD14" s="36">
        <f t="shared" si="25"/>
        <v>5.1339285714285712</v>
      </c>
      <c r="BE14" s="67">
        <f t="shared" ref="BE14:BE20" si="36">+BD14*AP14</f>
        <v>15.401785714285714</v>
      </c>
      <c r="BF14" s="68">
        <f t="shared" ref="BF14:BF20" si="37">+BD14*AY14</f>
        <v>0</v>
      </c>
    </row>
    <row r="15" spans="1:60" ht="14.1" customHeight="1">
      <c r="A15" s="1">
        <v>12</v>
      </c>
      <c r="B15" s="39" t="str">
        <f t="shared" si="0"/>
        <v>Pier Alejos A.</v>
      </c>
      <c r="C15" s="56">
        <v>7</v>
      </c>
      <c r="D15" s="43">
        <v>17</v>
      </c>
      <c r="E15" s="54">
        <v>1</v>
      </c>
      <c r="F15" s="53">
        <f t="shared" ref="F15:F20" si="38">+D15-C15-E15</f>
        <v>9</v>
      </c>
      <c r="G15" s="43"/>
      <c r="H15" s="117"/>
      <c r="I15" s="53">
        <f t="shared" ref="I15:I20" si="39">+H15-G15</f>
        <v>0</v>
      </c>
      <c r="J15" s="54"/>
      <c r="K15" s="55">
        <f t="shared" ref="K15:K20" si="40">+I15+F15-L15</f>
        <v>8</v>
      </c>
      <c r="L15" s="135">
        <f t="shared" ref="L15:L20" si="41">IF(C15&gt;0,(F15+I15)+IF(K$5&gt;0,F15,-8),0)+IF(U$5&gt;0,I15,0)</f>
        <v>1</v>
      </c>
      <c r="M15" s="136">
        <v>7</v>
      </c>
      <c r="N15" s="43">
        <v>17</v>
      </c>
      <c r="O15" s="54">
        <v>1</v>
      </c>
      <c r="P15" s="53">
        <f t="shared" ref="P15:P20" si="42">+N15-M15-O15</f>
        <v>9</v>
      </c>
      <c r="Q15" s="43"/>
      <c r="R15" s="43"/>
      <c r="S15" s="53">
        <f t="shared" ref="S15:S20" si="43">+R15-Q15</f>
        <v>0</v>
      </c>
      <c r="T15" s="54"/>
      <c r="U15" s="55">
        <f t="shared" ref="U15:U20" si="44">+S15+P15-V15</f>
        <v>8</v>
      </c>
      <c r="V15" s="135">
        <f t="shared" ref="V15:V20" si="45">IF(M15&gt;0,(P15+S15)+IF(U$5&gt;0,P15,-8),0)+IF(AE$5&gt;0,S15,0)</f>
        <v>1</v>
      </c>
      <c r="W15" s="43">
        <v>7</v>
      </c>
      <c r="X15" s="43">
        <v>16</v>
      </c>
      <c r="Y15" s="54">
        <v>1</v>
      </c>
      <c r="Z15" s="53">
        <f t="shared" ref="Z15:Z20" si="46">+X15-W15-Y15</f>
        <v>8</v>
      </c>
      <c r="AA15" s="44"/>
      <c r="AB15" s="28"/>
      <c r="AC15" s="53">
        <f t="shared" ref="AC15:AC20" si="47">+AB15-AA15</f>
        <v>0</v>
      </c>
      <c r="AD15" s="54"/>
      <c r="AE15" s="137">
        <f>+AC15+Z15-IF(AE$5&gt;0,AF15/2,AF15)</f>
        <v>8</v>
      </c>
      <c r="AF15" s="135">
        <f>IF(W15&gt;0,IF(AE$5&gt;0,(Z15+AC15)*2,(Z15+AC15-8)),0)*IF(Z15&lt;9,IF(AE$5&gt;0,1,2),1)+IF(Z15&gt;8,AC15,0)</f>
        <v>0</v>
      </c>
      <c r="AG15" s="138"/>
      <c r="AH15" s="43"/>
      <c r="AI15" s="54"/>
      <c r="AJ15" s="139">
        <f t="shared" si="28"/>
        <v>0</v>
      </c>
      <c r="AK15" s="43"/>
      <c r="AL15" s="43"/>
      <c r="AM15" s="53">
        <f t="shared" si="29"/>
        <v>0</v>
      </c>
      <c r="AN15" s="57"/>
      <c r="AO15" s="140">
        <f t="shared" si="30"/>
        <v>0</v>
      </c>
      <c r="AP15" s="821">
        <f>+L15+V15+AF15+AO15+L37+V37+AF37-AN15</f>
        <v>4</v>
      </c>
      <c r="AQ15" s="822"/>
      <c r="AR15" s="823">
        <f t="shared" si="31"/>
        <v>15.5</v>
      </c>
      <c r="AS15" s="824"/>
      <c r="AT15" s="49">
        <f t="shared" si="17"/>
        <v>24</v>
      </c>
      <c r="AV15" s="33">
        <f t="shared" si="32"/>
        <v>1</v>
      </c>
      <c r="AW15" s="33">
        <f t="shared" si="33"/>
        <v>1</v>
      </c>
      <c r="AX15" s="33">
        <f t="shared" si="34"/>
        <v>0</v>
      </c>
      <c r="AY15" s="34">
        <f t="shared" si="35"/>
        <v>0</v>
      </c>
      <c r="AZ15" s="33">
        <f t="shared" si="22"/>
        <v>0</v>
      </c>
      <c r="BA15" s="33">
        <f t="shared" si="23"/>
        <v>0</v>
      </c>
      <c r="BB15" s="33">
        <f t="shared" si="24"/>
        <v>2</v>
      </c>
      <c r="BC15" s="35"/>
      <c r="BD15" s="36">
        <f t="shared" si="25"/>
        <v>3.8750035714285715</v>
      </c>
      <c r="BE15" s="37">
        <f t="shared" si="36"/>
        <v>15.500014285714286</v>
      </c>
      <c r="BF15" s="38">
        <f t="shared" si="37"/>
        <v>0</v>
      </c>
      <c r="BH15" s="141"/>
    </row>
    <row r="16" spans="1:60" s="69" customFormat="1" ht="14.1" customHeight="1">
      <c r="A16" s="62">
        <v>6</v>
      </c>
      <c r="B16" s="630" t="str">
        <f t="shared" si="0"/>
        <v>Jose Cortez P.</v>
      </c>
      <c r="C16" s="92">
        <v>7</v>
      </c>
      <c r="D16" s="92">
        <v>17</v>
      </c>
      <c r="E16" s="92">
        <v>1</v>
      </c>
      <c r="F16" s="93">
        <f t="shared" si="38"/>
        <v>9</v>
      </c>
      <c r="G16" s="43"/>
      <c r="H16" s="43"/>
      <c r="I16" s="93">
        <f t="shared" si="39"/>
        <v>0</v>
      </c>
      <c r="J16" s="92"/>
      <c r="K16" s="41">
        <f t="shared" si="40"/>
        <v>8</v>
      </c>
      <c r="L16" s="94">
        <f t="shared" si="41"/>
        <v>1</v>
      </c>
      <c r="M16" s="628">
        <v>11</v>
      </c>
      <c r="N16" s="92">
        <v>18</v>
      </c>
      <c r="O16" s="92">
        <v>1</v>
      </c>
      <c r="P16" s="93">
        <f t="shared" si="42"/>
        <v>6</v>
      </c>
      <c r="Q16" s="43"/>
      <c r="R16" s="43"/>
      <c r="S16" s="93">
        <f t="shared" si="43"/>
        <v>0</v>
      </c>
      <c r="T16" s="19"/>
      <c r="U16" s="41">
        <f t="shared" si="44"/>
        <v>8</v>
      </c>
      <c r="V16" s="94">
        <f t="shared" si="45"/>
        <v>-2</v>
      </c>
      <c r="W16" s="92">
        <v>7</v>
      </c>
      <c r="X16" s="92">
        <v>16</v>
      </c>
      <c r="Y16" s="92">
        <v>1</v>
      </c>
      <c r="Z16" s="93">
        <f t="shared" si="46"/>
        <v>8</v>
      </c>
      <c r="AA16" s="684">
        <v>18</v>
      </c>
      <c r="AB16" s="684">
        <v>20</v>
      </c>
      <c r="AC16" s="683">
        <f>+AB16-AA16-1</f>
        <v>1</v>
      </c>
      <c r="AD16" s="92"/>
      <c r="AE16" s="41">
        <f t="shared" si="11"/>
        <v>7</v>
      </c>
      <c r="AF16" s="94">
        <f t="shared" ref="AF16:AF21" si="48">IF(W16&gt;0,IF(AE$5&gt;0,(Z16+AC16)*2,(Z16+AC16-8)),0)*IF(Z16&lt;9,IF(AE$5&gt;0,1,2),1)+IF(Z16&gt;8,AC16,0)</f>
        <v>2</v>
      </c>
      <c r="AG16" s="92"/>
      <c r="AH16" s="92"/>
      <c r="AI16" s="92"/>
      <c r="AJ16" s="46">
        <f t="shared" si="28"/>
        <v>0</v>
      </c>
      <c r="AK16" s="92"/>
      <c r="AL16" s="92"/>
      <c r="AM16" s="93">
        <f t="shared" si="29"/>
        <v>0</v>
      </c>
      <c r="AN16" s="96">
        <v>2</v>
      </c>
      <c r="AO16" s="97">
        <f t="shared" si="30"/>
        <v>0</v>
      </c>
      <c r="AP16" s="833">
        <f t="shared" si="15"/>
        <v>-1</v>
      </c>
      <c r="AQ16" s="834"/>
      <c r="AR16" s="835">
        <f t="shared" si="31"/>
        <v>-3.9</v>
      </c>
      <c r="AS16" s="836"/>
      <c r="AT16" s="99">
        <f t="shared" si="17"/>
        <v>24</v>
      </c>
      <c r="AV16" s="100">
        <f t="shared" si="32"/>
        <v>1</v>
      </c>
      <c r="AW16" s="100">
        <f t="shared" si="33"/>
        <v>-2</v>
      </c>
      <c r="AX16" s="100">
        <f t="shared" si="34"/>
        <v>2</v>
      </c>
      <c r="AY16" s="101">
        <f t="shared" si="35"/>
        <v>0</v>
      </c>
      <c r="AZ16" s="100">
        <f t="shared" si="22"/>
        <v>0</v>
      </c>
      <c r="BA16" s="100">
        <f t="shared" si="23"/>
        <v>0</v>
      </c>
      <c r="BB16" s="100">
        <f t="shared" si="24"/>
        <v>0</v>
      </c>
      <c r="BC16" s="35"/>
      <c r="BD16" s="36">
        <f t="shared" si="25"/>
        <v>3.8750035714285715</v>
      </c>
      <c r="BE16" s="67">
        <f t="shared" si="36"/>
        <v>-3.8750035714285715</v>
      </c>
      <c r="BF16" s="68">
        <f t="shared" si="37"/>
        <v>0</v>
      </c>
    </row>
    <row r="17" spans="1:60" s="69" customFormat="1" ht="14.1" customHeight="1">
      <c r="A17" s="62">
        <v>7</v>
      </c>
      <c r="B17" s="91" t="str">
        <f t="shared" si="0"/>
        <v>Rafael Armas R.</v>
      </c>
      <c r="C17" s="102">
        <v>7</v>
      </c>
      <c r="D17" s="102">
        <v>16</v>
      </c>
      <c r="E17" s="102">
        <v>1</v>
      </c>
      <c r="F17" s="93">
        <f t="shared" si="38"/>
        <v>8</v>
      </c>
      <c r="G17" s="43"/>
      <c r="H17" s="43"/>
      <c r="I17" s="93">
        <f t="shared" si="39"/>
        <v>0</v>
      </c>
      <c r="J17" s="92"/>
      <c r="K17" s="41">
        <f t="shared" si="40"/>
        <v>8</v>
      </c>
      <c r="L17" s="94">
        <f t="shared" si="41"/>
        <v>0</v>
      </c>
      <c r="M17" s="628">
        <v>7</v>
      </c>
      <c r="N17" s="92">
        <v>15</v>
      </c>
      <c r="O17" s="92">
        <v>1</v>
      </c>
      <c r="P17" s="93">
        <f t="shared" si="42"/>
        <v>7</v>
      </c>
      <c r="Q17" s="43"/>
      <c r="R17" s="43"/>
      <c r="S17" s="93">
        <f t="shared" si="43"/>
        <v>0</v>
      </c>
      <c r="T17" s="92"/>
      <c r="U17" s="41">
        <f t="shared" si="44"/>
        <v>8</v>
      </c>
      <c r="V17" s="94">
        <f t="shared" si="45"/>
        <v>-1</v>
      </c>
      <c r="W17" s="92">
        <v>7</v>
      </c>
      <c r="X17" s="92">
        <v>16</v>
      </c>
      <c r="Y17" s="92">
        <v>1</v>
      </c>
      <c r="Z17" s="93">
        <f t="shared" si="46"/>
        <v>8</v>
      </c>
      <c r="AA17" s="92"/>
      <c r="AB17" s="28"/>
      <c r="AC17" s="93">
        <f t="shared" si="47"/>
        <v>0</v>
      </c>
      <c r="AD17" s="92"/>
      <c r="AE17" s="41">
        <f t="shared" si="11"/>
        <v>8</v>
      </c>
      <c r="AF17" s="94">
        <f t="shared" si="48"/>
        <v>0</v>
      </c>
      <c r="AG17" s="92"/>
      <c r="AH17" s="92"/>
      <c r="AI17" s="92"/>
      <c r="AJ17" s="46">
        <f t="shared" si="28"/>
        <v>0</v>
      </c>
      <c r="AK17" s="92"/>
      <c r="AL17" s="92"/>
      <c r="AM17" s="93">
        <f t="shared" si="29"/>
        <v>0</v>
      </c>
      <c r="AN17" s="96"/>
      <c r="AO17" s="97">
        <f t="shared" si="30"/>
        <v>0</v>
      </c>
      <c r="AP17" s="837">
        <f t="shared" si="15"/>
        <v>14</v>
      </c>
      <c r="AQ17" s="838"/>
      <c r="AR17" s="839">
        <f t="shared" si="31"/>
        <v>54.3</v>
      </c>
      <c r="AS17" s="840"/>
      <c r="AT17" s="103">
        <f t="shared" si="17"/>
        <v>24</v>
      </c>
      <c r="AV17" s="100">
        <f t="shared" si="32"/>
        <v>0</v>
      </c>
      <c r="AW17" s="100">
        <f t="shared" si="33"/>
        <v>-1</v>
      </c>
      <c r="AX17" s="100">
        <f t="shared" si="34"/>
        <v>0</v>
      </c>
      <c r="AY17" s="101">
        <f t="shared" si="35"/>
        <v>0</v>
      </c>
      <c r="AZ17" s="100">
        <f t="shared" si="22"/>
        <v>4</v>
      </c>
      <c r="BA17" s="100">
        <f t="shared" si="23"/>
        <v>14</v>
      </c>
      <c r="BB17" s="100">
        <f t="shared" si="24"/>
        <v>-3</v>
      </c>
      <c r="BC17" s="66"/>
      <c r="BD17" s="36">
        <f t="shared" si="25"/>
        <v>3.8750035714285715</v>
      </c>
      <c r="BE17" s="67">
        <f t="shared" si="36"/>
        <v>54.250050000000002</v>
      </c>
      <c r="BF17" s="68">
        <f t="shared" si="37"/>
        <v>0</v>
      </c>
    </row>
    <row r="18" spans="1:60" s="116" customFormat="1" ht="14.1" customHeight="1">
      <c r="A18" s="62">
        <v>8</v>
      </c>
      <c r="B18" s="91" t="str">
        <f t="shared" si="0"/>
        <v>Jose Ochoa I.</v>
      </c>
      <c r="C18" s="102">
        <v>7</v>
      </c>
      <c r="D18" s="102">
        <v>16</v>
      </c>
      <c r="E18" s="102">
        <v>1</v>
      </c>
      <c r="F18" s="104">
        <f t="shared" si="38"/>
        <v>8</v>
      </c>
      <c r="G18" s="51"/>
      <c r="H18" s="43"/>
      <c r="I18" s="104">
        <f t="shared" si="39"/>
        <v>0</v>
      </c>
      <c r="J18" s="105"/>
      <c r="K18" s="106">
        <f t="shared" si="40"/>
        <v>8</v>
      </c>
      <c r="L18" s="107">
        <f t="shared" si="41"/>
        <v>0</v>
      </c>
      <c r="M18" s="108">
        <v>7</v>
      </c>
      <c r="N18" s="105">
        <v>16</v>
      </c>
      <c r="O18" s="105">
        <v>1</v>
      </c>
      <c r="P18" s="104">
        <f t="shared" si="42"/>
        <v>8</v>
      </c>
      <c r="Q18" s="43"/>
      <c r="R18" s="43"/>
      <c r="S18" s="104">
        <f t="shared" si="43"/>
        <v>0</v>
      </c>
      <c r="T18" s="105"/>
      <c r="U18" s="106">
        <f t="shared" si="44"/>
        <v>8</v>
      </c>
      <c r="V18" s="107">
        <f t="shared" si="45"/>
        <v>0</v>
      </c>
      <c r="W18" s="105">
        <v>7</v>
      </c>
      <c r="X18" s="105">
        <v>12</v>
      </c>
      <c r="Y18" s="105">
        <v>0</v>
      </c>
      <c r="Z18" s="104">
        <f t="shared" si="46"/>
        <v>5</v>
      </c>
      <c r="AA18" s="105"/>
      <c r="AB18" s="109">
        <v>3</v>
      </c>
      <c r="AC18" s="104">
        <f t="shared" si="47"/>
        <v>3</v>
      </c>
      <c r="AD18" s="105"/>
      <c r="AE18" s="106">
        <f t="shared" si="11"/>
        <v>8</v>
      </c>
      <c r="AF18" s="107">
        <f t="shared" si="48"/>
        <v>0</v>
      </c>
      <c r="AG18" s="105"/>
      <c r="AH18" s="105"/>
      <c r="AI18" s="105"/>
      <c r="AJ18" s="110">
        <f t="shared" si="28"/>
        <v>0</v>
      </c>
      <c r="AK18" s="105"/>
      <c r="AL18" s="105"/>
      <c r="AM18" s="104">
        <f t="shared" si="29"/>
        <v>0</v>
      </c>
      <c r="AN18" s="111"/>
      <c r="AO18" s="112">
        <f t="shared" si="30"/>
        <v>0</v>
      </c>
      <c r="AP18" s="841">
        <f t="shared" ref="AP18:AP25" si="49">+L18+V18+AF18+AO18+L40+V40+AF40-AN18</f>
        <v>0</v>
      </c>
      <c r="AQ18" s="842"/>
      <c r="AR18" s="843">
        <f t="shared" si="31"/>
        <v>0</v>
      </c>
      <c r="AS18" s="844"/>
      <c r="AT18" s="113">
        <f t="shared" si="17"/>
        <v>24</v>
      </c>
      <c r="AU18" s="69"/>
      <c r="AV18" s="114">
        <f t="shared" si="32"/>
        <v>0</v>
      </c>
      <c r="AW18" s="114">
        <f t="shared" si="33"/>
        <v>0</v>
      </c>
      <c r="AX18" s="114">
        <f t="shared" si="34"/>
        <v>0</v>
      </c>
      <c r="AY18" s="114">
        <f t="shared" si="35"/>
        <v>0</v>
      </c>
      <c r="AZ18" s="114">
        <f>+L41</f>
        <v>0</v>
      </c>
      <c r="BA18" s="114">
        <f>+V41</f>
        <v>0</v>
      </c>
      <c r="BB18" s="114">
        <f>+AF41</f>
        <v>0</v>
      </c>
      <c r="BC18" s="35"/>
      <c r="BD18" s="115">
        <f t="shared" si="25"/>
        <v>3.8750035714285715</v>
      </c>
      <c r="BE18" s="115">
        <f t="shared" si="36"/>
        <v>0</v>
      </c>
      <c r="BF18" s="115">
        <f t="shared" si="37"/>
        <v>0</v>
      </c>
    </row>
    <row r="19" spans="1:60" s="116" customFormat="1" ht="14.1" customHeight="1">
      <c r="A19" s="62">
        <v>9</v>
      </c>
      <c r="B19" s="91" t="str">
        <f t="shared" si="0"/>
        <v>Jairo Mirabal</v>
      </c>
      <c r="C19" s="102">
        <v>7</v>
      </c>
      <c r="D19" s="102">
        <v>17</v>
      </c>
      <c r="E19" s="102">
        <v>1</v>
      </c>
      <c r="F19" s="104">
        <f t="shared" si="38"/>
        <v>9</v>
      </c>
      <c r="G19" s="51"/>
      <c r="H19" s="43"/>
      <c r="I19" s="104">
        <f t="shared" si="39"/>
        <v>0</v>
      </c>
      <c r="J19" s="105"/>
      <c r="K19" s="106">
        <f t="shared" si="40"/>
        <v>8</v>
      </c>
      <c r="L19" s="107">
        <f t="shared" si="41"/>
        <v>1</v>
      </c>
      <c r="M19" s="108">
        <v>7</v>
      </c>
      <c r="N19" s="105">
        <v>16</v>
      </c>
      <c r="O19" s="105">
        <v>1</v>
      </c>
      <c r="P19" s="104">
        <f t="shared" si="42"/>
        <v>8</v>
      </c>
      <c r="Q19" s="43"/>
      <c r="R19" s="117"/>
      <c r="S19" s="104">
        <f t="shared" si="43"/>
        <v>0</v>
      </c>
      <c r="T19" s="105"/>
      <c r="U19" s="106">
        <f t="shared" si="44"/>
        <v>8</v>
      </c>
      <c r="V19" s="107">
        <f t="shared" si="45"/>
        <v>0</v>
      </c>
      <c r="W19" s="105">
        <v>7</v>
      </c>
      <c r="X19" s="105">
        <v>16</v>
      </c>
      <c r="Y19" s="105">
        <v>1</v>
      </c>
      <c r="Z19" s="104">
        <f t="shared" si="46"/>
        <v>8</v>
      </c>
      <c r="AA19" s="105"/>
      <c r="AB19" s="28"/>
      <c r="AC19" s="104">
        <f t="shared" si="47"/>
        <v>0</v>
      </c>
      <c r="AD19" s="105"/>
      <c r="AE19" s="106">
        <f t="shared" si="11"/>
        <v>8</v>
      </c>
      <c r="AF19" s="107">
        <f t="shared" si="48"/>
        <v>0</v>
      </c>
      <c r="AG19" s="105">
        <v>7</v>
      </c>
      <c r="AH19" s="105">
        <v>16</v>
      </c>
      <c r="AI19" s="105">
        <v>1</v>
      </c>
      <c r="AJ19" s="110">
        <f t="shared" si="28"/>
        <v>8</v>
      </c>
      <c r="AK19" s="105"/>
      <c r="AL19" s="105"/>
      <c r="AM19" s="104">
        <f t="shared" si="29"/>
        <v>0</v>
      </c>
      <c r="AN19" s="111"/>
      <c r="AO19" s="112">
        <f t="shared" si="30"/>
        <v>16</v>
      </c>
      <c r="AP19" s="841">
        <f t="shared" si="49"/>
        <v>17</v>
      </c>
      <c r="AQ19" s="842"/>
      <c r="AR19" s="843">
        <f t="shared" si="31"/>
        <v>65.900000000000006</v>
      </c>
      <c r="AS19" s="844"/>
      <c r="AT19" s="113">
        <f t="shared" si="17"/>
        <v>20</v>
      </c>
      <c r="AU19" s="69"/>
      <c r="AV19" s="114">
        <f t="shared" si="32"/>
        <v>1</v>
      </c>
      <c r="AW19" s="114">
        <f t="shared" si="33"/>
        <v>0</v>
      </c>
      <c r="AX19" s="114">
        <f t="shared" si="34"/>
        <v>0</v>
      </c>
      <c r="AY19" s="114">
        <f t="shared" si="35"/>
        <v>16</v>
      </c>
      <c r="AZ19" s="114">
        <f>+L41</f>
        <v>0</v>
      </c>
      <c r="BA19" s="114">
        <f>+V41</f>
        <v>0</v>
      </c>
      <c r="BB19" s="114">
        <f>+AF41</f>
        <v>0</v>
      </c>
      <c r="BC19" s="35"/>
      <c r="BD19" s="115">
        <f t="shared" si="25"/>
        <v>3.8750035714285715</v>
      </c>
      <c r="BE19" s="115">
        <f t="shared" si="36"/>
        <v>65.875060714285723</v>
      </c>
      <c r="BF19" s="115">
        <f t="shared" si="37"/>
        <v>62.000057142857145</v>
      </c>
    </row>
    <row r="20" spans="1:60" s="116" customFormat="1" ht="14.1" customHeight="1">
      <c r="A20" s="62">
        <v>13</v>
      </c>
      <c r="B20" s="91" t="str">
        <f t="shared" si="0"/>
        <v>Angel Colina N.</v>
      </c>
      <c r="C20" s="102">
        <v>7</v>
      </c>
      <c r="D20" s="102">
        <v>17</v>
      </c>
      <c r="E20" s="102">
        <v>1</v>
      </c>
      <c r="F20" s="143">
        <f t="shared" si="38"/>
        <v>9</v>
      </c>
      <c r="G20" s="144"/>
      <c r="H20" s="145"/>
      <c r="I20" s="143">
        <f t="shared" si="39"/>
        <v>0</v>
      </c>
      <c r="J20" s="102"/>
      <c r="K20" s="146">
        <f t="shared" si="40"/>
        <v>8</v>
      </c>
      <c r="L20" s="147">
        <f t="shared" si="41"/>
        <v>1</v>
      </c>
      <c r="M20" s="148">
        <v>7</v>
      </c>
      <c r="N20" s="102">
        <v>16</v>
      </c>
      <c r="O20" s="102">
        <v>1</v>
      </c>
      <c r="P20" s="143">
        <f t="shared" si="42"/>
        <v>8</v>
      </c>
      <c r="Q20" s="43"/>
      <c r="R20" s="43"/>
      <c r="S20" s="143">
        <f t="shared" si="43"/>
        <v>0</v>
      </c>
      <c r="T20" s="102"/>
      <c r="U20" s="146">
        <f t="shared" si="44"/>
        <v>8</v>
      </c>
      <c r="V20" s="147">
        <f t="shared" si="45"/>
        <v>0</v>
      </c>
      <c r="W20" s="102">
        <v>7</v>
      </c>
      <c r="X20" s="102">
        <v>16</v>
      </c>
      <c r="Y20" s="102">
        <v>1</v>
      </c>
      <c r="Z20" s="143">
        <f t="shared" si="46"/>
        <v>8</v>
      </c>
      <c r="AA20" s="102"/>
      <c r="AB20" s="28"/>
      <c r="AC20" s="143">
        <f t="shared" si="47"/>
        <v>0</v>
      </c>
      <c r="AD20" s="102"/>
      <c r="AE20" s="146">
        <f>+AC20+Z20-IF(AE$5&gt;0,AF20/2,AF20)</f>
        <v>8</v>
      </c>
      <c r="AF20" s="147">
        <f>IF(W20&gt;0,IF(AE$5&gt;0,(Z20+AC20)*2,(Z20+AC20-8)),0)*IF(Z20&lt;9,IF(AE$5&gt;0,1,2),1)+IF(Z20&gt;8,AC20,0)</f>
        <v>0</v>
      </c>
      <c r="AG20" s="102"/>
      <c r="AH20" s="102"/>
      <c r="AI20" s="102"/>
      <c r="AJ20" s="149">
        <f t="shared" si="28"/>
        <v>0</v>
      </c>
      <c r="AK20" s="102"/>
      <c r="AL20" s="102"/>
      <c r="AM20" s="143">
        <f t="shared" si="29"/>
        <v>0</v>
      </c>
      <c r="AN20" s="150"/>
      <c r="AO20" s="151">
        <f t="shared" si="30"/>
        <v>0</v>
      </c>
      <c r="AP20" s="841">
        <f t="shared" si="49"/>
        <v>1</v>
      </c>
      <c r="AQ20" s="842"/>
      <c r="AR20" s="843">
        <f t="shared" si="31"/>
        <v>3.9</v>
      </c>
      <c r="AS20" s="844"/>
      <c r="AT20" s="113">
        <f t="shared" si="17"/>
        <v>24</v>
      </c>
      <c r="AU20" s="69"/>
      <c r="AV20" s="114">
        <f t="shared" si="32"/>
        <v>1</v>
      </c>
      <c r="AW20" s="114">
        <f t="shared" si="33"/>
        <v>0</v>
      </c>
      <c r="AX20" s="114">
        <f t="shared" si="34"/>
        <v>0</v>
      </c>
      <c r="AY20" s="114">
        <f t="shared" si="35"/>
        <v>0</v>
      </c>
      <c r="AZ20" s="114">
        <f>+L42</f>
        <v>0</v>
      </c>
      <c r="BA20" s="114">
        <f>+V42</f>
        <v>0</v>
      </c>
      <c r="BB20" s="114">
        <f>+AF42</f>
        <v>0</v>
      </c>
      <c r="BC20" s="35"/>
      <c r="BD20" s="115">
        <f t="shared" si="25"/>
        <v>3.8750035714285715</v>
      </c>
      <c r="BE20" s="115">
        <f t="shared" si="36"/>
        <v>3.8750035714285715</v>
      </c>
      <c r="BF20" s="115">
        <f t="shared" si="37"/>
        <v>0</v>
      </c>
    </row>
    <row r="21" spans="1:60" s="69" customFormat="1" ht="14.1" customHeight="1" thickBot="1">
      <c r="A21" s="62">
        <v>10</v>
      </c>
      <c r="B21" s="118" t="str">
        <f t="shared" si="0"/>
        <v>Pedro Hostos S.</v>
      </c>
      <c r="C21" s="119">
        <v>9</v>
      </c>
      <c r="D21" s="119">
        <v>16</v>
      </c>
      <c r="E21" s="119">
        <v>1</v>
      </c>
      <c r="F21" s="120">
        <f t="shared" si="1"/>
        <v>6</v>
      </c>
      <c r="G21" s="121"/>
      <c r="H21" s="121"/>
      <c r="I21" s="120">
        <f t="shared" si="2"/>
        <v>0</v>
      </c>
      <c r="J21" s="119"/>
      <c r="K21" s="120">
        <f t="shared" si="3"/>
        <v>8</v>
      </c>
      <c r="L21" s="122">
        <f t="shared" si="4"/>
        <v>-2</v>
      </c>
      <c r="M21" s="627">
        <v>7</v>
      </c>
      <c r="N21" s="119">
        <v>16</v>
      </c>
      <c r="O21" s="119">
        <v>1</v>
      </c>
      <c r="P21" s="120">
        <f t="shared" si="5"/>
        <v>8</v>
      </c>
      <c r="Q21" s="121"/>
      <c r="R21" s="121"/>
      <c r="S21" s="120">
        <f t="shared" si="6"/>
        <v>0</v>
      </c>
      <c r="T21" s="119"/>
      <c r="U21" s="120">
        <f t="shared" si="7"/>
        <v>8</v>
      </c>
      <c r="V21" s="122">
        <f t="shared" si="8"/>
        <v>0</v>
      </c>
      <c r="W21" s="119">
        <v>7</v>
      </c>
      <c r="X21" s="119">
        <v>16</v>
      </c>
      <c r="Y21" s="119">
        <v>1</v>
      </c>
      <c r="Z21" s="120">
        <f t="shared" si="9"/>
        <v>8</v>
      </c>
      <c r="AA21" s="119"/>
      <c r="AB21" s="121"/>
      <c r="AC21" s="120">
        <f t="shared" si="10"/>
        <v>0</v>
      </c>
      <c r="AD21" s="119"/>
      <c r="AE21" s="125">
        <f t="shared" si="11"/>
        <v>8</v>
      </c>
      <c r="AF21" s="122">
        <f t="shared" si="48"/>
        <v>0</v>
      </c>
      <c r="AG21" s="119"/>
      <c r="AH21" s="119"/>
      <c r="AI21" s="119"/>
      <c r="AJ21" s="126">
        <f t="shared" si="12"/>
        <v>0</v>
      </c>
      <c r="AK21" s="119"/>
      <c r="AL21" s="119"/>
      <c r="AM21" s="120">
        <f t="shared" si="13"/>
        <v>0</v>
      </c>
      <c r="AN21" s="127"/>
      <c r="AO21" s="128">
        <f t="shared" si="14"/>
        <v>0</v>
      </c>
      <c r="AP21" s="847">
        <f t="shared" si="49"/>
        <v>-5</v>
      </c>
      <c r="AQ21" s="848"/>
      <c r="AR21" s="849">
        <f t="shared" si="16"/>
        <v>-19.399999999999999</v>
      </c>
      <c r="AS21" s="850"/>
      <c r="AT21" s="130">
        <f t="shared" si="17"/>
        <v>24</v>
      </c>
      <c r="AV21" s="131">
        <f t="shared" si="18"/>
        <v>-2</v>
      </c>
      <c r="AW21" s="131">
        <f t="shared" si="19"/>
        <v>0</v>
      </c>
      <c r="AX21" s="131">
        <f t="shared" si="20"/>
        <v>0</v>
      </c>
      <c r="AY21" s="132">
        <f t="shared" si="21"/>
        <v>0</v>
      </c>
      <c r="AZ21" s="131">
        <f>+L43</f>
        <v>1</v>
      </c>
      <c r="BA21" s="131">
        <f>+V43</f>
        <v>0</v>
      </c>
      <c r="BB21" s="131">
        <f>+AF43</f>
        <v>-4</v>
      </c>
      <c r="BC21" s="35"/>
      <c r="BD21" s="115">
        <f t="shared" si="25"/>
        <v>3.8750035714285715</v>
      </c>
      <c r="BE21" s="133">
        <f t="shared" si="26"/>
        <v>-19.375017857142858</v>
      </c>
      <c r="BF21" s="134">
        <f t="shared" si="27"/>
        <v>0</v>
      </c>
    </row>
    <row r="22" spans="1:60" ht="14.1" customHeight="1" thickTop="1">
      <c r="A22" s="1">
        <v>11</v>
      </c>
      <c r="B22" s="39" t="str">
        <f t="shared" si="0"/>
        <v>Miguel Tejada Ll.</v>
      </c>
      <c r="C22" s="56">
        <v>7</v>
      </c>
      <c r="D22" s="43">
        <v>16</v>
      </c>
      <c r="E22" s="54">
        <v>1</v>
      </c>
      <c r="F22" s="53">
        <f>+D22-C22-E22</f>
        <v>8</v>
      </c>
      <c r="G22" s="43"/>
      <c r="H22" s="117"/>
      <c r="I22" s="53">
        <f>+H22-G22</f>
        <v>0</v>
      </c>
      <c r="J22" s="54"/>
      <c r="K22" s="55">
        <f>+I22+F22-L22</f>
        <v>8</v>
      </c>
      <c r="L22" s="135">
        <f>IF(C22&gt;0,(F22+I22)+IF(K$5&gt;0,F22,-8),0)+IF(U$5&gt;0,I22,0)</f>
        <v>0</v>
      </c>
      <c r="M22" s="136">
        <v>7</v>
      </c>
      <c r="N22" s="43">
        <v>16</v>
      </c>
      <c r="O22" s="54">
        <v>1</v>
      </c>
      <c r="P22" s="53">
        <f>+N22-M22-O22</f>
        <v>8</v>
      </c>
      <c r="Q22" s="43"/>
      <c r="R22" s="43"/>
      <c r="S22" s="53">
        <f>+R22-Q22</f>
        <v>0</v>
      </c>
      <c r="T22" s="54"/>
      <c r="U22" s="55">
        <f>+S22+P22-V22</f>
        <v>8</v>
      </c>
      <c r="V22" s="135">
        <f>IF(M22&gt;0,(P22+S22)+IF(U$5&gt;0,P22,-8),0)+IF(AE$5&gt;0,S22,0)</f>
        <v>0</v>
      </c>
      <c r="W22" s="43"/>
      <c r="X22" s="43"/>
      <c r="Y22" s="54"/>
      <c r="Z22" s="53">
        <f>+X22-W22-Y22</f>
        <v>0</v>
      </c>
      <c r="AA22" s="44"/>
      <c r="AB22" s="28"/>
      <c r="AC22" s="53">
        <f>+AB22-AA22</f>
        <v>0</v>
      </c>
      <c r="AD22" s="54"/>
      <c r="AE22" s="137">
        <f t="shared" si="11"/>
        <v>0</v>
      </c>
      <c r="AF22" s="135">
        <f>IF(W22&gt;0,IF(AE$5&gt;0,(Z22+AC22)*2,(Z22+AC22-8)),0)*IF(Z22&lt;9,IF(AE$5&gt;0,1,2),1)+IF(Z22&gt;8,AC22,0)</f>
        <v>0</v>
      </c>
      <c r="AG22" s="138"/>
      <c r="AH22" s="43"/>
      <c r="AI22" s="54"/>
      <c r="AJ22" s="139">
        <f>+AH22-AG22-AI22</f>
        <v>0</v>
      </c>
      <c r="AK22" s="43"/>
      <c r="AL22" s="43"/>
      <c r="AM22" s="53">
        <f>+AL22-AK22</f>
        <v>0</v>
      </c>
      <c r="AN22" s="57"/>
      <c r="AO22" s="140">
        <f>(AJ22*2+AM22)</f>
        <v>0</v>
      </c>
      <c r="AP22" s="821">
        <f t="shared" si="49"/>
        <v>0</v>
      </c>
      <c r="AQ22" s="822"/>
      <c r="AR22" s="823">
        <f>ROUND(BD22*AP22,1)</f>
        <v>0</v>
      </c>
      <c r="AS22" s="824"/>
      <c r="AT22" s="49">
        <f t="shared" si="17"/>
        <v>20</v>
      </c>
      <c r="AV22" s="33">
        <f>+L22</f>
        <v>0</v>
      </c>
      <c r="AW22" s="33">
        <f>+V22</f>
        <v>0</v>
      </c>
      <c r="AX22" s="33">
        <f>+AF22</f>
        <v>0</v>
      </c>
      <c r="AY22" s="34">
        <f>+AO22</f>
        <v>0</v>
      </c>
      <c r="AZ22" s="33">
        <f>+L44</f>
        <v>0</v>
      </c>
      <c r="BA22" s="33">
        <f>+V44</f>
        <v>0</v>
      </c>
      <c r="BB22" s="33">
        <f>+AF44</f>
        <v>0</v>
      </c>
      <c r="BC22" s="35"/>
      <c r="BD22" s="36">
        <f t="shared" si="25"/>
        <v>5.4333333333333327</v>
      </c>
      <c r="BE22" s="37">
        <f>+BD22*AP22</f>
        <v>0</v>
      </c>
      <c r="BF22" s="38">
        <f>+BD22*AY22</f>
        <v>0</v>
      </c>
      <c r="BH22" s="141"/>
    </row>
    <row r="23" spans="1:60" s="116" customFormat="1" ht="14.1" customHeight="1">
      <c r="A23" s="62">
        <v>13</v>
      </c>
      <c r="B23" s="142" t="str">
        <f t="shared" si="0"/>
        <v>Jose Lares P.</v>
      </c>
      <c r="C23" s="102">
        <v>7</v>
      </c>
      <c r="D23" s="102">
        <v>16</v>
      </c>
      <c r="E23" s="102">
        <v>1</v>
      </c>
      <c r="F23" s="143">
        <f>+D23-C23-E23</f>
        <v>8</v>
      </c>
      <c r="G23" s="144"/>
      <c r="H23" s="145"/>
      <c r="I23" s="143">
        <f>+H23-G23</f>
        <v>0</v>
      </c>
      <c r="J23" s="102"/>
      <c r="K23" s="146">
        <f>+I23+F23-L23</f>
        <v>8</v>
      </c>
      <c r="L23" s="147">
        <f>IF(C23&gt;0,(F23+I23)+IF(K$5&gt;0,F23,-8),0)+IF(U$5&gt;0,I23,0)</f>
        <v>0</v>
      </c>
      <c r="M23" s="148">
        <v>7</v>
      </c>
      <c r="N23" s="102">
        <v>16</v>
      </c>
      <c r="O23" s="102">
        <v>1</v>
      </c>
      <c r="P23" s="143">
        <f>+N23-M23-O23</f>
        <v>8</v>
      </c>
      <c r="Q23" s="43"/>
      <c r="R23" s="43"/>
      <c r="S23" s="143">
        <f>+R23-Q23</f>
        <v>0</v>
      </c>
      <c r="T23" s="102"/>
      <c r="U23" s="146">
        <f>+S23+P23-V23</f>
        <v>8</v>
      </c>
      <c r="V23" s="147">
        <f>IF(M23&gt;0,(P23+S23)+IF(U$5&gt;0,P23,-8),0)+IF(AE$5&gt;0,S23,0)</f>
        <v>0</v>
      </c>
      <c r="W23" s="102">
        <v>7</v>
      </c>
      <c r="X23" s="102">
        <v>16</v>
      </c>
      <c r="Y23" s="102">
        <v>1</v>
      </c>
      <c r="Z23" s="143">
        <f>+X23-W23-Y23</f>
        <v>8</v>
      </c>
      <c r="AA23" s="102"/>
      <c r="AB23" s="28"/>
      <c r="AC23" s="143">
        <f>+AB23-AA23</f>
        <v>0</v>
      </c>
      <c r="AD23" s="102"/>
      <c r="AE23" s="146">
        <f t="shared" si="11"/>
        <v>8</v>
      </c>
      <c r="AF23" s="147">
        <f>IF(W23&gt;0,IF(AE$5&gt;0,(Z23+AC23)*2,(Z23+AC23-8)),0)*IF(Z23&lt;9,IF(AE$5&gt;0,1,2),1)+IF(Z23&gt;8,AC23,0)</f>
        <v>0</v>
      </c>
      <c r="AG23" s="102"/>
      <c r="AH23" s="102"/>
      <c r="AI23" s="102"/>
      <c r="AJ23" s="149">
        <f>+AH23-AG23-AI23</f>
        <v>0</v>
      </c>
      <c r="AK23" s="102"/>
      <c r="AL23" s="102"/>
      <c r="AM23" s="143">
        <f>+AL23-AK23</f>
        <v>0</v>
      </c>
      <c r="AN23" s="150"/>
      <c r="AO23" s="151">
        <f>(AJ23*2+AM23)</f>
        <v>0</v>
      </c>
      <c r="AP23" s="841">
        <f t="shared" si="49"/>
        <v>-1</v>
      </c>
      <c r="AQ23" s="842"/>
      <c r="AR23" s="843">
        <f>ROUND(BD23*AP23,1)</f>
        <v>-3.9</v>
      </c>
      <c r="AS23" s="844"/>
      <c r="AT23" s="113">
        <f t="shared" si="17"/>
        <v>24</v>
      </c>
      <c r="AU23" s="69"/>
      <c r="AV23" s="114">
        <f>+L23</f>
        <v>0</v>
      </c>
      <c r="AW23" s="114">
        <f>+V23</f>
        <v>0</v>
      </c>
      <c r="AX23" s="114">
        <f>+AF23</f>
        <v>0</v>
      </c>
      <c r="AY23" s="114">
        <f>+AO23</f>
        <v>0</v>
      </c>
      <c r="AZ23" s="114">
        <f>+L47</f>
        <v>0</v>
      </c>
      <c r="BA23" s="114">
        <f>+V47</f>
        <v>0</v>
      </c>
      <c r="BB23" s="114">
        <f>+AF47</f>
        <v>0</v>
      </c>
      <c r="BC23" s="35"/>
      <c r="BD23" s="115">
        <f t="shared" si="25"/>
        <v>3.8750035714285715</v>
      </c>
      <c r="BE23" s="115">
        <f>+BD23*AP23</f>
        <v>-3.8750035714285715</v>
      </c>
      <c r="BF23" s="115">
        <f>+BD23*AY23</f>
        <v>0</v>
      </c>
    </row>
    <row r="24" spans="1:60" ht="14.1" customHeight="1">
      <c r="A24" s="1">
        <v>14</v>
      </c>
      <c r="B24" s="142" t="str">
        <f t="shared" si="0"/>
        <v>Jeeimy Davila C.</v>
      </c>
      <c r="C24" s="56">
        <v>7</v>
      </c>
      <c r="D24" s="43">
        <v>16</v>
      </c>
      <c r="E24" s="54">
        <v>1</v>
      </c>
      <c r="F24" s="53">
        <f>+D24-C24-E24</f>
        <v>8</v>
      </c>
      <c r="G24" s="43"/>
      <c r="H24" s="43"/>
      <c r="I24" s="53">
        <f>+H24-G24</f>
        <v>0</v>
      </c>
      <c r="J24" s="54"/>
      <c r="K24" s="55">
        <f>+I24+F24-L24</f>
        <v>8</v>
      </c>
      <c r="L24" s="135">
        <f t="shared" ref="L24" si="50">IF(C24&gt;0,(F24+I24)+IF(K$5&gt;0,F24,-8),0)+IF(U$5&gt;0,I24,0)</f>
        <v>0</v>
      </c>
      <c r="M24" s="136">
        <v>7</v>
      </c>
      <c r="N24" s="43">
        <v>16</v>
      </c>
      <c r="O24" s="54">
        <v>1</v>
      </c>
      <c r="P24" s="53">
        <f>+N24-M24-O24</f>
        <v>8</v>
      </c>
      <c r="Q24" s="43"/>
      <c r="R24" s="43"/>
      <c r="S24" s="53">
        <f>+R24-Q24</f>
        <v>0</v>
      </c>
      <c r="T24" s="54"/>
      <c r="U24" s="55">
        <f>+S24+P24-V24</f>
        <v>8</v>
      </c>
      <c r="V24" s="135">
        <f>IF(M24&gt;0,(P24+S24)+IF(U$5&gt;0,P24,-8),0)+IF(AE$5&gt;0,S24,0)</f>
        <v>0</v>
      </c>
      <c r="W24" s="43">
        <v>7</v>
      </c>
      <c r="X24" s="43">
        <v>16</v>
      </c>
      <c r="Y24" s="54">
        <v>1</v>
      </c>
      <c r="Z24" s="53">
        <f>+X24-W24-Y24</f>
        <v>8</v>
      </c>
      <c r="AA24" s="43"/>
      <c r="AB24" s="28"/>
      <c r="AC24" s="53">
        <f>+AB24-AA24</f>
        <v>0</v>
      </c>
      <c r="AD24" s="54"/>
      <c r="AE24" s="55">
        <f t="shared" ref="AE24" si="51">+AC24+Z24-IF(AE$5&gt;0,AF24/2,AF24)</f>
        <v>8</v>
      </c>
      <c r="AF24" s="135">
        <f>IF(W24&gt;0,IF(AE$5&gt;0,(Z24+AC24)*2,(Z24+AC24-8)),0)*IF(Z24&lt;9,IF(AE$5&gt;0,1,2),1)+IF(Z24&gt;8,AC24,0)</f>
        <v>0</v>
      </c>
      <c r="AG24" s="138"/>
      <c r="AH24" s="43"/>
      <c r="AI24" s="54"/>
      <c r="AJ24" s="139">
        <f t="shared" ref="AJ24" si="52">+AH24-AG24-AI24</f>
        <v>0</v>
      </c>
      <c r="AK24" s="43"/>
      <c r="AL24" s="43"/>
      <c r="AM24" s="53">
        <f>+AL24-AK24</f>
        <v>0</v>
      </c>
      <c r="AN24" s="57"/>
      <c r="AO24" s="140">
        <f>(AJ24*2+AM24)</f>
        <v>0</v>
      </c>
      <c r="AP24" s="821">
        <f t="shared" si="49"/>
        <v>0</v>
      </c>
      <c r="AQ24" s="822"/>
      <c r="AR24" s="823">
        <f>ROUND(BD24*AP24,1)</f>
        <v>0</v>
      </c>
      <c r="AS24" s="824"/>
      <c r="AT24" s="49">
        <f t="shared" ref="AT24" si="53">IF(AT45&gt;0,AT45*$AT$10,0)</f>
        <v>24</v>
      </c>
      <c r="AV24" s="114">
        <f>+L24</f>
        <v>0</v>
      </c>
      <c r="AW24" s="114">
        <f>+V24</f>
        <v>0</v>
      </c>
      <c r="AX24" s="114">
        <f>+AF24</f>
        <v>0</v>
      </c>
      <c r="AY24" s="114">
        <f>+AO24</f>
        <v>0</v>
      </c>
      <c r="AZ24" s="114">
        <f t="shared" ref="AZ24" si="54">+L45</f>
        <v>0</v>
      </c>
      <c r="BA24" s="114">
        <f t="shared" ref="BA24" si="55">+V45</f>
        <v>-1</v>
      </c>
      <c r="BB24" s="114">
        <f t="shared" ref="BB24" si="56">+AF45</f>
        <v>0</v>
      </c>
      <c r="BC24" s="35"/>
      <c r="BD24" s="36">
        <f>+I85</f>
        <v>3.8750035714285715</v>
      </c>
      <c r="BE24" s="37">
        <f>+BD24*AP24</f>
        <v>0</v>
      </c>
      <c r="BF24" s="38">
        <f>+BD24*AY24</f>
        <v>0</v>
      </c>
    </row>
    <row r="25" spans="1:60" ht="14.1" customHeight="1" thickBot="1">
      <c r="A25" s="1">
        <v>14</v>
      </c>
      <c r="B25" s="566" t="s">
        <v>144</v>
      </c>
      <c r="C25" s="610"/>
      <c r="D25" s="611"/>
      <c r="E25" s="612"/>
      <c r="F25" s="613">
        <f>+D25-C25-E25</f>
        <v>0</v>
      </c>
      <c r="G25" s="611"/>
      <c r="H25" s="611"/>
      <c r="I25" s="613">
        <f>+H25-G25</f>
        <v>0</v>
      </c>
      <c r="J25" s="612"/>
      <c r="K25" s="614">
        <f>+I25+F25-L25</f>
        <v>0</v>
      </c>
      <c r="L25" s="615">
        <f t="shared" si="4"/>
        <v>0</v>
      </c>
      <c r="M25" s="657"/>
      <c r="N25" s="611"/>
      <c r="O25" s="612"/>
      <c r="P25" s="613">
        <f>+N25-M25-O25</f>
        <v>0</v>
      </c>
      <c r="Q25" s="611"/>
      <c r="R25" s="611"/>
      <c r="S25" s="613">
        <f>+R25-Q25</f>
        <v>0</v>
      </c>
      <c r="T25" s="612"/>
      <c r="U25" s="614">
        <f>+S25+P25-V25</f>
        <v>0</v>
      </c>
      <c r="V25" s="615">
        <f>IF(M25&gt;0,(P25+S25)+IF(U$5&gt;0,P25,-8),0)+IF(AE$5&gt;0,S25,0)</f>
        <v>0</v>
      </c>
      <c r="W25" s="611"/>
      <c r="X25" s="611"/>
      <c r="Y25" s="612"/>
      <c r="Z25" s="613">
        <f>+X25-W25-Y25</f>
        <v>0</v>
      </c>
      <c r="AA25" s="611"/>
      <c r="AB25" s="658"/>
      <c r="AC25" s="613">
        <f>+AB25-AA25</f>
        <v>0</v>
      </c>
      <c r="AD25" s="612"/>
      <c r="AE25" s="614">
        <f t="shared" si="11"/>
        <v>0</v>
      </c>
      <c r="AF25" s="615">
        <f>IF(W25&gt;0,IF(AE$5&gt;0,(Z25+AC25)*2,(Z25+AC25-8)),0)*IF(Z25&lt;9,IF(AE$5&gt;0,1,2),1)+IF(Z25&gt;8,AC25,0)</f>
        <v>0</v>
      </c>
      <c r="AG25" s="659"/>
      <c r="AH25" s="611"/>
      <c r="AI25" s="612"/>
      <c r="AJ25" s="660">
        <f t="shared" si="12"/>
        <v>0</v>
      </c>
      <c r="AK25" s="611"/>
      <c r="AL25" s="611"/>
      <c r="AM25" s="613">
        <f>+AL25-AK25</f>
        <v>0</v>
      </c>
      <c r="AN25" s="661"/>
      <c r="AO25" s="662">
        <f>(AJ25*2+AM25)</f>
        <v>0</v>
      </c>
      <c r="AP25" s="851">
        <f t="shared" si="49"/>
        <v>0</v>
      </c>
      <c r="AQ25" s="852"/>
      <c r="AR25" s="853">
        <f>ROUND(BD25*AP25,1)</f>
        <v>0</v>
      </c>
      <c r="AS25" s="854"/>
      <c r="AT25" s="663">
        <f>IF(AT47&gt;0,AT47*$AT$10,0)</f>
        <v>0</v>
      </c>
      <c r="AV25" s="114">
        <f>+L25</f>
        <v>0</v>
      </c>
      <c r="AW25" s="114">
        <f>+V25</f>
        <v>0</v>
      </c>
      <c r="AX25" s="114">
        <f>+AF25</f>
        <v>0</v>
      </c>
      <c r="AY25" s="114">
        <f>+AO25</f>
        <v>0</v>
      </c>
      <c r="AZ25" s="114">
        <f t="shared" ref="AZ25" si="57">+L47</f>
        <v>0</v>
      </c>
      <c r="BA25" s="114">
        <f t="shared" ref="BA25" si="58">+V47</f>
        <v>0</v>
      </c>
      <c r="BB25" s="114">
        <f t="shared" ref="BB25" si="59">+AF47</f>
        <v>0</v>
      </c>
      <c r="BC25" s="35"/>
      <c r="BD25" s="36">
        <f>+I86</f>
        <v>4.125</v>
      </c>
      <c r="BE25" s="37">
        <f>+BD25*AP25</f>
        <v>0</v>
      </c>
      <c r="BF25" s="38">
        <f>+BD25*AY25</f>
        <v>0</v>
      </c>
    </row>
    <row r="26" spans="1:60" ht="5.0999999999999996" customHeight="1" thickBot="1">
      <c r="BC26" s="167"/>
      <c r="BD26" s="168"/>
      <c r="BE26" s="855">
        <f>SUM(BE11:BE25)</f>
        <v>475.8358178571429</v>
      </c>
      <c r="BF26" s="856">
        <f>SUM(BF11:BF25)</f>
        <v>207.79291428571429</v>
      </c>
    </row>
    <row r="27" spans="1:60" ht="9.9499999999999993" customHeight="1">
      <c r="B27" s="741" t="s">
        <v>1</v>
      </c>
      <c r="C27" s="858">
        <f>1+AG5</f>
        <v>43871</v>
      </c>
      <c r="D27" s="858"/>
      <c r="E27" s="858"/>
      <c r="F27" s="858"/>
      <c r="G27" s="858"/>
      <c r="H27" s="858"/>
      <c r="I27" s="858"/>
      <c r="J27" s="858"/>
      <c r="K27" s="860"/>
      <c r="L27" s="861"/>
      <c r="M27" s="864">
        <f>1+C27</f>
        <v>43872</v>
      </c>
      <c r="N27" s="865"/>
      <c r="O27" s="865"/>
      <c r="P27" s="865"/>
      <c r="Q27" s="865"/>
      <c r="R27" s="865"/>
      <c r="S27" s="865"/>
      <c r="T27" s="866"/>
      <c r="U27" s="870"/>
      <c r="V27" s="871"/>
      <c r="W27" s="864">
        <f>1+M27</f>
        <v>43873</v>
      </c>
      <c r="X27" s="865"/>
      <c r="Y27" s="865"/>
      <c r="Z27" s="865"/>
      <c r="AA27" s="865"/>
      <c r="AB27" s="865"/>
      <c r="AC27" s="865"/>
      <c r="AD27" s="866"/>
      <c r="AE27" s="880"/>
      <c r="AF27" s="881"/>
      <c r="AH27" s="884" t="s">
        <v>18</v>
      </c>
      <c r="AI27" s="879">
        <f>+C5</f>
        <v>43867</v>
      </c>
      <c r="AJ27" s="885">
        <f t="shared" ref="AJ27:AO27" si="60">1+AI27</f>
        <v>43868</v>
      </c>
      <c r="AK27" s="885">
        <f t="shared" si="60"/>
        <v>43869</v>
      </c>
      <c r="AL27" s="878">
        <f t="shared" si="60"/>
        <v>43870</v>
      </c>
      <c r="AM27" s="878">
        <f t="shared" si="60"/>
        <v>43871</v>
      </c>
      <c r="AN27" s="879">
        <f t="shared" si="60"/>
        <v>43872</v>
      </c>
      <c r="AO27" s="879">
        <f t="shared" si="60"/>
        <v>43873</v>
      </c>
      <c r="AP27" s="911" t="s">
        <v>19</v>
      </c>
      <c r="AQ27" s="912"/>
      <c r="AR27" s="913" t="s">
        <v>20</v>
      </c>
      <c r="AS27" s="914"/>
      <c r="AT27" s="898" t="s">
        <v>21</v>
      </c>
      <c r="AW27" s="901">
        <f>+AL27</f>
        <v>43870</v>
      </c>
      <c r="AX27" s="902"/>
      <c r="AZ27" s="907" t="s">
        <v>22</v>
      </c>
      <c r="BA27" s="907"/>
      <c r="BB27" s="907"/>
      <c r="BC27" s="907"/>
      <c r="BD27" s="168"/>
      <c r="BE27" s="855"/>
      <c r="BF27" s="857"/>
    </row>
    <row r="28" spans="1:60" ht="9.9499999999999993" customHeight="1">
      <c r="B28" s="742"/>
      <c r="C28" s="859"/>
      <c r="D28" s="859"/>
      <c r="E28" s="859"/>
      <c r="F28" s="859"/>
      <c r="G28" s="859"/>
      <c r="H28" s="859"/>
      <c r="I28" s="859"/>
      <c r="J28" s="859"/>
      <c r="K28" s="862"/>
      <c r="L28" s="863"/>
      <c r="M28" s="867"/>
      <c r="N28" s="868"/>
      <c r="O28" s="868"/>
      <c r="P28" s="868"/>
      <c r="Q28" s="868"/>
      <c r="R28" s="868"/>
      <c r="S28" s="868"/>
      <c r="T28" s="869"/>
      <c r="U28" s="872"/>
      <c r="V28" s="873"/>
      <c r="W28" s="867"/>
      <c r="X28" s="868"/>
      <c r="Y28" s="868"/>
      <c r="Z28" s="868"/>
      <c r="AA28" s="868"/>
      <c r="AB28" s="868"/>
      <c r="AC28" s="868"/>
      <c r="AD28" s="869"/>
      <c r="AE28" s="882"/>
      <c r="AF28" s="883"/>
      <c r="AH28" s="884"/>
      <c r="AI28" s="879"/>
      <c r="AJ28" s="885"/>
      <c r="AK28" s="885"/>
      <c r="AL28" s="878"/>
      <c r="AM28" s="878"/>
      <c r="AN28" s="879"/>
      <c r="AO28" s="879"/>
      <c r="AP28" s="911"/>
      <c r="AQ28" s="912"/>
      <c r="AR28" s="915"/>
      <c r="AS28" s="916"/>
      <c r="AT28" s="899"/>
      <c r="AW28" s="903"/>
      <c r="AX28" s="904"/>
      <c r="AZ28" s="908">
        <f>SUM(AV11:BB25)</f>
        <v>105</v>
      </c>
      <c r="BA28" s="909"/>
      <c r="BB28" s="909"/>
      <c r="BC28" s="169"/>
      <c r="BD28" s="168"/>
      <c r="BE28" s="170"/>
    </row>
    <row r="29" spans="1:60" ht="15.2" customHeight="1">
      <c r="B29" s="742"/>
      <c r="C29" s="780" t="s">
        <v>10</v>
      </c>
      <c r="D29" s="874"/>
      <c r="E29" s="766" t="s">
        <v>11</v>
      </c>
      <c r="F29" s="769" t="s">
        <v>12</v>
      </c>
      <c r="G29" s="877" t="s">
        <v>10</v>
      </c>
      <c r="H29" s="874"/>
      <c r="I29" s="769" t="s">
        <v>12</v>
      </c>
      <c r="J29" s="773" t="s">
        <v>13</v>
      </c>
      <c r="K29" s="786" t="s">
        <v>14</v>
      </c>
      <c r="L29" s="886" t="s">
        <v>15</v>
      </c>
      <c r="M29" s="780" t="s">
        <v>10</v>
      </c>
      <c r="N29" s="888"/>
      <c r="O29" s="767" t="s">
        <v>11</v>
      </c>
      <c r="P29" s="770" t="s">
        <v>12</v>
      </c>
      <c r="Q29" s="877" t="s">
        <v>10</v>
      </c>
      <c r="R29" s="893"/>
      <c r="S29" s="770" t="s">
        <v>12</v>
      </c>
      <c r="T29" s="774" t="s">
        <v>13</v>
      </c>
      <c r="U29" s="787" t="s">
        <v>14</v>
      </c>
      <c r="V29" s="886" t="s">
        <v>15</v>
      </c>
      <c r="W29" s="780" t="s">
        <v>10</v>
      </c>
      <c r="X29" s="888"/>
      <c r="Y29" s="767" t="s">
        <v>11</v>
      </c>
      <c r="Z29" s="770" t="s">
        <v>12</v>
      </c>
      <c r="AA29" s="877" t="s">
        <v>10</v>
      </c>
      <c r="AB29" s="893"/>
      <c r="AC29" s="770" t="s">
        <v>12</v>
      </c>
      <c r="AD29" s="774" t="s">
        <v>13</v>
      </c>
      <c r="AE29" s="787" t="s">
        <v>14</v>
      </c>
      <c r="AF29" s="886"/>
      <c r="AH29" s="884"/>
      <c r="AI29" s="879"/>
      <c r="AJ29" s="885"/>
      <c r="AK29" s="885"/>
      <c r="AL29" s="878"/>
      <c r="AM29" s="878"/>
      <c r="AN29" s="879"/>
      <c r="AO29" s="879"/>
      <c r="AP29" s="911"/>
      <c r="AQ29" s="912"/>
      <c r="AR29" s="915"/>
      <c r="AS29" s="916"/>
      <c r="AT29" s="899"/>
      <c r="AW29" s="903"/>
      <c r="AX29" s="904"/>
      <c r="AZ29" s="910"/>
      <c r="BA29" s="910"/>
      <c r="BB29" s="910"/>
      <c r="BC29" s="169"/>
      <c r="BD29" s="168"/>
      <c r="BE29" s="168"/>
    </row>
    <row r="30" spans="1:60" ht="15.2" customHeight="1">
      <c r="B30" s="742"/>
      <c r="C30" s="875"/>
      <c r="D30" s="810"/>
      <c r="E30" s="767"/>
      <c r="F30" s="770"/>
      <c r="G30" s="811"/>
      <c r="H30" s="810"/>
      <c r="I30" s="770"/>
      <c r="J30" s="774"/>
      <c r="K30" s="787"/>
      <c r="L30" s="886"/>
      <c r="M30" s="889"/>
      <c r="N30" s="890"/>
      <c r="O30" s="767"/>
      <c r="P30" s="770"/>
      <c r="Q30" s="894"/>
      <c r="R30" s="895"/>
      <c r="S30" s="770"/>
      <c r="T30" s="774"/>
      <c r="U30" s="787"/>
      <c r="V30" s="886"/>
      <c r="W30" s="889"/>
      <c r="X30" s="890"/>
      <c r="Y30" s="767"/>
      <c r="Z30" s="770"/>
      <c r="AA30" s="894"/>
      <c r="AB30" s="895"/>
      <c r="AC30" s="770"/>
      <c r="AD30" s="774"/>
      <c r="AE30" s="787"/>
      <c r="AF30" s="886"/>
      <c r="AH30" s="884"/>
      <c r="AI30" s="879"/>
      <c r="AJ30" s="885"/>
      <c r="AK30" s="885"/>
      <c r="AL30" s="878"/>
      <c r="AM30" s="878"/>
      <c r="AN30" s="879"/>
      <c r="AO30" s="879"/>
      <c r="AP30" s="911"/>
      <c r="AQ30" s="912"/>
      <c r="AR30" s="915"/>
      <c r="AS30" s="916"/>
      <c r="AT30" s="899"/>
      <c r="AW30" s="903"/>
      <c r="AX30" s="904"/>
      <c r="AY30" s="7" t="s">
        <v>23</v>
      </c>
      <c r="BD30" s="171">
        <f>+AZ28-AW49</f>
        <v>59</v>
      </c>
      <c r="BE30" s="172" t="s">
        <v>24</v>
      </c>
    </row>
    <row r="31" spans="1:60" ht="15.2" customHeight="1">
      <c r="B31" s="742"/>
      <c r="C31" s="875"/>
      <c r="D31" s="810"/>
      <c r="E31" s="767"/>
      <c r="F31" s="770"/>
      <c r="G31" s="811"/>
      <c r="H31" s="810"/>
      <c r="I31" s="770"/>
      <c r="J31" s="774"/>
      <c r="K31" s="787"/>
      <c r="L31" s="886"/>
      <c r="M31" s="889"/>
      <c r="N31" s="890"/>
      <c r="O31" s="767"/>
      <c r="P31" s="770"/>
      <c r="Q31" s="894"/>
      <c r="R31" s="895"/>
      <c r="S31" s="770"/>
      <c r="T31" s="774"/>
      <c r="U31" s="787"/>
      <c r="V31" s="886"/>
      <c r="W31" s="889"/>
      <c r="X31" s="890"/>
      <c r="Y31" s="767"/>
      <c r="Z31" s="770"/>
      <c r="AA31" s="894"/>
      <c r="AB31" s="895"/>
      <c r="AC31" s="770"/>
      <c r="AD31" s="774"/>
      <c r="AE31" s="787"/>
      <c r="AF31" s="886"/>
      <c r="AH31" s="884"/>
      <c r="AI31" s="879"/>
      <c r="AJ31" s="885"/>
      <c r="AK31" s="885"/>
      <c r="AL31" s="878"/>
      <c r="AM31" s="878"/>
      <c r="AN31" s="879"/>
      <c r="AO31" s="879"/>
      <c r="AP31" s="911"/>
      <c r="AQ31" s="912"/>
      <c r="AR31" s="915"/>
      <c r="AS31" s="916"/>
      <c r="AT31" s="899"/>
      <c r="AW31" s="903"/>
      <c r="AX31" s="904"/>
    </row>
    <row r="32" spans="1:60" ht="15.2" customHeight="1" thickBot="1">
      <c r="B32" s="743"/>
      <c r="C32" s="876"/>
      <c r="D32" s="813"/>
      <c r="E32" s="768"/>
      <c r="F32" s="771"/>
      <c r="G32" s="812"/>
      <c r="H32" s="813"/>
      <c r="I32" s="771"/>
      <c r="J32" s="775"/>
      <c r="K32" s="788"/>
      <c r="L32" s="887"/>
      <c r="M32" s="891"/>
      <c r="N32" s="892"/>
      <c r="O32" s="768"/>
      <c r="P32" s="771"/>
      <c r="Q32" s="896"/>
      <c r="R32" s="897"/>
      <c r="S32" s="771"/>
      <c r="T32" s="775"/>
      <c r="U32" s="788"/>
      <c r="V32" s="887"/>
      <c r="W32" s="891"/>
      <c r="X32" s="892"/>
      <c r="Y32" s="768"/>
      <c r="Z32" s="771"/>
      <c r="AA32" s="896"/>
      <c r="AB32" s="897"/>
      <c r="AC32" s="771"/>
      <c r="AD32" s="775"/>
      <c r="AE32" s="788"/>
      <c r="AF32" s="887"/>
      <c r="AH32" s="884"/>
      <c r="AI32" s="879"/>
      <c r="AJ32" s="885"/>
      <c r="AK32" s="885"/>
      <c r="AL32" s="878"/>
      <c r="AM32" s="878"/>
      <c r="AN32" s="879"/>
      <c r="AO32" s="879"/>
      <c r="AP32" s="911"/>
      <c r="AQ32" s="912"/>
      <c r="AR32" s="917"/>
      <c r="AS32" s="918"/>
      <c r="AT32" s="900"/>
      <c r="AW32" s="905"/>
      <c r="AX32" s="906"/>
      <c r="BE32" s="173"/>
    </row>
    <row r="33" spans="1:57" ht="14.1" customHeight="1">
      <c r="B33" s="16" t="str">
        <f t="shared" ref="B33:B45" si="61">+B11</f>
        <v>Eduardo Segura D.</v>
      </c>
      <c r="C33" s="17">
        <v>7</v>
      </c>
      <c r="D33" s="18">
        <v>16</v>
      </c>
      <c r="E33" s="19">
        <v>1</v>
      </c>
      <c r="F33" s="40">
        <f t="shared" ref="F33:F47" si="62">+D33-C33-E33</f>
        <v>8</v>
      </c>
      <c r="G33" s="43"/>
      <c r="H33" s="22"/>
      <c r="I33" s="40">
        <f t="shared" ref="I33:I47" si="63">+H33-G33</f>
        <v>0</v>
      </c>
      <c r="J33" s="19"/>
      <c r="K33" s="41">
        <f t="shared" ref="K33:K47" si="64">+I33+F33-L33</f>
        <v>8</v>
      </c>
      <c r="L33" s="25">
        <f t="shared" ref="L33:L47" si="65">IF(C33&gt;0,(F33+I33)+IF(K$27&gt;0,F33,-8),0)+IF(U$27&gt;0,I33,0)</f>
        <v>0</v>
      </c>
      <c r="M33" s="43">
        <v>7</v>
      </c>
      <c r="N33" s="18">
        <v>16</v>
      </c>
      <c r="O33" s="19">
        <v>1</v>
      </c>
      <c r="P33" s="40">
        <f t="shared" ref="P33:P47" si="66">+N33-M33-O33</f>
        <v>8</v>
      </c>
      <c r="Q33" s="138"/>
      <c r="R33" s="174"/>
      <c r="S33" s="40">
        <f t="shared" ref="S33:S47" si="67">+R33-Q33</f>
        <v>0</v>
      </c>
      <c r="T33" s="19"/>
      <c r="U33" s="41">
        <f t="shared" ref="U33:U47" si="68">+S33+P33-V33</f>
        <v>8</v>
      </c>
      <c r="V33" s="25">
        <f t="shared" ref="V33:V47" si="69">IF(M33&gt;0,(P33+S33)+IF(U$27&gt;0,P33,-8),0)+IF(AE$27&gt;0,S33,0)</f>
        <v>0</v>
      </c>
      <c r="W33" s="18">
        <v>7</v>
      </c>
      <c r="X33" s="18">
        <v>24</v>
      </c>
      <c r="Y33" s="175">
        <v>2</v>
      </c>
      <c r="Z33" s="176">
        <f t="shared" ref="Z33:Z47" si="70">+X33-W33-Y33</f>
        <v>15</v>
      </c>
      <c r="AA33" s="138">
        <v>0</v>
      </c>
      <c r="AB33" s="22">
        <v>7</v>
      </c>
      <c r="AC33" s="176">
        <f t="shared" ref="AC33:AC47" si="71">+AB33-AA33</f>
        <v>7</v>
      </c>
      <c r="AD33" s="175">
        <v>8</v>
      </c>
      <c r="AE33" s="177">
        <f t="shared" ref="AE33:AE47" si="72">+AC33+Z33-AF33</f>
        <v>8</v>
      </c>
      <c r="AF33" s="25">
        <f t="shared" ref="AF33:AF47" si="73">IF(W33&gt;0,(Z33+AC33)+IF(AE$27&gt;0,0+Z33,-8),0)</f>
        <v>14</v>
      </c>
      <c r="AG33" s="69"/>
      <c r="AH33" s="178">
        <v>0</v>
      </c>
      <c r="AI33" s="179">
        <f>+K11+(IF(ISBLANK($K$5),-8,0))</f>
        <v>0</v>
      </c>
      <c r="AJ33" s="179">
        <f>IF(ISBLANK($U$5),-8,0)+U11</f>
        <v>0</v>
      </c>
      <c r="AK33" s="179">
        <f>IF(ISBLANK($AE$5),-8,0)+AE11</f>
        <v>0</v>
      </c>
      <c r="AL33" s="179">
        <f t="shared" ref="AL33:AL47" si="74">IF(ISBLANK($AO$5),-8,0)+AO11+AW33</f>
        <v>0</v>
      </c>
      <c r="AM33" s="179">
        <f t="shared" ref="AM33:AM47" si="75">IF(ISBLANK($K$27),-8,0)+K33</f>
        <v>0</v>
      </c>
      <c r="AN33" s="179">
        <f t="shared" ref="AN33:AN47" si="76">IF(ISBLANK($U$27),-8,0)+U33</f>
        <v>0</v>
      </c>
      <c r="AO33" s="179">
        <f t="shared" ref="AO33:AO47" si="77">IF(ISBLANK($AE$27),-8,0)+AE33</f>
        <v>0</v>
      </c>
      <c r="AP33" s="180">
        <f t="shared" ref="AP33:AP47" si="78">SUM(AH33:AO33)</f>
        <v>0</v>
      </c>
      <c r="AQ33" s="69"/>
      <c r="AR33" s="919">
        <f t="shared" ref="AR33:AR45" si="79">+X73*Q73</f>
        <v>5.4785714285714349</v>
      </c>
      <c r="AS33" s="925"/>
      <c r="AT33" s="181">
        <f t="shared" ref="AT33:AT47" si="80">IF(K11+L11&gt;0,1,0)+IF(U11+V11&gt;0,1,0)+IF(AE11+AF11&gt;0,1,0)+IF(AO11&gt;3,1,0)+IF(K33+L33&gt;0,1,0)+IF(U33+V33&gt;0,1,0)+IF(AE33+AF33&gt;0,1,0)</f>
        <v>7</v>
      </c>
      <c r="AU33" s="69"/>
      <c r="AV33" s="69"/>
      <c r="AW33" s="921">
        <v>-14</v>
      </c>
      <c r="AX33" s="922"/>
      <c r="BD33" s="182"/>
      <c r="BE33" s="183"/>
    </row>
    <row r="34" spans="1:57" ht="14.1" customHeight="1">
      <c r="B34" s="190" t="str">
        <f t="shared" si="61"/>
        <v>Cesar Mendez M.</v>
      </c>
      <c r="C34" s="17">
        <v>7</v>
      </c>
      <c r="D34" s="18">
        <v>20</v>
      </c>
      <c r="E34" s="19">
        <v>1</v>
      </c>
      <c r="F34" s="40">
        <f t="shared" si="62"/>
        <v>12</v>
      </c>
      <c r="G34" s="43"/>
      <c r="H34" s="43"/>
      <c r="I34" s="40">
        <f t="shared" si="63"/>
        <v>0</v>
      </c>
      <c r="J34" s="19"/>
      <c r="K34" s="41">
        <f t="shared" si="64"/>
        <v>8</v>
      </c>
      <c r="L34" s="25">
        <f t="shared" si="65"/>
        <v>4</v>
      </c>
      <c r="M34" s="43">
        <v>8</v>
      </c>
      <c r="N34" s="18">
        <v>24</v>
      </c>
      <c r="O34" s="19">
        <v>2</v>
      </c>
      <c r="P34" s="40">
        <f t="shared" si="66"/>
        <v>14</v>
      </c>
      <c r="Q34" s="43">
        <v>0</v>
      </c>
      <c r="R34" s="43">
        <v>7</v>
      </c>
      <c r="S34" s="40">
        <f t="shared" si="67"/>
        <v>7</v>
      </c>
      <c r="T34" s="19">
        <v>8</v>
      </c>
      <c r="U34" s="41">
        <f t="shared" si="68"/>
        <v>8</v>
      </c>
      <c r="V34" s="25">
        <f t="shared" si="69"/>
        <v>13</v>
      </c>
      <c r="W34" s="18">
        <v>18</v>
      </c>
      <c r="X34" s="18">
        <v>24</v>
      </c>
      <c r="Y34" s="19">
        <v>1</v>
      </c>
      <c r="Z34" s="40">
        <f t="shared" si="70"/>
        <v>5</v>
      </c>
      <c r="AA34" s="18">
        <v>0</v>
      </c>
      <c r="AB34" s="43">
        <v>7</v>
      </c>
      <c r="AC34" s="40">
        <f t="shared" si="71"/>
        <v>7</v>
      </c>
      <c r="AD34" s="19">
        <v>8</v>
      </c>
      <c r="AE34" s="41">
        <f t="shared" si="72"/>
        <v>8</v>
      </c>
      <c r="AF34" s="25">
        <f t="shared" si="73"/>
        <v>4</v>
      </c>
      <c r="AG34" s="69"/>
      <c r="AH34" s="178">
        <v>0</v>
      </c>
      <c r="AI34" s="179">
        <f>+K12+(IF(ISBLANK($K$5),-8,0))</f>
        <v>0</v>
      </c>
      <c r="AJ34" s="179">
        <f>IF(ISBLANK($U$5),-8,0)+U12</f>
        <v>0</v>
      </c>
      <c r="AK34" s="179">
        <f>IF(ISBLANK($AE$5),-8,0)+AE12</f>
        <v>0</v>
      </c>
      <c r="AL34" s="179">
        <f t="shared" si="74"/>
        <v>0</v>
      </c>
      <c r="AM34" s="179">
        <f t="shared" si="75"/>
        <v>0</v>
      </c>
      <c r="AN34" s="179">
        <f t="shared" si="76"/>
        <v>0</v>
      </c>
      <c r="AO34" s="179">
        <f t="shared" si="77"/>
        <v>0</v>
      </c>
      <c r="AP34" s="180">
        <f t="shared" si="78"/>
        <v>0</v>
      </c>
      <c r="AQ34" s="69"/>
      <c r="AR34" s="919">
        <f t="shared" si="79"/>
        <v>1.557142857142864</v>
      </c>
      <c r="AS34" s="920"/>
      <c r="AT34" s="181">
        <f t="shared" si="80"/>
        <v>7</v>
      </c>
      <c r="AU34" s="69"/>
      <c r="AV34" s="69"/>
      <c r="AW34" s="921">
        <v>-16</v>
      </c>
      <c r="AX34" s="922"/>
    </row>
    <row r="35" spans="1:57" ht="14.1" customHeight="1">
      <c r="B35" s="190" t="str">
        <f t="shared" si="61"/>
        <v>Juan Manrique V.</v>
      </c>
      <c r="C35" s="17">
        <v>7</v>
      </c>
      <c r="D35" s="18">
        <v>17</v>
      </c>
      <c r="E35" s="19">
        <v>1</v>
      </c>
      <c r="F35" s="40">
        <f t="shared" si="62"/>
        <v>9</v>
      </c>
      <c r="G35" s="43"/>
      <c r="H35" s="43"/>
      <c r="I35" s="40">
        <f t="shared" si="63"/>
        <v>0</v>
      </c>
      <c r="J35" s="19"/>
      <c r="K35" s="41">
        <f t="shared" si="64"/>
        <v>8</v>
      </c>
      <c r="L35" s="25">
        <f t="shared" si="65"/>
        <v>1</v>
      </c>
      <c r="M35" s="43">
        <v>7</v>
      </c>
      <c r="N35" s="18">
        <v>16</v>
      </c>
      <c r="O35" s="19">
        <v>1</v>
      </c>
      <c r="P35" s="40">
        <f t="shared" si="66"/>
        <v>8</v>
      </c>
      <c r="Q35" s="117"/>
      <c r="R35" s="189"/>
      <c r="S35" s="40">
        <f t="shared" si="67"/>
        <v>0</v>
      </c>
      <c r="T35" s="19"/>
      <c r="U35" s="41">
        <f t="shared" si="68"/>
        <v>8</v>
      </c>
      <c r="V35" s="25">
        <f t="shared" si="69"/>
        <v>0</v>
      </c>
      <c r="W35" s="18">
        <v>8</v>
      </c>
      <c r="X35" s="18">
        <v>16</v>
      </c>
      <c r="Y35" s="19">
        <v>1</v>
      </c>
      <c r="Z35" s="40">
        <f t="shared" si="70"/>
        <v>7</v>
      </c>
      <c r="AA35" s="18"/>
      <c r="AB35" s="18"/>
      <c r="AC35" s="40">
        <f t="shared" si="71"/>
        <v>0</v>
      </c>
      <c r="AD35" s="19"/>
      <c r="AE35" s="41">
        <f t="shared" si="72"/>
        <v>8</v>
      </c>
      <c r="AF35" s="25">
        <f t="shared" si="73"/>
        <v>-1</v>
      </c>
      <c r="AG35" s="69"/>
      <c r="AH35" s="178">
        <v>0</v>
      </c>
      <c r="AI35" s="179">
        <f>+K13+(IF(ISBLANK($K$5),-8,0))</f>
        <v>0</v>
      </c>
      <c r="AJ35" s="179">
        <f>IF(ISBLANK($U$5),-8,0)+U13</f>
        <v>0</v>
      </c>
      <c r="AK35" s="179">
        <f>IF(ISBLANK($AE$5),-8,0)+AE13</f>
        <v>0</v>
      </c>
      <c r="AL35" s="179">
        <f t="shared" si="74"/>
        <v>0</v>
      </c>
      <c r="AM35" s="179">
        <f t="shared" si="75"/>
        <v>0</v>
      </c>
      <c r="AN35" s="179">
        <f t="shared" si="76"/>
        <v>0</v>
      </c>
      <c r="AO35" s="179">
        <f t="shared" si="77"/>
        <v>0</v>
      </c>
      <c r="AP35" s="180">
        <f t="shared" si="78"/>
        <v>0</v>
      </c>
      <c r="AQ35" s="69"/>
      <c r="AR35" s="919">
        <f t="shared" si="79"/>
        <v>0</v>
      </c>
      <c r="AS35" s="920"/>
      <c r="AT35" s="187">
        <f t="shared" si="80"/>
        <v>6</v>
      </c>
      <c r="AU35" s="69"/>
      <c r="AV35" s="69"/>
      <c r="AW35" s="926"/>
      <c r="AX35" s="927"/>
      <c r="AZ35" s="182"/>
      <c r="BD35" s="182"/>
    </row>
    <row r="36" spans="1:57" ht="14.1" customHeight="1">
      <c r="B36" s="190" t="str">
        <f t="shared" si="61"/>
        <v xml:space="preserve"> Irving Huaringa B.</v>
      </c>
      <c r="C36" s="17">
        <v>7</v>
      </c>
      <c r="D36" s="18">
        <v>16</v>
      </c>
      <c r="E36" s="19">
        <v>1</v>
      </c>
      <c r="F36" s="40">
        <f t="shared" ref="F36:F42" si="81">+D36-C36-E36</f>
        <v>8</v>
      </c>
      <c r="G36" s="43"/>
      <c r="H36" s="43"/>
      <c r="I36" s="40">
        <f t="shared" ref="I36:I42" si="82">+H36-G36</f>
        <v>0</v>
      </c>
      <c r="J36" s="19"/>
      <c r="K36" s="41">
        <f t="shared" ref="K36:K42" si="83">+I36+F36-L36</f>
        <v>8</v>
      </c>
      <c r="L36" s="25">
        <f t="shared" si="65"/>
        <v>0</v>
      </c>
      <c r="M36" s="43">
        <v>7</v>
      </c>
      <c r="N36" s="18">
        <v>16</v>
      </c>
      <c r="O36" s="19">
        <v>1</v>
      </c>
      <c r="P36" s="40">
        <f t="shared" ref="P36:P42" si="84">+N36-M36-O36</f>
        <v>8</v>
      </c>
      <c r="Q36" s="117"/>
      <c r="R36" s="189"/>
      <c r="S36" s="40">
        <f t="shared" ref="S36:S42" si="85">+R36-Q36</f>
        <v>0</v>
      </c>
      <c r="T36" s="19"/>
      <c r="U36" s="41">
        <f t="shared" ref="U36:U42" si="86">+S36+P36-V36</f>
        <v>8</v>
      </c>
      <c r="V36" s="25">
        <f t="shared" si="69"/>
        <v>0</v>
      </c>
      <c r="W36" s="18">
        <v>7</v>
      </c>
      <c r="X36" s="18">
        <v>16</v>
      </c>
      <c r="Y36" s="19">
        <v>1</v>
      </c>
      <c r="Z36" s="40">
        <f t="shared" ref="Z36:Z42" si="87">+X36-W36-Y36</f>
        <v>8</v>
      </c>
      <c r="AA36" s="18"/>
      <c r="AB36" s="18"/>
      <c r="AC36" s="40">
        <f t="shared" si="71"/>
        <v>0</v>
      </c>
      <c r="AD36" s="19"/>
      <c r="AE36" s="41">
        <f t="shared" ref="AE36:AE42" si="88">+AC36+Z36-AF36</f>
        <v>8</v>
      </c>
      <c r="AF36" s="25">
        <f t="shared" si="73"/>
        <v>0</v>
      </c>
      <c r="AG36" s="69"/>
      <c r="AH36" s="178">
        <v>0</v>
      </c>
      <c r="AI36" s="179">
        <f>+K14+(IF(ISBLANK($K$5),-8,0))</f>
        <v>0</v>
      </c>
      <c r="AJ36" s="179">
        <f>IF(ISBLANK($U$5),-8,0)+U14</f>
        <v>0</v>
      </c>
      <c r="AK36" s="191">
        <f>IF(ISBLANK($AE$5),-5,0)+AE14</f>
        <v>0</v>
      </c>
      <c r="AL36" s="179">
        <f t="shared" si="74"/>
        <v>0</v>
      </c>
      <c r="AM36" s="192">
        <f t="shared" si="75"/>
        <v>0</v>
      </c>
      <c r="AN36" s="192">
        <f t="shared" si="76"/>
        <v>0</v>
      </c>
      <c r="AO36" s="192">
        <f t="shared" si="77"/>
        <v>0</v>
      </c>
      <c r="AP36" s="180">
        <f t="shared" ref="AP36:AP42" si="89">SUM(AH36:AO36)</f>
        <v>0</v>
      </c>
      <c r="AQ36" s="69"/>
      <c r="AR36" s="919">
        <f t="shared" si="79"/>
        <v>0</v>
      </c>
      <c r="AS36" s="920"/>
      <c r="AT36" s="187">
        <f t="shared" si="80"/>
        <v>6</v>
      </c>
      <c r="AU36" s="69"/>
      <c r="AV36" s="69"/>
      <c r="AW36" s="921"/>
      <c r="AX36" s="922"/>
    </row>
    <row r="37" spans="1:57" ht="14.1" customHeight="1">
      <c r="B37" s="39" t="str">
        <f t="shared" si="61"/>
        <v>Pier Alejos A.</v>
      </c>
      <c r="C37" s="56">
        <v>7</v>
      </c>
      <c r="D37" s="43">
        <v>16</v>
      </c>
      <c r="E37" s="54">
        <v>1</v>
      </c>
      <c r="F37" s="53">
        <f t="shared" si="81"/>
        <v>8</v>
      </c>
      <c r="G37" s="43"/>
      <c r="H37" s="228"/>
      <c r="I37" s="53">
        <f t="shared" si="82"/>
        <v>0</v>
      </c>
      <c r="J37" s="54"/>
      <c r="K37" s="55">
        <f t="shared" si="83"/>
        <v>8</v>
      </c>
      <c r="L37" s="135">
        <f t="shared" si="65"/>
        <v>0</v>
      </c>
      <c r="M37" s="56">
        <v>7</v>
      </c>
      <c r="N37" s="201">
        <v>16</v>
      </c>
      <c r="O37" s="54">
        <v>1</v>
      </c>
      <c r="P37" s="53">
        <f t="shared" si="84"/>
        <v>8</v>
      </c>
      <c r="Q37" s="117"/>
      <c r="R37" s="189"/>
      <c r="S37" s="53">
        <f t="shared" si="85"/>
        <v>0</v>
      </c>
      <c r="T37" s="54"/>
      <c r="U37" s="55">
        <f t="shared" si="86"/>
        <v>8</v>
      </c>
      <c r="V37" s="135">
        <f t="shared" si="69"/>
        <v>0</v>
      </c>
      <c r="W37" s="56">
        <v>7</v>
      </c>
      <c r="X37" s="43">
        <v>18</v>
      </c>
      <c r="Y37" s="54">
        <v>1</v>
      </c>
      <c r="Z37" s="53">
        <f t="shared" si="87"/>
        <v>10</v>
      </c>
      <c r="AA37" s="43"/>
      <c r="AB37" s="64"/>
      <c r="AC37" s="53">
        <f>+AB37-AA37</f>
        <v>0</v>
      </c>
      <c r="AD37" s="54"/>
      <c r="AE37" s="55">
        <f t="shared" si="88"/>
        <v>8</v>
      </c>
      <c r="AF37" s="135">
        <f t="shared" si="73"/>
        <v>2</v>
      </c>
      <c r="AG37" s="69"/>
      <c r="AH37" s="178">
        <v>0</v>
      </c>
      <c r="AI37" s="179">
        <f>+K15+(IF(ISBLANK($K$5),-8,0))</f>
        <v>0</v>
      </c>
      <c r="AJ37" s="179">
        <f>IF(ISBLANK($U$5),-8,0)+U15</f>
        <v>0</v>
      </c>
      <c r="AK37" s="179">
        <f>IF(ISBLANK($AE$5),-8,0)+AE15</f>
        <v>0</v>
      </c>
      <c r="AL37" s="179">
        <f t="shared" si="74"/>
        <v>0</v>
      </c>
      <c r="AM37" s="179">
        <f t="shared" si="75"/>
        <v>0</v>
      </c>
      <c r="AN37" s="179">
        <f t="shared" si="76"/>
        <v>0</v>
      </c>
      <c r="AO37" s="179">
        <f t="shared" si="77"/>
        <v>0</v>
      </c>
      <c r="AP37" s="180">
        <f t="shared" si="89"/>
        <v>0</v>
      </c>
      <c r="AQ37" s="69"/>
      <c r="AR37" s="919">
        <f t="shared" si="79"/>
        <v>0</v>
      </c>
      <c r="AS37" s="920"/>
      <c r="AT37" s="230">
        <f t="shared" si="80"/>
        <v>6</v>
      </c>
      <c r="AU37" s="69"/>
      <c r="AV37" s="69"/>
      <c r="AW37" s="921"/>
      <c r="AX37" s="922"/>
    </row>
    <row r="38" spans="1:57" ht="14.1" customHeight="1">
      <c r="B38" s="630" t="str">
        <f t="shared" si="61"/>
        <v>Jose Cortez P.</v>
      </c>
      <c r="C38" s="92">
        <v>7</v>
      </c>
      <c r="D38" s="92">
        <v>16</v>
      </c>
      <c r="E38" s="92">
        <v>1</v>
      </c>
      <c r="F38" s="93">
        <f t="shared" si="81"/>
        <v>8</v>
      </c>
      <c r="G38" s="43"/>
      <c r="H38" s="43"/>
      <c r="I38" s="93">
        <f t="shared" si="82"/>
        <v>0</v>
      </c>
      <c r="J38" s="92"/>
      <c r="K38" s="41">
        <f t="shared" si="83"/>
        <v>8</v>
      </c>
      <c r="L38" s="94">
        <f t="shared" si="65"/>
        <v>0</v>
      </c>
      <c r="M38" s="92">
        <v>7</v>
      </c>
      <c r="N38" s="92">
        <v>16</v>
      </c>
      <c r="O38" s="92">
        <v>1</v>
      </c>
      <c r="P38" s="93">
        <f t="shared" si="84"/>
        <v>8</v>
      </c>
      <c r="Q38" s="200"/>
      <c r="R38" s="189"/>
      <c r="S38" s="93">
        <f t="shared" si="85"/>
        <v>0</v>
      </c>
      <c r="T38" s="92"/>
      <c r="U38" s="41">
        <f t="shared" si="86"/>
        <v>8</v>
      </c>
      <c r="V38" s="94">
        <f t="shared" si="69"/>
        <v>0</v>
      </c>
      <c r="W38" s="92">
        <v>7</v>
      </c>
      <c r="X38" s="92">
        <v>16</v>
      </c>
      <c r="Y38" s="201">
        <v>1</v>
      </c>
      <c r="Z38" s="202">
        <f t="shared" si="87"/>
        <v>8</v>
      </c>
      <c r="AA38" s="18"/>
      <c r="AB38" s="43"/>
      <c r="AC38" s="53">
        <f t="shared" si="71"/>
        <v>0</v>
      </c>
      <c r="AD38" s="19"/>
      <c r="AE38" s="41">
        <f t="shared" si="88"/>
        <v>8</v>
      </c>
      <c r="AF38" s="25">
        <f t="shared" si="73"/>
        <v>0</v>
      </c>
      <c r="AG38" s="69"/>
      <c r="AH38" s="203">
        <v>0</v>
      </c>
      <c r="AI38" s="204">
        <f t="shared" ref="AI38:AI39" si="90">+K16+(IF(ISBLANK($K$5),-8,0))</f>
        <v>0</v>
      </c>
      <c r="AJ38" s="205">
        <f t="shared" ref="AJ38:AJ39" si="91">IF(ISBLANK($U$5),-8,0)+U16</f>
        <v>0</v>
      </c>
      <c r="AK38" s="205">
        <f>IF(ISBLANK($AE$5),-8,0)+AE16</f>
        <v>-1</v>
      </c>
      <c r="AL38" s="179">
        <f t="shared" si="74"/>
        <v>0</v>
      </c>
      <c r="AM38" s="205">
        <f t="shared" si="75"/>
        <v>0</v>
      </c>
      <c r="AN38" s="205">
        <f t="shared" si="76"/>
        <v>0</v>
      </c>
      <c r="AO38" s="205">
        <f t="shared" si="77"/>
        <v>0</v>
      </c>
      <c r="AP38" s="206">
        <f t="shared" si="89"/>
        <v>-1</v>
      </c>
      <c r="AQ38" s="69"/>
      <c r="AR38" s="919">
        <f t="shared" si="79"/>
        <v>0</v>
      </c>
      <c r="AS38" s="920"/>
      <c r="AT38" s="561">
        <f t="shared" si="80"/>
        <v>6</v>
      </c>
      <c r="AU38" s="69"/>
      <c r="AV38" s="69"/>
      <c r="AW38" s="923"/>
      <c r="AX38" s="924"/>
    </row>
    <row r="39" spans="1:57" ht="14.1" customHeight="1">
      <c r="B39" s="91" t="str">
        <f t="shared" si="61"/>
        <v>Rafael Armas R.</v>
      </c>
      <c r="C39" s="102">
        <v>7</v>
      </c>
      <c r="D39" s="102">
        <v>20</v>
      </c>
      <c r="E39" s="102">
        <v>1</v>
      </c>
      <c r="F39" s="143">
        <f t="shared" si="81"/>
        <v>12</v>
      </c>
      <c r="G39" s="144"/>
      <c r="H39" s="43"/>
      <c r="I39" s="143">
        <f t="shared" si="82"/>
        <v>0</v>
      </c>
      <c r="J39" s="102"/>
      <c r="K39" s="41">
        <f t="shared" si="83"/>
        <v>8</v>
      </c>
      <c r="L39" s="147">
        <f t="shared" si="65"/>
        <v>4</v>
      </c>
      <c r="M39" s="92">
        <v>7</v>
      </c>
      <c r="N39" s="92">
        <v>24</v>
      </c>
      <c r="O39" s="201">
        <v>2</v>
      </c>
      <c r="P39" s="202">
        <f t="shared" si="84"/>
        <v>15</v>
      </c>
      <c r="Q39" s="201">
        <v>0</v>
      </c>
      <c r="R39" s="43">
        <v>7</v>
      </c>
      <c r="S39" s="202">
        <f t="shared" si="85"/>
        <v>7</v>
      </c>
      <c r="T39" s="201">
        <v>8</v>
      </c>
      <c r="U39" s="41">
        <f t="shared" si="86"/>
        <v>8</v>
      </c>
      <c r="V39" s="209">
        <f t="shared" si="69"/>
        <v>14</v>
      </c>
      <c r="W39" s="201">
        <v>7</v>
      </c>
      <c r="X39" s="201">
        <v>12</v>
      </c>
      <c r="Y39" s="201">
        <v>0</v>
      </c>
      <c r="Z39" s="202">
        <f t="shared" si="87"/>
        <v>5</v>
      </c>
      <c r="AA39" s="201"/>
      <c r="AB39" s="43"/>
      <c r="AC39" s="202">
        <f t="shared" si="71"/>
        <v>0</v>
      </c>
      <c r="AD39" s="201"/>
      <c r="AE39" s="41">
        <f t="shared" si="88"/>
        <v>8</v>
      </c>
      <c r="AF39" s="209">
        <f t="shared" si="73"/>
        <v>-3</v>
      </c>
      <c r="AG39" s="69"/>
      <c r="AH39" s="210">
        <v>0</v>
      </c>
      <c r="AI39" s="179">
        <f t="shared" si="90"/>
        <v>0</v>
      </c>
      <c r="AJ39" s="179">
        <f t="shared" si="91"/>
        <v>0</v>
      </c>
      <c r="AK39" s="211">
        <f>IF(ISBLANK($AE$5),-8,0)+AE17</f>
        <v>0</v>
      </c>
      <c r="AL39" s="179">
        <f t="shared" si="74"/>
        <v>0</v>
      </c>
      <c r="AM39" s="179">
        <f t="shared" si="75"/>
        <v>0</v>
      </c>
      <c r="AN39" s="179">
        <f t="shared" si="76"/>
        <v>0</v>
      </c>
      <c r="AO39" s="179">
        <f t="shared" si="77"/>
        <v>0</v>
      </c>
      <c r="AP39" s="180">
        <f t="shared" si="89"/>
        <v>0</v>
      </c>
      <c r="AQ39" s="69"/>
      <c r="AR39" s="919">
        <f t="shared" si="79"/>
        <v>10.849971428571429</v>
      </c>
      <c r="AS39" s="920"/>
      <c r="AT39" s="207">
        <f t="shared" si="80"/>
        <v>6</v>
      </c>
      <c r="AU39" s="69"/>
      <c r="AV39" s="69"/>
      <c r="AW39" s="921"/>
      <c r="AX39" s="922"/>
    </row>
    <row r="40" spans="1:57" s="116" customFormat="1" ht="14.1" customHeight="1">
      <c r="A40" s="212"/>
      <c r="B40" s="91" t="str">
        <f t="shared" si="61"/>
        <v>Jose Ochoa I.</v>
      </c>
      <c r="C40" s="102">
        <v>7</v>
      </c>
      <c r="D40" s="102">
        <v>16</v>
      </c>
      <c r="E40" s="102">
        <v>1</v>
      </c>
      <c r="F40" s="143">
        <f t="shared" si="81"/>
        <v>8</v>
      </c>
      <c r="G40" s="144"/>
      <c r="H40" s="43"/>
      <c r="I40" s="143">
        <f t="shared" si="82"/>
        <v>0</v>
      </c>
      <c r="J40" s="102"/>
      <c r="K40" s="41">
        <f t="shared" si="83"/>
        <v>8</v>
      </c>
      <c r="L40" s="147">
        <f t="shared" si="65"/>
        <v>0</v>
      </c>
      <c r="M40" s="213">
        <v>7</v>
      </c>
      <c r="N40" s="201">
        <v>16</v>
      </c>
      <c r="O40" s="201">
        <v>1</v>
      </c>
      <c r="P40" s="202">
        <f t="shared" si="84"/>
        <v>8</v>
      </c>
      <c r="Q40" s="214"/>
      <c r="R40" s="189"/>
      <c r="S40" s="202">
        <f t="shared" si="85"/>
        <v>0</v>
      </c>
      <c r="T40" s="201"/>
      <c r="U40" s="41">
        <f t="shared" si="86"/>
        <v>8</v>
      </c>
      <c r="V40" s="209">
        <f t="shared" si="69"/>
        <v>0</v>
      </c>
      <c r="W40" s="201">
        <v>7</v>
      </c>
      <c r="X40" s="201">
        <v>16</v>
      </c>
      <c r="Y40" s="201">
        <v>1</v>
      </c>
      <c r="Z40" s="202">
        <f t="shared" si="87"/>
        <v>8</v>
      </c>
      <c r="AA40" s="201"/>
      <c r="AB40" s="215"/>
      <c r="AC40" s="202">
        <f t="shared" si="71"/>
        <v>0</v>
      </c>
      <c r="AD40" s="201"/>
      <c r="AE40" s="41">
        <f t="shared" si="88"/>
        <v>8</v>
      </c>
      <c r="AF40" s="209">
        <f t="shared" si="73"/>
        <v>0</v>
      </c>
      <c r="AG40" s="69"/>
      <c r="AH40" s="216">
        <v>0</v>
      </c>
      <c r="AI40" s="217">
        <f>+K22+(IF(ISBLANK($K$5),-8,0))</f>
        <v>0</v>
      </c>
      <c r="AJ40" s="217">
        <f>IF(ISBLANK($U$5),-8,0)+U22</f>
        <v>0</v>
      </c>
      <c r="AK40" s="217">
        <f>IF(ISBLANK($AE$5),-8,0)+AE22</f>
        <v>-8</v>
      </c>
      <c r="AL40" s="217">
        <f t="shared" si="74"/>
        <v>0</v>
      </c>
      <c r="AM40" s="217">
        <f t="shared" si="75"/>
        <v>0</v>
      </c>
      <c r="AN40" s="217">
        <f t="shared" si="76"/>
        <v>0</v>
      </c>
      <c r="AO40" s="217">
        <f t="shared" si="77"/>
        <v>0</v>
      </c>
      <c r="AP40" s="218">
        <f t="shared" si="89"/>
        <v>-8</v>
      </c>
      <c r="AQ40" s="69"/>
      <c r="AR40" s="919">
        <f t="shared" si="79"/>
        <v>0</v>
      </c>
      <c r="AS40" s="920"/>
      <c r="AT40" s="207">
        <f t="shared" si="80"/>
        <v>6</v>
      </c>
      <c r="AU40" s="69"/>
      <c r="AV40" s="69"/>
      <c r="AW40" s="930"/>
      <c r="AX40" s="931"/>
    </row>
    <row r="41" spans="1:57" s="116" customFormat="1" ht="14.1" customHeight="1">
      <c r="A41" s="212"/>
      <c r="B41" s="91" t="str">
        <f t="shared" si="61"/>
        <v>Jairo Mirabal</v>
      </c>
      <c r="C41" s="102"/>
      <c r="D41" s="102"/>
      <c r="E41" s="102"/>
      <c r="F41" s="143">
        <f t="shared" si="81"/>
        <v>0</v>
      </c>
      <c r="G41" s="144"/>
      <c r="H41" s="43"/>
      <c r="I41" s="143">
        <f t="shared" si="82"/>
        <v>0</v>
      </c>
      <c r="J41" s="102"/>
      <c r="K41" s="41">
        <f t="shared" si="83"/>
        <v>0</v>
      </c>
      <c r="L41" s="147">
        <f t="shared" si="65"/>
        <v>0</v>
      </c>
      <c r="M41" s="213">
        <v>7</v>
      </c>
      <c r="N41" s="201">
        <v>16</v>
      </c>
      <c r="O41" s="201">
        <v>1</v>
      </c>
      <c r="P41" s="202">
        <f t="shared" si="84"/>
        <v>8</v>
      </c>
      <c r="Q41" s="214"/>
      <c r="R41" s="189"/>
      <c r="S41" s="202">
        <f t="shared" si="85"/>
        <v>0</v>
      </c>
      <c r="T41" s="201"/>
      <c r="U41" s="41">
        <f t="shared" si="86"/>
        <v>8</v>
      </c>
      <c r="V41" s="209">
        <f t="shared" si="69"/>
        <v>0</v>
      </c>
      <c r="W41" s="201"/>
      <c r="X41" s="201"/>
      <c r="Y41" s="201"/>
      <c r="Z41" s="202">
        <f t="shared" si="87"/>
        <v>0</v>
      </c>
      <c r="AA41" s="201"/>
      <c r="AB41" s="219"/>
      <c r="AC41" s="202">
        <f t="shared" si="71"/>
        <v>0</v>
      </c>
      <c r="AD41" s="201"/>
      <c r="AE41" s="41">
        <f t="shared" si="88"/>
        <v>0</v>
      </c>
      <c r="AF41" s="209">
        <f t="shared" si="73"/>
        <v>0</v>
      </c>
      <c r="AG41" s="69"/>
      <c r="AH41" s="216">
        <v>0</v>
      </c>
      <c r="AI41" s="217">
        <f>+K18+(IF(ISBLANK($K$5),-8,0))</f>
        <v>0</v>
      </c>
      <c r="AJ41" s="217">
        <f>IF(ISBLANK($U$5),-8,0)+U18</f>
        <v>0</v>
      </c>
      <c r="AK41" s="217">
        <f>IF(ISBLANK($AE$5),-8,0)+AE18</f>
        <v>0</v>
      </c>
      <c r="AL41" s="217">
        <f t="shared" si="74"/>
        <v>0</v>
      </c>
      <c r="AM41" s="217">
        <f t="shared" si="75"/>
        <v>-8</v>
      </c>
      <c r="AN41" s="217">
        <f t="shared" si="76"/>
        <v>0</v>
      </c>
      <c r="AO41" s="217">
        <f t="shared" si="77"/>
        <v>-8</v>
      </c>
      <c r="AP41" s="218">
        <f t="shared" si="89"/>
        <v>-16</v>
      </c>
      <c r="AQ41" s="69"/>
      <c r="AR41" s="928">
        <f t="shared" si="79"/>
        <v>0</v>
      </c>
      <c r="AS41" s="929"/>
      <c r="AT41" s="207">
        <f t="shared" si="80"/>
        <v>5</v>
      </c>
      <c r="AU41" s="69"/>
      <c r="AV41" s="69"/>
      <c r="AW41" s="930">
        <v>-16</v>
      </c>
      <c r="AX41" s="931"/>
    </row>
    <row r="42" spans="1:57" s="116" customFormat="1" ht="14.1" customHeight="1">
      <c r="A42" s="212"/>
      <c r="B42" s="91" t="str">
        <f t="shared" si="61"/>
        <v>Angel Colina N.</v>
      </c>
      <c r="C42" s="102">
        <v>7</v>
      </c>
      <c r="D42" s="102">
        <v>16</v>
      </c>
      <c r="E42" s="102">
        <v>1</v>
      </c>
      <c r="F42" s="143">
        <f t="shared" si="81"/>
        <v>8</v>
      </c>
      <c r="G42" s="144"/>
      <c r="H42" s="144"/>
      <c r="I42" s="143">
        <f t="shared" si="82"/>
        <v>0</v>
      </c>
      <c r="J42" s="102"/>
      <c r="K42" s="41">
        <f t="shared" si="83"/>
        <v>8</v>
      </c>
      <c r="L42" s="147">
        <f t="shared" si="65"/>
        <v>0</v>
      </c>
      <c r="M42" s="201">
        <v>7</v>
      </c>
      <c r="N42" s="201">
        <v>16</v>
      </c>
      <c r="O42" s="201">
        <v>1</v>
      </c>
      <c r="P42" s="202">
        <f t="shared" si="84"/>
        <v>8</v>
      </c>
      <c r="Q42" s="214"/>
      <c r="R42" s="189"/>
      <c r="S42" s="202">
        <f t="shared" si="85"/>
        <v>0</v>
      </c>
      <c r="T42" s="201"/>
      <c r="U42" s="41">
        <f t="shared" si="86"/>
        <v>8</v>
      </c>
      <c r="V42" s="209">
        <f t="shared" si="69"/>
        <v>0</v>
      </c>
      <c r="W42" s="201">
        <v>7</v>
      </c>
      <c r="X42" s="201">
        <v>16</v>
      </c>
      <c r="Y42" s="201">
        <v>1</v>
      </c>
      <c r="Z42" s="202">
        <f t="shared" si="87"/>
        <v>8</v>
      </c>
      <c r="AA42" s="201"/>
      <c r="AB42" s="219"/>
      <c r="AC42" s="202">
        <f>+AB42-AA42</f>
        <v>0</v>
      </c>
      <c r="AD42" s="201"/>
      <c r="AE42" s="41">
        <f t="shared" si="88"/>
        <v>8</v>
      </c>
      <c r="AF42" s="209">
        <f t="shared" si="73"/>
        <v>0</v>
      </c>
      <c r="AG42" s="69"/>
      <c r="AH42" s="216">
        <v>0</v>
      </c>
      <c r="AI42" s="217">
        <f>+K20+(IF(ISBLANK($K$5),-8,0))</f>
        <v>0</v>
      </c>
      <c r="AJ42" s="217">
        <f>IF(ISBLANK($U$5),-8,0)+U20</f>
        <v>0</v>
      </c>
      <c r="AK42" s="217">
        <f>IF(ISBLANK($AE$5),-8,0)+AE20</f>
        <v>0</v>
      </c>
      <c r="AL42" s="217">
        <f t="shared" si="74"/>
        <v>0</v>
      </c>
      <c r="AM42" s="217">
        <f t="shared" si="75"/>
        <v>0</v>
      </c>
      <c r="AN42" s="217">
        <f t="shared" si="76"/>
        <v>0</v>
      </c>
      <c r="AO42" s="217">
        <f t="shared" si="77"/>
        <v>0</v>
      </c>
      <c r="AP42" s="218">
        <f t="shared" si="89"/>
        <v>0</v>
      </c>
      <c r="AQ42" s="69"/>
      <c r="AR42" s="928">
        <f t="shared" si="79"/>
        <v>0</v>
      </c>
      <c r="AS42" s="929"/>
      <c r="AT42" s="207">
        <f t="shared" si="80"/>
        <v>6</v>
      </c>
      <c r="AU42" s="69"/>
      <c r="AV42" s="69"/>
      <c r="AW42" s="930"/>
      <c r="AX42" s="931"/>
    </row>
    <row r="43" spans="1:57" ht="14.1" customHeight="1" thickBot="1">
      <c r="B43" s="118" t="str">
        <f t="shared" si="61"/>
        <v>Pedro Hostos S.</v>
      </c>
      <c r="C43" s="119">
        <v>7</v>
      </c>
      <c r="D43" s="119">
        <v>17</v>
      </c>
      <c r="E43" s="119">
        <v>1</v>
      </c>
      <c r="F43" s="120">
        <f t="shared" si="62"/>
        <v>9</v>
      </c>
      <c r="G43" s="121"/>
      <c r="H43" s="121"/>
      <c r="I43" s="120">
        <f t="shared" si="63"/>
        <v>0</v>
      </c>
      <c r="J43" s="119"/>
      <c r="K43" s="120">
        <f t="shared" si="64"/>
        <v>8</v>
      </c>
      <c r="L43" s="122">
        <f t="shared" si="65"/>
        <v>1</v>
      </c>
      <c r="M43" s="119">
        <v>7</v>
      </c>
      <c r="N43" s="119">
        <v>16</v>
      </c>
      <c r="O43" s="119">
        <v>1</v>
      </c>
      <c r="P43" s="120">
        <f t="shared" si="66"/>
        <v>8</v>
      </c>
      <c r="Q43" s="121"/>
      <c r="R43" s="220"/>
      <c r="S43" s="120">
        <f t="shared" si="67"/>
        <v>0</v>
      </c>
      <c r="T43" s="119"/>
      <c r="U43" s="120">
        <f t="shared" si="68"/>
        <v>8</v>
      </c>
      <c r="V43" s="122">
        <f t="shared" si="69"/>
        <v>0</v>
      </c>
      <c r="W43" s="119">
        <v>12</v>
      </c>
      <c r="X43" s="119">
        <v>16</v>
      </c>
      <c r="Y43" s="119">
        <v>0</v>
      </c>
      <c r="Z43" s="120">
        <f t="shared" si="70"/>
        <v>4</v>
      </c>
      <c r="AA43" s="121"/>
      <c r="AB43" s="121"/>
      <c r="AC43" s="120">
        <f t="shared" si="71"/>
        <v>0</v>
      </c>
      <c r="AD43" s="119"/>
      <c r="AE43" s="120">
        <f t="shared" si="72"/>
        <v>8</v>
      </c>
      <c r="AF43" s="122">
        <f t="shared" si="73"/>
        <v>-4</v>
      </c>
      <c r="AG43" s="221"/>
      <c r="AH43" s="222">
        <v>0</v>
      </c>
      <c r="AI43" s="223">
        <f>+K21+(IF(ISBLANK($K$5),-8,0))</f>
        <v>0</v>
      </c>
      <c r="AJ43" s="223">
        <f>IF(ISBLANK($U$5),-8,0)+U21</f>
        <v>0</v>
      </c>
      <c r="AK43" s="223">
        <f>IF(ISBLANK($AE$5),-8,0)+AE21</f>
        <v>0</v>
      </c>
      <c r="AL43" s="223">
        <f t="shared" si="74"/>
        <v>0</v>
      </c>
      <c r="AM43" s="223">
        <f t="shared" si="75"/>
        <v>0</v>
      </c>
      <c r="AN43" s="223">
        <f t="shared" si="76"/>
        <v>0</v>
      </c>
      <c r="AO43" s="223">
        <f t="shared" si="77"/>
        <v>0</v>
      </c>
      <c r="AP43" s="224">
        <f t="shared" si="78"/>
        <v>0</v>
      </c>
      <c r="AQ43" s="69"/>
      <c r="AR43" s="932">
        <f t="shared" si="79"/>
        <v>0</v>
      </c>
      <c r="AS43" s="933"/>
      <c r="AT43" s="225">
        <f t="shared" si="80"/>
        <v>6</v>
      </c>
      <c r="AU43" s="69"/>
      <c r="AV43" s="69"/>
      <c r="AW43" s="934"/>
      <c r="AX43" s="935"/>
    </row>
    <row r="44" spans="1:57" ht="14.1" customHeight="1" thickTop="1">
      <c r="B44" s="39" t="str">
        <f t="shared" si="61"/>
        <v>Miguel Tejada Ll.</v>
      </c>
      <c r="C44" s="56">
        <v>7</v>
      </c>
      <c r="D44" s="43">
        <v>16</v>
      </c>
      <c r="E44" s="54">
        <v>1</v>
      </c>
      <c r="F44" s="53">
        <f>+D44-C44-E44</f>
        <v>8</v>
      </c>
      <c r="G44" s="43"/>
      <c r="H44" s="22"/>
      <c r="I44" s="53">
        <f>+H44-G44</f>
        <v>0</v>
      </c>
      <c r="J44" s="54"/>
      <c r="K44" s="55">
        <f>+I44+F44-L44</f>
        <v>8</v>
      </c>
      <c r="L44" s="135">
        <f t="shared" si="65"/>
        <v>0</v>
      </c>
      <c r="M44" s="56">
        <v>7</v>
      </c>
      <c r="N44" s="43">
        <v>16</v>
      </c>
      <c r="O44" s="54">
        <v>1</v>
      </c>
      <c r="P44" s="53">
        <f>+N44-M44-O44</f>
        <v>8</v>
      </c>
      <c r="Q44" s="117"/>
      <c r="R44" s="226"/>
      <c r="S44" s="53">
        <f>+R44-Q44</f>
        <v>0</v>
      </c>
      <c r="T44" s="54"/>
      <c r="U44" s="55">
        <f>+S44+P44-V44</f>
        <v>8</v>
      </c>
      <c r="V44" s="135">
        <f t="shared" si="69"/>
        <v>0</v>
      </c>
      <c r="W44" s="56">
        <v>7</v>
      </c>
      <c r="X44" s="43">
        <v>16</v>
      </c>
      <c r="Y44" s="54">
        <v>1</v>
      </c>
      <c r="Z44" s="53">
        <f>+X44-W44-Y44</f>
        <v>8</v>
      </c>
      <c r="AA44" s="43"/>
      <c r="AB44" s="64"/>
      <c r="AC44" s="53">
        <f>+AB44-AA44</f>
        <v>0</v>
      </c>
      <c r="AD44" s="54"/>
      <c r="AE44" s="55">
        <f>+AC44+Z44-AF44</f>
        <v>8</v>
      </c>
      <c r="AF44" s="135">
        <f t="shared" si="73"/>
        <v>0</v>
      </c>
      <c r="AG44" s="69"/>
      <c r="AH44" s="178">
        <v>0</v>
      </c>
      <c r="AI44" s="179">
        <f>+K22+(IF(ISBLANK($K$5),-8,0))</f>
        <v>0</v>
      </c>
      <c r="AJ44" s="179">
        <f>IF(ISBLANK($U$5),-8,0)+U22</f>
        <v>0</v>
      </c>
      <c r="AK44" s="179">
        <f>IF(ISBLANK($AE$5),-8,0)+AE22</f>
        <v>-8</v>
      </c>
      <c r="AL44" s="179">
        <f t="shared" si="74"/>
        <v>0</v>
      </c>
      <c r="AM44" s="179">
        <f t="shared" si="75"/>
        <v>0</v>
      </c>
      <c r="AN44" s="179">
        <f t="shared" si="76"/>
        <v>0</v>
      </c>
      <c r="AO44" s="179">
        <f t="shared" si="77"/>
        <v>0</v>
      </c>
      <c r="AP44" s="180">
        <f t="shared" si="78"/>
        <v>-8</v>
      </c>
      <c r="AQ44" s="69"/>
      <c r="AR44" s="919">
        <f t="shared" si="79"/>
        <v>0</v>
      </c>
      <c r="AS44" s="920"/>
      <c r="AT44" s="227">
        <f t="shared" si="80"/>
        <v>5</v>
      </c>
      <c r="AU44" s="69"/>
      <c r="AV44" s="69"/>
      <c r="AW44" s="921"/>
      <c r="AX44" s="922"/>
    </row>
    <row r="45" spans="1:57" ht="14.1" customHeight="1">
      <c r="B45" s="142" t="str">
        <f t="shared" si="61"/>
        <v>Jose Lares P.</v>
      </c>
      <c r="C45" s="50">
        <v>7</v>
      </c>
      <c r="D45" s="51">
        <v>16</v>
      </c>
      <c r="E45" s="52">
        <v>1</v>
      </c>
      <c r="F45" s="185">
        <f t="shared" ref="F45:F46" si="92">+D45-C45-E45</f>
        <v>8</v>
      </c>
      <c r="G45" s="51"/>
      <c r="H45" s="51"/>
      <c r="I45" s="185">
        <f t="shared" ref="I45:I46" si="93">+H45-G45</f>
        <v>0</v>
      </c>
      <c r="J45" s="52"/>
      <c r="K45" s="106">
        <f t="shared" ref="K45:K46" si="94">+I45+F45-L45</f>
        <v>8</v>
      </c>
      <c r="L45" s="575">
        <f t="shared" si="65"/>
        <v>0</v>
      </c>
      <c r="M45" s="51">
        <v>8</v>
      </c>
      <c r="N45" s="51">
        <v>16</v>
      </c>
      <c r="O45" s="52">
        <v>1</v>
      </c>
      <c r="P45" s="185">
        <f t="shared" ref="P45:P46" si="95">+N45-M45-O45</f>
        <v>7</v>
      </c>
      <c r="Q45" s="576"/>
      <c r="R45" s="174"/>
      <c r="S45" s="185">
        <f t="shared" ref="S45:S46" si="96">+R45-Q45</f>
        <v>0</v>
      </c>
      <c r="T45" s="52"/>
      <c r="U45" s="106">
        <f t="shared" ref="U45:U46" si="97">+S45+P45-V45</f>
        <v>8</v>
      </c>
      <c r="V45" s="575">
        <f t="shared" si="69"/>
        <v>-1</v>
      </c>
      <c r="W45" s="50">
        <v>7</v>
      </c>
      <c r="X45" s="51">
        <v>16</v>
      </c>
      <c r="Y45" s="52">
        <v>1</v>
      </c>
      <c r="Z45" s="185">
        <f t="shared" ref="Z45:Z46" si="98">+X45-W45-Y45</f>
        <v>8</v>
      </c>
      <c r="AA45" s="51"/>
      <c r="AB45" s="51"/>
      <c r="AC45" s="185">
        <f t="shared" ref="AC45:AC46" si="99">+AB45-AA45</f>
        <v>0</v>
      </c>
      <c r="AD45" s="52"/>
      <c r="AE45" s="106">
        <f t="shared" ref="AE45:AE46" si="100">+AC45+Z45-AF45</f>
        <v>8</v>
      </c>
      <c r="AF45" s="575">
        <f t="shared" si="73"/>
        <v>0</v>
      </c>
      <c r="AG45" s="69"/>
      <c r="AH45" s="178">
        <v>0</v>
      </c>
      <c r="AI45" s="179">
        <f>+K23+(IF(ISBLANK($K$5),-8,0))</f>
        <v>0</v>
      </c>
      <c r="AJ45" s="179">
        <f>IF(ISBLANK($U$5),-8,0)+U23</f>
        <v>0</v>
      </c>
      <c r="AK45" s="179">
        <f>IF(ISBLANK($AE$5),-8,0)+AE23</f>
        <v>0</v>
      </c>
      <c r="AL45" s="179">
        <f t="shared" si="74"/>
        <v>0</v>
      </c>
      <c r="AM45" s="179">
        <f t="shared" si="75"/>
        <v>0</v>
      </c>
      <c r="AN45" s="179">
        <f t="shared" si="76"/>
        <v>0</v>
      </c>
      <c r="AO45" s="179">
        <f t="shared" si="77"/>
        <v>0</v>
      </c>
      <c r="AP45" s="180">
        <f t="shared" si="78"/>
        <v>0</v>
      </c>
      <c r="AQ45" s="69"/>
      <c r="AR45" s="919">
        <f t="shared" si="79"/>
        <v>0</v>
      </c>
      <c r="AS45" s="920"/>
      <c r="AT45" s="187">
        <f t="shared" si="80"/>
        <v>6</v>
      </c>
      <c r="AU45" s="69"/>
      <c r="AV45" s="69"/>
      <c r="AW45" s="921"/>
      <c r="AX45" s="922"/>
    </row>
    <row r="46" spans="1:57" ht="14.1" customHeight="1">
      <c r="B46" s="142" t="str">
        <f t="shared" ref="B46:B47" si="101">+B24</f>
        <v>Jeeimy Davila C.</v>
      </c>
      <c r="C46" s="56">
        <v>7</v>
      </c>
      <c r="D46" s="43">
        <v>16</v>
      </c>
      <c r="E46" s="54">
        <v>1</v>
      </c>
      <c r="F46" s="53">
        <f t="shared" si="92"/>
        <v>8</v>
      </c>
      <c r="G46" s="43"/>
      <c r="H46" s="43"/>
      <c r="I46" s="53">
        <f t="shared" si="93"/>
        <v>0</v>
      </c>
      <c r="J46" s="54"/>
      <c r="K46" s="55">
        <f t="shared" si="94"/>
        <v>8</v>
      </c>
      <c r="L46" s="135">
        <f t="shared" si="65"/>
        <v>0</v>
      </c>
      <c r="M46" s="51">
        <v>7</v>
      </c>
      <c r="N46" s="51">
        <v>16</v>
      </c>
      <c r="O46" s="52">
        <v>1</v>
      </c>
      <c r="P46" s="185">
        <f t="shared" si="95"/>
        <v>8</v>
      </c>
      <c r="Q46" s="576"/>
      <c r="R46" s="174"/>
      <c r="S46" s="185">
        <f t="shared" si="96"/>
        <v>0</v>
      </c>
      <c r="T46" s="52"/>
      <c r="U46" s="106">
        <f t="shared" si="97"/>
        <v>8</v>
      </c>
      <c r="V46" s="575">
        <f t="shared" si="69"/>
        <v>0</v>
      </c>
      <c r="W46" s="50">
        <v>7</v>
      </c>
      <c r="X46" s="51">
        <v>16</v>
      </c>
      <c r="Y46" s="52">
        <v>1</v>
      </c>
      <c r="Z46" s="185">
        <f t="shared" si="98"/>
        <v>8</v>
      </c>
      <c r="AA46" s="51"/>
      <c r="AB46" s="51"/>
      <c r="AC46" s="185">
        <f t="shared" si="99"/>
        <v>0</v>
      </c>
      <c r="AD46" s="52"/>
      <c r="AE46" s="106">
        <f t="shared" si="100"/>
        <v>8</v>
      </c>
      <c r="AF46" s="575">
        <f t="shared" si="73"/>
        <v>0</v>
      </c>
      <c r="AG46" s="69"/>
      <c r="AH46" s="178">
        <v>0</v>
      </c>
      <c r="AI46" s="179">
        <f t="shared" ref="AI46" si="102">+K24+(IF(ISBLANK($K$5),-8,0))</f>
        <v>0</v>
      </c>
      <c r="AJ46" s="179">
        <f t="shared" ref="AJ46" si="103">IF(ISBLANK($U$5),-8,0)+U24</f>
        <v>0</v>
      </c>
      <c r="AK46" s="179">
        <f t="shared" ref="AK46" si="104">IF(ISBLANK($AE$5),-8,0)+AE24</f>
        <v>0</v>
      </c>
      <c r="AL46" s="179">
        <f t="shared" si="74"/>
        <v>0</v>
      </c>
      <c r="AM46" s="179">
        <f t="shared" si="75"/>
        <v>0</v>
      </c>
      <c r="AN46" s="179">
        <f t="shared" si="76"/>
        <v>0</v>
      </c>
      <c r="AO46" s="179">
        <f t="shared" si="77"/>
        <v>0</v>
      </c>
      <c r="AP46" s="180">
        <f t="shared" ref="AP46" si="105">SUM(AH46:AO46)</f>
        <v>0</v>
      </c>
      <c r="AQ46" s="69"/>
      <c r="AR46" s="919">
        <f t="shared" ref="AR46" si="106">+X85*Q85</f>
        <v>0</v>
      </c>
      <c r="AS46" s="920"/>
      <c r="AT46" s="187">
        <f t="shared" si="80"/>
        <v>6</v>
      </c>
      <c r="AU46" s="69"/>
      <c r="AV46" s="69"/>
      <c r="AW46" s="921"/>
      <c r="AX46" s="922"/>
    </row>
    <row r="47" spans="1:57" ht="14.1" customHeight="1" thickBot="1">
      <c r="B47" s="566" t="str">
        <f t="shared" si="101"/>
        <v xml:space="preserve">   </v>
      </c>
      <c r="C47" s="610"/>
      <c r="D47" s="611"/>
      <c r="E47" s="612"/>
      <c r="F47" s="613">
        <f t="shared" si="62"/>
        <v>0</v>
      </c>
      <c r="G47" s="611"/>
      <c r="H47" s="611"/>
      <c r="I47" s="613">
        <f t="shared" si="63"/>
        <v>0</v>
      </c>
      <c r="J47" s="612"/>
      <c r="K47" s="614">
        <f t="shared" si="64"/>
        <v>0</v>
      </c>
      <c r="L47" s="615">
        <f t="shared" si="65"/>
        <v>0</v>
      </c>
      <c r="M47" s="568"/>
      <c r="N47" s="568"/>
      <c r="O47" s="569"/>
      <c r="P47" s="570">
        <f t="shared" si="66"/>
        <v>0</v>
      </c>
      <c r="Q47" s="573"/>
      <c r="R47" s="574"/>
      <c r="S47" s="570">
        <f t="shared" si="67"/>
        <v>0</v>
      </c>
      <c r="T47" s="569"/>
      <c r="U47" s="571">
        <f t="shared" si="68"/>
        <v>0</v>
      </c>
      <c r="V47" s="572">
        <f t="shared" si="69"/>
        <v>0</v>
      </c>
      <c r="W47" s="567"/>
      <c r="X47" s="568"/>
      <c r="Y47" s="569"/>
      <c r="Z47" s="570">
        <f t="shared" si="70"/>
        <v>0</v>
      </c>
      <c r="AA47" s="568"/>
      <c r="AB47" s="568"/>
      <c r="AC47" s="570">
        <f t="shared" si="71"/>
        <v>0</v>
      </c>
      <c r="AD47" s="569"/>
      <c r="AE47" s="571">
        <f t="shared" si="72"/>
        <v>0</v>
      </c>
      <c r="AF47" s="572">
        <f t="shared" si="73"/>
        <v>0</v>
      </c>
      <c r="AG47" s="69"/>
      <c r="AH47" s="178">
        <v>0</v>
      </c>
      <c r="AI47" s="179">
        <f t="shared" ref="AI47" si="107">+K25+(IF(ISBLANK($K$5),-8,0))</f>
        <v>-8</v>
      </c>
      <c r="AJ47" s="179">
        <f t="shared" ref="AJ47" si="108">IF(ISBLANK($U$5),-8,0)+U25</f>
        <v>-8</v>
      </c>
      <c r="AK47" s="179">
        <f t="shared" ref="AK47" si="109">IF(ISBLANK($AE$5),-8,0)+AE25</f>
        <v>-8</v>
      </c>
      <c r="AL47" s="179">
        <f t="shared" si="74"/>
        <v>0</v>
      </c>
      <c r="AM47" s="179">
        <f t="shared" si="75"/>
        <v>-8</v>
      </c>
      <c r="AN47" s="179">
        <f t="shared" si="76"/>
        <v>-8</v>
      </c>
      <c r="AO47" s="179">
        <f t="shared" si="77"/>
        <v>-8</v>
      </c>
      <c r="AP47" s="180">
        <f t="shared" si="78"/>
        <v>-48</v>
      </c>
      <c r="AQ47" s="69"/>
      <c r="AR47" s="919">
        <f>+X86*Q86</f>
        <v>0</v>
      </c>
      <c r="AS47" s="920"/>
      <c r="AT47" s="187">
        <f t="shared" si="80"/>
        <v>0</v>
      </c>
      <c r="AU47" s="69"/>
      <c r="AV47" s="69"/>
      <c r="AW47" s="921"/>
      <c r="AX47" s="922"/>
    </row>
    <row r="48" spans="1:57" ht="14.1" customHeight="1">
      <c r="B48" s="239"/>
      <c r="C48" s="240"/>
      <c r="O48" s="241"/>
      <c r="P48" s="242"/>
      <c r="Q48" s="243"/>
      <c r="R48" s="243"/>
      <c r="S48" s="242"/>
      <c r="T48" s="241"/>
      <c r="U48" s="244"/>
      <c r="V48" s="245"/>
      <c r="W48" s="69"/>
      <c r="X48" s="246"/>
      <c r="Y48" s="247"/>
      <c r="Z48" s="248"/>
      <c r="AA48" s="249"/>
      <c r="AH48" s="250"/>
      <c r="AP48" s="250"/>
      <c r="AR48" s="936">
        <f>SUM(AP11:AQ25)</f>
        <v>103</v>
      </c>
      <c r="AS48" s="937"/>
      <c r="AT48" s="251">
        <f>SUM(AT33:AT47)</f>
        <v>84</v>
      </c>
    </row>
    <row r="49" spans="1:58" ht="10.15" customHeight="1">
      <c r="B49" s="239"/>
      <c r="O49" s="241"/>
      <c r="P49" s="242"/>
      <c r="Q49" s="243"/>
      <c r="R49" s="243"/>
      <c r="S49" s="242"/>
      <c r="T49" s="241"/>
      <c r="U49" s="244"/>
      <c r="V49" s="244"/>
      <c r="W49" s="69"/>
      <c r="X49" s="246"/>
      <c r="Y49" s="247"/>
      <c r="Z49" s="248"/>
      <c r="AA49" s="249"/>
      <c r="AW49" s="938">
        <f>SUM(AW33:AX47)*-1</f>
        <v>46</v>
      </c>
      <c r="AX49" s="939"/>
    </row>
    <row r="50" spans="1:58" ht="14.1" customHeight="1">
      <c r="C50" s="240" t="s">
        <v>25</v>
      </c>
      <c r="E50" s="252"/>
      <c r="O50" s="241"/>
      <c r="P50" s="242"/>
      <c r="Q50" s="243"/>
      <c r="R50" s="243"/>
      <c r="S50" s="242"/>
      <c r="T50" s="241"/>
      <c r="U50" s="244"/>
      <c r="V50" s="244"/>
      <c r="W50" s="69"/>
      <c r="X50" s="246"/>
      <c r="Y50" s="247"/>
      <c r="Z50" s="248"/>
      <c r="AA50" s="249"/>
      <c r="AC50" s="253" t="s">
        <v>26</v>
      </c>
      <c r="AD50" s="254"/>
      <c r="AE50" s="254"/>
      <c r="AF50" s="254"/>
      <c r="AG50" s="254"/>
      <c r="AH50" s="254"/>
      <c r="AI50" s="254"/>
      <c r="AJ50" s="254"/>
      <c r="AK50" s="254"/>
      <c r="AL50" s="254"/>
      <c r="AM50" s="253" t="s">
        <v>27</v>
      </c>
      <c r="AO50" s="255"/>
      <c r="AW50" s="940"/>
      <c r="AX50" s="941"/>
    </row>
    <row r="51" spans="1:58" ht="14.1" customHeight="1">
      <c r="C51" s="240"/>
      <c r="D51" s="256"/>
      <c r="E51" s="252"/>
      <c r="O51" s="241"/>
      <c r="P51" s="242"/>
      <c r="Q51" s="243"/>
      <c r="R51" s="243"/>
      <c r="S51" s="242"/>
      <c r="T51" s="241"/>
      <c r="U51" s="244"/>
      <c r="V51" s="244"/>
      <c r="W51" s="69"/>
      <c r="X51" s="246"/>
      <c r="Y51" s="247"/>
      <c r="Z51" s="248"/>
      <c r="AA51" s="249"/>
      <c r="AC51" s="253"/>
      <c r="AD51" s="254"/>
      <c r="AE51" s="254"/>
      <c r="AF51" s="254"/>
      <c r="AG51" s="254"/>
      <c r="AH51" s="254"/>
      <c r="AI51" s="254"/>
      <c r="AJ51" s="254"/>
      <c r="AK51" s="254"/>
      <c r="AL51" s="254"/>
      <c r="AM51" s="253"/>
      <c r="AO51" s="255"/>
      <c r="AW51" s="257"/>
      <c r="AX51" s="257"/>
    </row>
    <row r="52" spans="1:58" ht="14.1" customHeight="1">
      <c r="D52" s="258">
        <v>915</v>
      </c>
      <c r="E52" s="259">
        <v>1545</v>
      </c>
      <c r="F52" s="260"/>
      <c r="G52" s="258"/>
      <c r="H52" s="258"/>
      <c r="I52" s="260"/>
      <c r="J52" s="258"/>
      <c r="K52" s="261"/>
      <c r="L52" s="261"/>
      <c r="M52" s="258">
        <v>847</v>
      </c>
      <c r="N52" s="258">
        <v>1520</v>
      </c>
      <c r="O52" s="262"/>
      <c r="P52" s="263"/>
      <c r="Q52" s="264"/>
      <c r="R52" s="264"/>
      <c r="S52" s="263"/>
      <c r="T52" s="262"/>
      <c r="U52" s="265"/>
      <c r="V52" s="265"/>
      <c r="W52" s="266">
        <v>720</v>
      </c>
      <c r="X52" s="266">
        <v>1615</v>
      </c>
      <c r="Y52" s="247"/>
      <c r="Z52" s="248"/>
      <c r="AA52" s="249"/>
      <c r="AC52" s="253"/>
      <c r="AD52" s="254"/>
      <c r="AE52" s="254"/>
      <c r="AF52" s="254"/>
      <c r="AG52" s="254"/>
      <c r="AH52" s="254"/>
      <c r="AI52" s="254"/>
      <c r="AJ52" s="254"/>
      <c r="AK52" s="254"/>
      <c r="AL52" s="254"/>
      <c r="AM52" s="253"/>
      <c r="AO52" s="255"/>
      <c r="AW52" s="257"/>
      <c r="AX52" s="257"/>
    </row>
    <row r="53" spans="1:58" ht="14.1" customHeight="1">
      <c r="O53" s="241"/>
      <c r="P53" s="242"/>
      <c r="Q53" s="243"/>
      <c r="R53" s="243"/>
      <c r="S53" s="242"/>
      <c r="T53" s="241"/>
      <c r="U53" s="244"/>
      <c r="V53" s="244"/>
      <c r="W53" s="69"/>
      <c r="X53" s="246"/>
      <c r="Y53" s="247"/>
      <c r="Z53" s="248"/>
      <c r="AA53" s="249"/>
      <c r="AC53" s="253"/>
      <c r="AD53" s="254"/>
      <c r="AE53" s="254"/>
      <c r="AF53" s="254"/>
      <c r="AG53" s="254"/>
      <c r="AH53" s="254"/>
      <c r="AI53" s="254"/>
      <c r="AJ53" s="254"/>
      <c r="AK53" s="254"/>
      <c r="AL53" s="254"/>
      <c r="AM53" s="253"/>
      <c r="AO53" s="255"/>
      <c r="AW53" s="257"/>
      <c r="AX53" s="257"/>
    </row>
    <row r="54" spans="1:58" ht="14.1" customHeight="1">
      <c r="O54" s="241"/>
      <c r="P54" s="242"/>
      <c r="Q54" s="243"/>
      <c r="R54" s="243"/>
      <c r="S54" s="242"/>
      <c r="T54" s="241"/>
      <c r="U54" s="244"/>
      <c r="V54" s="244"/>
      <c r="W54" s="69"/>
      <c r="X54" s="246"/>
      <c r="Y54" s="247"/>
      <c r="Z54" s="248"/>
      <c r="AA54" s="249"/>
      <c r="AC54" s="253"/>
      <c r="AD54" s="254"/>
      <c r="AE54" s="254"/>
      <c r="AF54" s="254"/>
      <c r="AG54" s="254"/>
      <c r="AH54" s="254"/>
      <c r="AI54" s="254"/>
      <c r="AJ54" s="254"/>
      <c r="AK54" s="254"/>
      <c r="AL54" s="254"/>
      <c r="AM54" s="253"/>
      <c r="AO54" s="255"/>
      <c r="AW54" s="257"/>
      <c r="AX54" s="257"/>
    </row>
    <row r="55" spans="1:58" ht="14.1" customHeight="1" thickBot="1">
      <c r="O55" s="241"/>
      <c r="P55" s="242"/>
      <c r="Q55" s="243"/>
      <c r="R55" s="243"/>
      <c r="S55" s="242"/>
      <c r="T55" s="241"/>
      <c r="U55" s="244"/>
      <c r="V55" s="244"/>
      <c r="W55" s="69"/>
      <c r="X55" s="246"/>
      <c r="Y55" s="247"/>
      <c r="Z55" s="248"/>
      <c r="AA55" s="249"/>
      <c r="AC55" s="253"/>
      <c r="AD55" s="254"/>
      <c r="AE55" s="254"/>
      <c r="AF55" s="254"/>
      <c r="AG55" s="254"/>
      <c r="AH55" s="254"/>
      <c r="AI55" s="254"/>
      <c r="AJ55" s="254"/>
      <c r="AK55" s="254"/>
      <c r="AL55" s="254"/>
      <c r="AM55" s="253"/>
      <c r="AO55" s="255"/>
      <c r="AW55" s="257"/>
      <c r="AX55" s="257"/>
    </row>
    <row r="56" spans="1:58" ht="6.95" customHeight="1">
      <c r="C56" s="955">
        <f>+C5</f>
        <v>43867</v>
      </c>
      <c r="D56" s="744"/>
      <c r="E56" s="744"/>
      <c r="F56" s="744"/>
      <c r="G56" s="744"/>
      <c r="H56" s="744"/>
      <c r="I56" s="744"/>
      <c r="J56" s="744"/>
      <c r="K56" s="971"/>
      <c r="L56" s="972"/>
      <c r="M56" s="744">
        <f>1+C56</f>
        <v>43868</v>
      </c>
      <c r="N56" s="744"/>
      <c r="O56" s="744"/>
      <c r="P56" s="744"/>
      <c r="Q56" s="744"/>
      <c r="R56" s="744"/>
      <c r="S56" s="744"/>
      <c r="T56" s="744"/>
      <c r="U56" s="967"/>
      <c r="V56" s="968"/>
      <c r="W56" s="975">
        <f>1+M56</f>
        <v>43869</v>
      </c>
      <c r="X56" s="976"/>
      <c r="Y56" s="976"/>
      <c r="Z56" s="976"/>
      <c r="AA56" s="976"/>
      <c r="AB56" s="976"/>
      <c r="AC56" s="976"/>
      <c r="AD56" s="976"/>
      <c r="AE56" s="979"/>
      <c r="AF56" s="980"/>
      <c r="AG56" s="948">
        <f>1+W56</f>
        <v>43870</v>
      </c>
      <c r="AH56" s="949"/>
      <c r="AI56" s="949"/>
      <c r="AJ56" s="949"/>
      <c r="AK56" s="949"/>
      <c r="AL56" s="949"/>
      <c r="AM56" s="949"/>
      <c r="AN56" s="949"/>
      <c r="AO56" s="791" t="s">
        <v>2</v>
      </c>
      <c r="AW56" s="257"/>
      <c r="AX56" s="257"/>
    </row>
    <row r="57" spans="1:58" s="267" customFormat="1" ht="6.95" customHeight="1" thickBot="1">
      <c r="A57" s="1"/>
      <c r="C57" s="956"/>
      <c r="D57" s="745"/>
      <c r="E57" s="745"/>
      <c r="F57" s="745"/>
      <c r="G57" s="745"/>
      <c r="H57" s="745"/>
      <c r="I57" s="745"/>
      <c r="J57" s="745"/>
      <c r="K57" s="973"/>
      <c r="L57" s="974"/>
      <c r="M57" s="745"/>
      <c r="N57" s="745"/>
      <c r="O57" s="745"/>
      <c r="P57" s="745"/>
      <c r="Q57" s="745"/>
      <c r="R57" s="745"/>
      <c r="S57" s="745"/>
      <c r="T57" s="745"/>
      <c r="U57" s="969"/>
      <c r="V57" s="970"/>
      <c r="W57" s="977"/>
      <c r="X57" s="978"/>
      <c r="Y57" s="978"/>
      <c r="Z57" s="978"/>
      <c r="AA57" s="978"/>
      <c r="AB57" s="978"/>
      <c r="AC57" s="978"/>
      <c r="AD57" s="978"/>
      <c r="AE57" s="981"/>
      <c r="AF57" s="982"/>
      <c r="AG57" s="950"/>
      <c r="AH57" s="951"/>
      <c r="AI57" s="951"/>
      <c r="AJ57" s="951"/>
      <c r="AK57" s="951"/>
      <c r="AL57" s="951"/>
      <c r="AM57" s="951"/>
      <c r="AN57" s="951"/>
      <c r="AO57" s="792"/>
      <c r="AW57" s="257"/>
      <c r="AX57" s="257"/>
    </row>
    <row r="58" spans="1:58" ht="14.1" customHeight="1" thickBot="1">
      <c r="B58" s="268" t="str">
        <f>+B89</f>
        <v>CEQR</v>
      </c>
      <c r="C58" s="231"/>
      <c r="D58" s="232"/>
      <c r="E58" s="233"/>
      <c r="F58" s="234">
        <f>+D58-C58-E58</f>
        <v>0</v>
      </c>
      <c r="G58" s="232"/>
      <c r="H58" s="232"/>
      <c r="I58" s="234">
        <f>+H58-G58</f>
        <v>0</v>
      </c>
      <c r="J58" s="233"/>
      <c r="K58" s="235">
        <f>+I58+F58-L58</f>
        <v>0</v>
      </c>
      <c r="L58" s="269">
        <f>IF(C58&gt;0,(F58+I58)+IF(K$5&gt;0,0+F58,-8),0)</f>
        <v>0</v>
      </c>
      <c r="M58" s="270"/>
      <c r="N58" s="232"/>
      <c r="O58" s="233"/>
      <c r="P58" s="234">
        <f>+N58-M58-O58</f>
        <v>0</v>
      </c>
      <c r="Q58" s="271"/>
      <c r="R58" s="160"/>
      <c r="S58" s="234">
        <f>+R58-Q58</f>
        <v>0</v>
      </c>
      <c r="T58" s="233"/>
      <c r="U58" s="235">
        <f>+S58+P58-V58</f>
        <v>0</v>
      </c>
      <c r="V58" s="269">
        <f>IF(M58&gt;0,(P58+S58)+IF(U$5&gt;0,0+P58,-8),0)</f>
        <v>0</v>
      </c>
      <c r="W58" s="232"/>
      <c r="X58" s="232"/>
      <c r="Y58" s="233"/>
      <c r="Z58" s="234">
        <f>+X58-W58-Y58</f>
        <v>0</v>
      </c>
      <c r="AA58" s="232"/>
      <c r="AB58" s="272"/>
      <c r="AC58" s="234">
        <f>+AB58-AA58</f>
        <v>0</v>
      </c>
      <c r="AD58" s="233"/>
      <c r="AE58" s="235">
        <f>+AC58+Z58-IF(AE$5&gt;0,AF58/2,AF58)</f>
        <v>0</v>
      </c>
      <c r="AF58" s="269">
        <f>IF(W58&gt;0,IF(AE$5&gt;0,(Z58+AC58)*2,(Z58+AC58-8)),0)*IF(Z58&lt;9,IF(AE$5&gt;0,1,2),1)+IF(Z58&gt;8,AC58,0)</f>
        <v>0</v>
      </c>
      <c r="AG58" s="273"/>
      <c r="AH58" s="273"/>
      <c r="AI58" s="274"/>
      <c r="AJ58" s="275">
        <f>+AH58-AG58-AI58</f>
        <v>0</v>
      </c>
      <c r="AK58" s="276"/>
      <c r="AL58" s="276"/>
      <c r="AM58" s="277">
        <f>+AL58-AK58</f>
        <v>0</v>
      </c>
      <c r="AN58" s="274">
        <v>-3</v>
      </c>
      <c r="AO58" s="278">
        <f>(AJ58*2+AM58)</f>
        <v>0</v>
      </c>
      <c r="AP58" s="952">
        <f>+L58+V58+AF58+AO58+L62+V62+AF62-AN58</f>
        <v>3</v>
      </c>
      <c r="AQ58" s="953"/>
      <c r="AR58" s="954">
        <f>ROUND(BD58*AP58,1)</f>
        <v>29.4</v>
      </c>
      <c r="AS58" s="954"/>
      <c r="AT58" s="279" t="e">
        <f>IF(AT62&gt;0,AT62*$AT$10,0)</f>
        <v>#REF!</v>
      </c>
      <c r="AU58" s="69"/>
      <c r="AV58" s="100">
        <f>+L58</f>
        <v>0</v>
      </c>
      <c r="AW58" s="100">
        <f>+V58</f>
        <v>0</v>
      </c>
      <c r="AX58" s="100">
        <f>+AF58</f>
        <v>0</v>
      </c>
      <c r="AY58" s="101">
        <f>+AO58</f>
        <v>0</v>
      </c>
      <c r="AZ58" s="100">
        <f>+L62</f>
        <v>0</v>
      </c>
      <c r="BA58" s="100">
        <f>+V62</f>
        <v>0</v>
      </c>
      <c r="BB58" s="100">
        <f>+AF62</f>
        <v>0</v>
      </c>
      <c r="BC58" s="66"/>
      <c r="BD58" s="36">
        <f>+I89</f>
        <v>9.7916660714285708</v>
      </c>
      <c r="BE58" s="67">
        <f>+BD58*AP58</f>
        <v>29.374998214285711</v>
      </c>
      <c r="BF58" s="68">
        <f>+BD58*AY58</f>
        <v>0</v>
      </c>
    </row>
    <row r="59" spans="1:58" ht="14.1" customHeight="1" thickBot="1">
      <c r="C59" s="280"/>
      <c r="D59" s="280"/>
      <c r="E59" s="281"/>
      <c r="F59" s="282"/>
      <c r="G59" s="280"/>
      <c r="H59" s="280"/>
      <c r="I59" s="282"/>
      <c r="J59" s="281"/>
      <c r="K59" s="283"/>
      <c r="L59" s="284"/>
      <c r="M59" s="280"/>
      <c r="N59" s="280"/>
      <c r="O59" s="281"/>
      <c r="P59" s="282"/>
      <c r="Q59" s="285"/>
      <c r="R59" s="286"/>
      <c r="S59" s="282"/>
      <c r="T59" s="281"/>
      <c r="U59" s="283"/>
      <c r="V59" s="284"/>
      <c r="W59" s="280"/>
      <c r="X59" s="280"/>
      <c r="Y59" s="281"/>
      <c r="Z59" s="282"/>
      <c r="AA59" s="280"/>
      <c r="AB59" s="287"/>
      <c r="AC59" s="282"/>
      <c r="AD59" s="281"/>
      <c r="AE59" s="283"/>
      <c r="AF59" s="284"/>
      <c r="AG59" s="243"/>
      <c r="AH59" s="243"/>
      <c r="AI59" s="241"/>
      <c r="AJ59" s="288"/>
      <c r="AK59" s="289"/>
      <c r="AL59" s="289"/>
      <c r="AM59" s="242"/>
      <c r="AN59" s="241"/>
      <c r="AO59" s="244"/>
      <c r="AP59" s="243"/>
      <c r="AQ59" s="243"/>
      <c r="AR59" s="290"/>
      <c r="AS59" s="290"/>
      <c r="AT59" s="291"/>
      <c r="AU59" s="69"/>
      <c r="AV59" s="66"/>
      <c r="AW59" s="66"/>
      <c r="AX59" s="66"/>
      <c r="AY59" s="292"/>
      <c r="AZ59" s="66"/>
      <c r="BA59" s="66"/>
      <c r="BB59" s="66"/>
      <c r="BC59" s="66"/>
      <c r="BD59" s="293"/>
      <c r="BE59" s="294"/>
      <c r="BF59" s="295"/>
    </row>
    <row r="60" spans="1:58" ht="6.95" customHeight="1">
      <c r="C60" s="955">
        <f>+C27</f>
        <v>43871</v>
      </c>
      <c r="D60" s="744"/>
      <c r="E60" s="744"/>
      <c r="F60" s="744"/>
      <c r="G60" s="744"/>
      <c r="H60" s="744"/>
      <c r="I60" s="744"/>
      <c r="J60" s="744"/>
      <c r="K60" s="957"/>
      <c r="L60" s="958"/>
      <c r="M60" s="961">
        <f>1+C60</f>
        <v>43872</v>
      </c>
      <c r="N60" s="962"/>
      <c r="O60" s="962"/>
      <c r="P60" s="962"/>
      <c r="Q60" s="962"/>
      <c r="R60" s="962"/>
      <c r="S60" s="962"/>
      <c r="T60" s="963"/>
      <c r="U60" s="967"/>
      <c r="V60" s="968"/>
      <c r="W60" s="744">
        <f>1+M60</f>
        <v>43873</v>
      </c>
      <c r="X60" s="744"/>
      <c r="Y60" s="744"/>
      <c r="Z60" s="744"/>
      <c r="AA60" s="744"/>
      <c r="AB60" s="744"/>
      <c r="AC60" s="744"/>
      <c r="AD60" s="744"/>
      <c r="AE60" s="967"/>
      <c r="AF60" s="968"/>
      <c r="AG60" s="254"/>
      <c r="AH60" s="254"/>
      <c r="AI60" s="254"/>
      <c r="AJ60" s="254"/>
      <c r="AK60" s="254"/>
      <c r="AL60" s="254"/>
      <c r="AM60" s="253"/>
      <c r="AO60" s="255"/>
      <c r="AW60" s="257"/>
      <c r="AX60" s="257"/>
    </row>
    <row r="61" spans="1:58" s="267" customFormat="1" ht="6.95" customHeight="1" thickBot="1">
      <c r="A61" s="1"/>
      <c r="C61" s="956"/>
      <c r="D61" s="745"/>
      <c r="E61" s="745"/>
      <c r="F61" s="745"/>
      <c r="G61" s="745"/>
      <c r="H61" s="745"/>
      <c r="I61" s="745"/>
      <c r="J61" s="745"/>
      <c r="K61" s="959"/>
      <c r="L61" s="960"/>
      <c r="M61" s="964"/>
      <c r="N61" s="965"/>
      <c r="O61" s="965"/>
      <c r="P61" s="965"/>
      <c r="Q61" s="965"/>
      <c r="R61" s="965"/>
      <c r="S61" s="965"/>
      <c r="T61" s="966"/>
      <c r="U61" s="969"/>
      <c r="V61" s="970"/>
      <c r="W61" s="745"/>
      <c r="X61" s="745"/>
      <c r="Y61" s="745"/>
      <c r="Z61" s="745"/>
      <c r="AA61" s="745"/>
      <c r="AB61" s="745"/>
      <c r="AC61" s="745"/>
      <c r="AD61" s="745"/>
      <c r="AE61" s="969"/>
      <c r="AF61" s="970"/>
      <c r="AG61" s="296"/>
      <c r="AH61" s="296"/>
      <c r="AI61" s="296"/>
      <c r="AJ61" s="296"/>
      <c r="AK61" s="296"/>
      <c r="AL61" s="296"/>
      <c r="AM61" s="297"/>
      <c r="AO61" s="298"/>
      <c r="AW61" s="257"/>
      <c r="AX61" s="257"/>
    </row>
    <row r="62" spans="1:58" ht="14.1" customHeight="1" thickBot="1">
      <c r="B62" s="268" t="str">
        <f>+B58</f>
        <v>CEQR</v>
      </c>
      <c r="C62" s="231"/>
      <c r="D62" s="232"/>
      <c r="E62" s="233"/>
      <c r="F62" s="234">
        <f>+D62-C62-E62</f>
        <v>0</v>
      </c>
      <c r="G62" s="271"/>
      <c r="H62" s="160"/>
      <c r="I62" s="234">
        <f>+H62-G62</f>
        <v>0</v>
      </c>
      <c r="J62" s="233"/>
      <c r="K62" s="235">
        <f>+I62+F62-L62</f>
        <v>0</v>
      </c>
      <c r="L62" s="269">
        <f>IF(C62&gt;0,(F62+I62)+IF(K$27&gt;0,0+F62,-8),0)</f>
        <v>0</v>
      </c>
      <c r="M62" s="276"/>
      <c r="N62" s="276"/>
      <c r="O62" s="274"/>
      <c r="P62" s="277">
        <f>+N62-M62-O62</f>
        <v>0</v>
      </c>
      <c r="Q62" s="273"/>
      <c r="R62" s="276"/>
      <c r="S62" s="234">
        <f>+R62-Q62</f>
        <v>0</v>
      </c>
      <c r="T62" s="274"/>
      <c r="U62" s="299">
        <f>+S62+P62-V62</f>
        <v>0</v>
      </c>
      <c r="V62" s="300">
        <f>IF(M62&gt;0,(P62+S62)+IF(U$27&gt;0,0+P62,-8),0)</f>
        <v>0</v>
      </c>
      <c r="W62" s="301"/>
      <c r="X62" s="276"/>
      <c r="Y62" s="274"/>
      <c r="Z62" s="277">
        <f>+X62-W62-Y62</f>
        <v>0</v>
      </c>
      <c r="AA62" s="276"/>
      <c r="AB62" s="276"/>
      <c r="AC62" s="234">
        <f>+AB62-AA62</f>
        <v>0</v>
      </c>
      <c r="AD62" s="274"/>
      <c r="AE62" s="299">
        <f>+AC62+Z62-AF62</f>
        <v>0</v>
      </c>
      <c r="AF62" s="236">
        <f>IF(W62&gt;0,(Z62+AC62)+IF(AE$27&gt;0,0+Z62,-8),0)</f>
        <v>0</v>
      </c>
      <c r="AG62" s="69"/>
      <c r="AH62" s="302">
        <v>0</v>
      </c>
      <c r="AI62" s="303">
        <f>+K58+(IF(ISBLANK($K$56),-8,0))</f>
        <v>-8</v>
      </c>
      <c r="AJ62" s="303">
        <f>IF(ISBLANK($U$56),-8,0)+U58</f>
        <v>-8</v>
      </c>
      <c r="AK62" s="304">
        <f>IF(ISBLANK($AE$56),-8,0)+AE58</f>
        <v>-8</v>
      </c>
      <c r="AL62" s="303">
        <f>IF(ISBLANK($AO$56),-8,0)+AM58+AW62</f>
        <v>0</v>
      </c>
      <c r="AM62" s="303">
        <f>IF(ISBLANK($K$60),-8,0)+K62</f>
        <v>-8</v>
      </c>
      <c r="AN62" s="303">
        <f>IF(ISBLANK($U$60),-8,0)+U62</f>
        <v>-8</v>
      </c>
      <c r="AO62" s="303">
        <f>IF(ISBLANK($AE$60),-8,0)+AE62</f>
        <v>-8</v>
      </c>
      <c r="AP62" s="305">
        <f>SUM(AH62:AO62)</f>
        <v>-48</v>
      </c>
      <c r="AQ62" s="306"/>
      <c r="AR62" s="994">
        <f>+X89*Q89</f>
        <v>0</v>
      </c>
      <c r="AS62" s="995"/>
      <c r="AT62" s="307" t="e">
        <f>IF(#REF!+#REF!&gt;0,1,0)+IF(#REF!+#REF!&gt;0,1,0)+IF(#REF!+#REF!&gt;0,1,0)+IF(#REF!&gt;3,1,0)+IF(K62+L62&gt;0,1,0)+IF(U62+V62&gt;0,1,0)+IF(AE62+AF62&gt;0,1,0)</f>
        <v>#REF!</v>
      </c>
      <c r="AU62" s="69"/>
      <c r="AV62" s="69"/>
      <c r="AW62" s="921"/>
      <c r="AX62" s="922"/>
    </row>
    <row r="63" spans="1:58" ht="14.1" customHeight="1">
      <c r="O63" s="241"/>
      <c r="P63" s="242"/>
      <c r="Q63" s="243"/>
      <c r="R63" s="243"/>
      <c r="S63" s="242"/>
      <c r="T63" s="241"/>
      <c r="U63" s="244"/>
      <c r="V63" s="244"/>
      <c r="W63" s="69"/>
      <c r="X63" s="246"/>
      <c r="Y63" s="247"/>
      <c r="Z63" s="248"/>
      <c r="AA63" s="249"/>
      <c r="AC63" s="253"/>
      <c r="AD63" s="254"/>
      <c r="AE63" s="254"/>
      <c r="AF63" s="254"/>
      <c r="AG63" s="254"/>
      <c r="AH63" s="254"/>
      <c r="AI63" s="254"/>
      <c r="AJ63" s="254"/>
      <c r="AK63" s="996"/>
      <c r="AL63" s="996"/>
      <c r="AM63" s="253"/>
      <c r="AO63" s="255"/>
      <c r="AW63" s="257"/>
      <c r="AX63" s="257"/>
    </row>
    <row r="64" spans="1:58" ht="14.1" customHeight="1">
      <c r="O64" s="241"/>
      <c r="P64" s="242"/>
      <c r="Q64" s="243"/>
      <c r="R64" s="243"/>
      <c r="S64" s="242"/>
      <c r="T64" s="241"/>
      <c r="U64" s="244"/>
      <c r="V64" s="244"/>
      <c r="W64" s="69"/>
      <c r="X64" s="246"/>
      <c r="Y64" s="247"/>
      <c r="AW64" s="257"/>
      <c r="AX64" s="257"/>
    </row>
    <row r="65" spans="1:50" ht="18" customHeight="1">
      <c r="C65" s="240" t="s">
        <v>28</v>
      </c>
      <c r="O65" s="241"/>
      <c r="P65" s="242"/>
      <c r="Q65" s="243"/>
      <c r="R65" s="243"/>
      <c r="S65" s="242"/>
      <c r="T65" s="241"/>
      <c r="U65" s="244"/>
      <c r="V65" s="244"/>
      <c r="W65" s="69"/>
      <c r="X65" s="246"/>
      <c r="Y65" s="247"/>
      <c r="AW65" s="257"/>
      <c r="AX65" s="257"/>
    </row>
    <row r="66" spans="1:50" ht="3" customHeight="1">
      <c r="Q66" s="308"/>
      <c r="R66" s="309"/>
      <c r="S66" s="310"/>
      <c r="T66" s="311"/>
      <c r="AX66" s="257"/>
    </row>
    <row r="67" spans="1:50" ht="14.1" customHeight="1" thickBot="1">
      <c r="B67" s="7" t="s">
        <v>29</v>
      </c>
      <c r="C67" s="997" t="s">
        <v>30</v>
      </c>
      <c r="D67" s="997"/>
      <c r="E67" s="997" t="s">
        <v>31</v>
      </c>
      <c r="F67" s="997"/>
      <c r="G67" s="998" t="s">
        <v>32</v>
      </c>
      <c r="H67" s="999"/>
      <c r="I67" s="1004" t="s">
        <v>33</v>
      </c>
      <c r="J67" s="1005"/>
      <c r="K67" s="1006" t="s">
        <v>34</v>
      </c>
      <c r="L67" s="1006"/>
      <c r="M67" s="6"/>
      <c r="N67" s="1007" t="s">
        <v>35</v>
      </c>
      <c r="O67" s="1007"/>
      <c r="P67" s="6"/>
      <c r="Q67" s="1008" t="s">
        <v>36</v>
      </c>
      <c r="R67" s="1009"/>
      <c r="U67" s="1019" t="s">
        <v>37</v>
      </c>
      <c r="V67" s="1022" t="s">
        <v>38</v>
      </c>
      <c r="W67" s="1025" t="s">
        <v>39</v>
      </c>
      <c r="X67" s="983" t="s">
        <v>40</v>
      </c>
      <c r="AX67" s="257"/>
    </row>
    <row r="68" spans="1:50" ht="14.1" customHeight="1">
      <c r="B68" s="7" t="s">
        <v>41</v>
      </c>
      <c r="C68" s="997"/>
      <c r="D68" s="997"/>
      <c r="E68" s="997"/>
      <c r="F68" s="997"/>
      <c r="G68" s="1000"/>
      <c r="H68" s="1001"/>
      <c r="I68" s="1004"/>
      <c r="J68" s="1005"/>
      <c r="K68" s="1006"/>
      <c r="L68" s="1006"/>
      <c r="M68" s="6"/>
      <c r="N68" s="1007"/>
      <c r="O68" s="1007"/>
      <c r="P68" s="6"/>
      <c r="Q68" s="1010"/>
      <c r="R68" s="1011"/>
      <c r="U68" s="1020"/>
      <c r="V68" s="1023"/>
      <c r="W68" s="1026"/>
      <c r="X68" s="984"/>
      <c r="AA68" s="312"/>
      <c r="AB68" s="313"/>
      <c r="AC68" s="314"/>
      <c r="AD68" s="315"/>
      <c r="AE68" s="316"/>
      <c r="AF68" s="316"/>
      <c r="AG68" s="316"/>
      <c r="AH68" s="316"/>
      <c r="AI68" s="316"/>
      <c r="AJ68" s="316"/>
      <c r="AK68" s="316"/>
      <c r="AL68" s="316"/>
      <c r="AM68" s="316"/>
      <c r="AN68" s="314"/>
      <c r="AO68" s="314"/>
      <c r="AP68" s="314"/>
      <c r="AQ68" s="314"/>
      <c r="AR68" s="317"/>
      <c r="AX68" s="257"/>
    </row>
    <row r="69" spans="1:50" ht="14.1" customHeight="1">
      <c r="B69" s="7" t="s">
        <v>42</v>
      </c>
      <c r="C69" s="997"/>
      <c r="D69" s="997"/>
      <c r="E69" s="997"/>
      <c r="F69" s="997"/>
      <c r="G69" s="1000"/>
      <c r="H69" s="1001"/>
      <c r="I69" s="1004"/>
      <c r="J69" s="1005"/>
      <c r="K69" s="1006"/>
      <c r="L69" s="1006"/>
      <c r="M69" s="6"/>
      <c r="N69" s="1007"/>
      <c r="O69" s="1007"/>
      <c r="P69" s="6"/>
      <c r="Q69" s="1012"/>
      <c r="R69" s="1013"/>
      <c r="U69" s="1020"/>
      <c r="V69" s="1023"/>
      <c r="W69" s="1026"/>
      <c r="X69" s="984"/>
      <c r="AA69" s="318"/>
      <c r="AB69" s="319" t="s">
        <v>43</v>
      </c>
      <c r="AC69" s="320"/>
      <c r="AD69" s="320"/>
      <c r="AE69" s="320"/>
      <c r="AF69" s="321"/>
      <c r="AG69" s="321"/>
      <c r="AH69" s="320"/>
      <c r="AI69" s="320"/>
      <c r="AJ69" s="320"/>
      <c r="AK69" s="320"/>
      <c r="AL69" s="320"/>
      <c r="AM69" s="320"/>
      <c r="AN69" s="320"/>
      <c r="AO69" s="322"/>
      <c r="AP69" s="322"/>
      <c r="AQ69" s="323"/>
      <c r="AR69" s="324"/>
      <c r="AT69" s="254"/>
      <c r="AX69" s="257"/>
    </row>
    <row r="70" spans="1:50" ht="27" thickBot="1">
      <c r="B70" s="325" t="s">
        <v>44</v>
      </c>
      <c r="C70" s="986">
        <f>+E70*7</f>
        <v>217</v>
      </c>
      <c r="D70" s="986"/>
      <c r="E70" s="987">
        <f>+K70/30</f>
        <v>31</v>
      </c>
      <c r="F70" s="987"/>
      <c r="G70" s="1000"/>
      <c r="H70" s="1001"/>
      <c r="I70" s="988">
        <f>+E70/8</f>
        <v>3.875</v>
      </c>
      <c r="J70" s="989"/>
      <c r="K70" s="990">
        <f>850+80</f>
        <v>930</v>
      </c>
      <c r="L70" s="990"/>
      <c r="M70" s="326"/>
      <c r="N70" s="991">
        <f>+I70/6*7</f>
        <v>4.5208333333333339</v>
      </c>
      <c r="O70" s="992"/>
      <c r="P70" s="326"/>
      <c r="Q70" s="993">
        <f>+$I$71-I70</f>
        <v>1.3562500000000002</v>
      </c>
      <c r="R70" s="993"/>
      <c r="U70" s="1020"/>
      <c r="V70" s="1023"/>
      <c r="W70" s="1026"/>
      <c r="X70" s="984"/>
      <c r="AA70" s="327"/>
      <c r="AB70" s="328"/>
      <c r="AC70" s="328"/>
      <c r="AD70" s="328"/>
      <c r="AE70" s="328"/>
      <c r="AF70" s="328"/>
      <c r="AG70" s="328"/>
      <c r="AH70" s="328"/>
      <c r="AI70" s="328"/>
      <c r="AJ70" s="328"/>
      <c r="AK70" s="328"/>
      <c r="AL70" s="328"/>
      <c r="AM70" s="328"/>
      <c r="AN70" s="328"/>
      <c r="AO70" s="329" t="s">
        <v>45</v>
      </c>
      <c r="AP70" s="330"/>
      <c r="AQ70" s="328"/>
      <c r="AR70" s="331"/>
    </row>
    <row r="71" spans="1:50" ht="24.75">
      <c r="B71" s="332" t="s">
        <v>46</v>
      </c>
      <c r="C71" s="1014">
        <f>+E71*7</f>
        <v>292.95</v>
      </c>
      <c r="D71" s="1014"/>
      <c r="E71" s="1015">
        <f>+K71/30</f>
        <v>41.85</v>
      </c>
      <c r="F71" s="1015"/>
      <c r="G71" s="1002"/>
      <c r="H71" s="1003"/>
      <c r="I71" s="1016">
        <f>+E71/8</f>
        <v>5.2312500000000002</v>
      </c>
      <c r="J71" s="1017"/>
      <c r="K71" s="1018">
        <f>+K70*1.35</f>
        <v>1255.5</v>
      </c>
      <c r="L71" s="1018"/>
      <c r="M71" s="326"/>
      <c r="N71" s="991">
        <f>+I71/6*7</f>
        <v>6.1031250000000004</v>
      </c>
      <c r="O71" s="992"/>
      <c r="P71" s="326"/>
      <c r="Q71" s="993">
        <f>+$I$71-I71</f>
        <v>0</v>
      </c>
      <c r="R71" s="993"/>
      <c r="U71" s="1020"/>
      <c r="V71" s="1023"/>
      <c r="W71" s="1026"/>
      <c r="X71" s="984"/>
      <c r="AA71" s="333"/>
      <c r="AB71" s="333"/>
      <c r="AC71" s="333"/>
      <c r="AD71" s="333"/>
      <c r="AE71" s="333"/>
      <c r="AF71" s="167"/>
      <c r="AG71" s="167"/>
      <c r="AH71" s="167"/>
      <c r="AJ71" s="296"/>
      <c r="AK71" s="296"/>
      <c r="AL71" s="296"/>
      <c r="AM71" s="296"/>
      <c r="AN71" s="296"/>
      <c r="AO71" s="296"/>
      <c r="AP71" s="296"/>
      <c r="AQ71" s="296"/>
      <c r="AR71" s="296"/>
    </row>
    <row r="72" spans="1:50" ht="2.1" customHeight="1" thickBot="1">
      <c r="B72" s="334"/>
      <c r="C72" s="258"/>
      <c r="D72" s="258"/>
      <c r="G72" s="335"/>
      <c r="H72" s="335"/>
      <c r="I72" s="336"/>
      <c r="J72" s="336"/>
      <c r="K72" s="337"/>
      <c r="L72" s="337"/>
      <c r="M72" s="6"/>
      <c r="N72" s="338"/>
      <c r="O72" s="338"/>
      <c r="P72" s="6"/>
      <c r="Q72" s="339"/>
      <c r="R72" s="339"/>
      <c r="U72" s="1021"/>
      <c r="V72" s="1024"/>
      <c r="W72" s="1027"/>
      <c r="X72" s="985"/>
      <c r="AA72" s="3"/>
    </row>
    <row r="73" spans="1:50" ht="16.5">
      <c r="A73" s="1">
        <v>1</v>
      </c>
      <c r="B73" s="340" t="s">
        <v>47</v>
      </c>
      <c r="C73" s="1040">
        <f>6*3+7*33.8</f>
        <v>254.59999999999997</v>
      </c>
      <c r="D73" s="1041"/>
      <c r="E73" s="1030">
        <f t="shared" ref="E73:E79" si="110">+C73/7</f>
        <v>36.371428571428567</v>
      </c>
      <c r="F73" s="1031"/>
      <c r="G73" s="341"/>
      <c r="H73" s="341"/>
      <c r="I73" s="1032">
        <f t="shared" ref="I73:I85" si="111">+E73/8</f>
        <v>4.5464285714285708</v>
      </c>
      <c r="J73" s="1033"/>
      <c r="K73" s="1034">
        <f t="shared" ref="K73:K85" si="112">+E73*30</f>
        <v>1091.1428571428569</v>
      </c>
      <c r="L73" s="1034"/>
      <c r="M73" s="6"/>
      <c r="N73" s="1035">
        <f t="shared" ref="N73:N89" si="113">+I73/6*7</f>
        <v>5.3041666666666654</v>
      </c>
      <c r="O73" s="1035"/>
      <c r="P73" s="6"/>
      <c r="Q73" s="1036">
        <f>+$I$71-I73</f>
        <v>0.68482142857142936</v>
      </c>
      <c r="R73" s="1037"/>
      <c r="U73" s="342">
        <f t="shared" ref="U73:U85" si="114">+AE33+U33+K33+AO11+AE11+U11+K11</f>
        <v>62</v>
      </c>
      <c r="V73" s="343">
        <v>48</v>
      </c>
      <c r="W73" s="344">
        <f t="shared" ref="W73:W89" si="115">+V73-U73</f>
        <v>-14</v>
      </c>
      <c r="X73" s="345">
        <f t="shared" ref="X73:X85" si="116">+J11+T11+AD11+J33+T33+AD33</f>
        <v>8</v>
      </c>
      <c r="Y73" s="1038">
        <f>+X73*Q73</f>
        <v>5.4785714285714349</v>
      </c>
      <c r="Z73" s="1039"/>
      <c r="AA73" s="346"/>
      <c r="AB73" s="347"/>
      <c r="AC73" s="348"/>
      <c r="AD73" s="349"/>
      <c r="AE73" s="350"/>
      <c r="AF73" s="350"/>
      <c r="AG73" s="350"/>
      <c r="AH73" s="350"/>
      <c r="AI73" s="350"/>
      <c r="AJ73" s="350"/>
      <c r="AK73" s="350"/>
      <c r="AL73" s="350"/>
      <c r="AM73" s="350"/>
      <c r="AN73" s="348"/>
      <c r="AO73" s="348"/>
      <c r="AP73" s="348"/>
      <c r="AQ73" s="348"/>
      <c r="AR73" s="351"/>
    </row>
    <row r="74" spans="1:50" ht="16.5">
      <c r="A74" s="1">
        <v>2</v>
      </c>
      <c r="B74" s="340" t="s">
        <v>48</v>
      </c>
      <c r="C74" s="1040">
        <f>6*3+7*38.5</f>
        <v>287.5</v>
      </c>
      <c r="D74" s="1041"/>
      <c r="E74" s="1030">
        <f t="shared" si="110"/>
        <v>41.071428571428569</v>
      </c>
      <c r="F74" s="1031"/>
      <c r="G74" s="341"/>
      <c r="H74" s="341"/>
      <c r="I74" s="1032">
        <f t="shared" si="111"/>
        <v>5.1339285714285712</v>
      </c>
      <c r="J74" s="1033"/>
      <c r="K74" s="1034">
        <f t="shared" si="112"/>
        <v>1232.1428571428571</v>
      </c>
      <c r="L74" s="1034"/>
      <c r="M74" s="6"/>
      <c r="N74" s="1035">
        <f t="shared" si="113"/>
        <v>5.989583333333333</v>
      </c>
      <c r="O74" s="1035"/>
      <c r="P74" s="6"/>
      <c r="Q74" s="1036">
        <f>+$I$71-I74</f>
        <v>9.7321428571429003E-2</v>
      </c>
      <c r="R74" s="1037"/>
      <c r="U74" s="342">
        <f t="shared" si="114"/>
        <v>64</v>
      </c>
      <c r="V74" s="343">
        <v>48</v>
      </c>
      <c r="W74" s="344">
        <f t="shared" si="115"/>
        <v>-16</v>
      </c>
      <c r="X74" s="345">
        <f t="shared" si="116"/>
        <v>16</v>
      </c>
      <c r="Y74" s="1038">
        <f>+X74*Q74</f>
        <v>1.557142857142864</v>
      </c>
      <c r="Z74" s="1039"/>
      <c r="AA74" s="352"/>
      <c r="AB74" s="353" t="s">
        <v>49</v>
      </c>
      <c r="AC74" s="354"/>
      <c r="AD74" s="354"/>
      <c r="AE74" s="354"/>
      <c r="AF74" s="355"/>
      <c r="AG74" s="355"/>
      <c r="AH74" s="354"/>
      <c r="AI74" s="354"/>
      <c r="AJ74" s="354"/>
      <c r="AK74" s="354"/>
      <c r="AL74" s="354"/>
      <c r="AM74" s="354"/>
      <c r="AN74" s="354"/>
      <c r="AO74" s="356"/>
      <c r="AP74" s="356"/>
      <c r="AQ74" s="357"/>
      <c r="AR74" s="358"/>
    </row>
    <row r="75" spans="1:50" ht="16.5">
      <c r="A75" s="1">
        <v>5</v>
      </c>
      <c r="B75" s="340" t="s">
        <v>52</v>
      </c>
      <c r="C75" s="1028">
        <f>6*3+7*38.5</f>
        <v>287.5</v>
      </c>
      <c r="D75" s="1029"/>
      <c r="E75" s="1030">
        <f t="shared" si="110"/>
        <v>41.071428571428569</v>
      </c>
      <c r="F75" s="1031"/>
      <c r="G75" s="341"/>
      <c r="H75" s="341"/>
      <c r="I75" s="1032">
        <f t="shared" si="111"/>
        <v>5.1339285714285712</v>
      </c>
      <c r="J75" s="1033"/>
      <c r="K75" s="1034">
        <f t="shared" si="112"/>
        <v>1232.1428571428571</v>
      </c>
      <c r="L75" s="1034"/>
      <c r="M75" s="6"/>
      <c r="N75" s="1035">
        <f t="shared" si="113"/>
        <v>5.989583333333333</v>
      </c>
      <c r="O75" s="1035"/>
      <c r="P75" s="6"/>
      <c r="Q75" s="1036">
        <f>+$I$71-I75</f>
        <v>9.7321428571429003E-2</v>
      </c>
      <c r="R75" s="1037"/>
      <c r="U75" s="342">
        <f t="shared" si="114"/>
        <v>48</v>
      </c>
      <c r="V75" s="343">
        <v>48</v>
      </c>
      <c r="W75" s="344">
        <f t="shared" si="115"/>
        <v>0</v>
      </c>
      <c r="X75" s="345">
        <f t="shared" si="116"/>
        <v>0</v>
      </c>
    </row>
    <row r="76" spans="1:50" ht="16.5">
      <c r="A76" s="1">
        <v>7</v>
      </c>
      <c r="B76" s="365" t="s">
        <v>53</v>
      </c>
      <c r="C76" s="1042">
        <f>6*3+7*(38.5)</f>
        <v>287.5</v>
      </c>
      <c r="D76" s="1043"/>
      <c r="E76" s="1030">
        <f t="shared" si="110"/>
        <v>41.071428571428569</v>
      </c>
      <c r="F76" s="1031"/>
      <c r="G76" s="1046"/>
      <c r="H76" s="1047"/>
      <c r="I76" s="1032">
        <f t="shared" si="111"/>
        <v>5.1339285714285712</v>
      </c>
      <c r="J76" s="1033"/>
      <c r="K76" s="1034">
        <f t="shared" si="112"/>
        <v>1232.1428571428571</v>
      </c>
      <c r="L76" s="1034"/>
      <c r="M76" s="6"/>
      <c r="N76" s="1035">
        <f>+I76/6*7</f>
        <v>5.989583333333333</v>
      </c>
      <c r="O76" s="1035"/>
      <c r="P76" s="6"/>
      <c r="Q76" s="1036">
        <f>+$I$71-I76</f>
        <v>9.7321428571429003E-2</v>
      </c>
      <c r="R76" s="1037"/>
      <c r="U76" s="342">
        <f t="shared" si="114"/>
        <v>45</v>
      </c>
      <c r="V76" s="343">
        <v>48</v>
      </c>
      <c r="W76" s="344">
        <f>+V76-U76</f>
        <v>3</v>
      </c>
      <c r="X76" s="345">
        <f t="shared" si="116"/>
        <v>0</v>
      </c>
      <c r="AD76"/>
    </row>
    <row r="77" spans="1:50" ht="16.5">
      <c r="A77" s="1">
        <v>2</v>
      </c>
      <c r="B77" s="359" t="s">
        <v>62</v>
      </c>
      <c r="C77" s="1042">
        <f>6*3+7*(28.4286)</f>
        <v>217.00020000000001</v>
      </c>
      <c r="D77" s="1043"/>
      <c r="E77" s="1030">
        <f>+C77/7</f>
        <v>31.000028571428572</v>
      </c>
      <c r="F77" s="1031"/>
      <c r="G77" s="1044"/>
      <c r="H77" s="1045"/>
      <c r="I77" s="1032">
        <f>+E77/8</f>
        <v>3.8750035714285715</v>
      </c>
      <c r="J77" s="1033"/>
      <c r="K77" s="1034">
        <f>+E77*30</f>
        <v>930.00085714285717</v>
      </c>
      <c r="L77" s="1034"/>
      <c r="M77" s="6"/>
      <c r="N77" s="1035">
        <f>+I77/6*7</f>
        <v>4.5208375000000007</v>
      </c>
      <c r="O77" s="1035"/>
      <c r="P77" s="6"/>
      <c r="Q77" s="1036">
        <f>+$I$71-I77</f>
        <v>1.3562464285714286</v>
      </c>
      <c r="R77" s="1037"/>
      <c r="U77" s="342">
        <f t="shared" si="114"/>
        <v>48</v>
      </c>
      <c r="V77" s="343">
        <v>48</v>
      </c>
      <c r="W77" s="344">
        <f>+V77-U77</f>
        <v>0</v>
      </c>
      <c r="X77" s="345">
        <f t="shared" si="116"/>
        <v>0</v>
      </c>
    </row>
    <row r="78" spans="1:50" ht="16.5">
      <c r="B78" s="359" t="s">
        <v>55</v>
      </c>
      <c r="C78" s="1042">
        <f t="shared" ref="C78:C83" si="117">6*3+7*(28.4286)</f>
        <v>217.00020000000001</v>
      </c>
      <c r="D78" s="1043"/>
      <c r="E78" s="1030">
        <f t="shared" si="110"/>
        <v>31.000028571428572</v>
      </c>
      <c r="F78" s="1031"/>
      <c r="G78" s="1044"/>
      <c r="H78" s="1045"/>
      <c r="I78" s="1032">
        <f t="shared" si="111"/>
        <v>3.8750035714285715</v>
      </c>
      <c r="J78" s="1033"/>
      <c r="K78" s="1034">
        <f t="shared" si="112"/>
        <v>930.00085714285717</v>
      </c>
      <c r="L78" s="1034"/>
      <c r="M78" s="6"/>
      <c r="N78" s="1050">
        <f t="shared" si="113"/>
        <v>4.5208375000000007</v>
      </c>
      <c r="O78" s="1051"/>
      <c r="P78" s="6"/>
      <c r="Q78" s="1048">
        <f t="shared" ref="Q78:Q89" si="118">+$I$71-I78</f>
        <v>1.3562464285714286</v>
      </c>
      <c r="R78" s="1049"/>
      <c r="U78" s="342">
        <f t="shared" si="114"/>
        <v>47</v>
      </c>
      <c r="V78" s="343">
        <v>48</v>
      </c>
      <c r="W78" s="344">
        <f t="shared" si="115"/>
        <v>1</v>
      </c>
      <c r="X78" s="345">
        <f t="shared" si="116"/>
        <v>0</v>
      </c>
      <c r="Y78" s="1038">
        <f>+X78*Q78</f>
        <v>0</v>
      </c>
      <c r="Z78" s="1039"/>
      <c r="AA78" s="372"/>
      <c r="AB78" s="625"/>
      <c r="AC78" s="625"/>
      <c r="AD78" s="625"/>
      <c r="AE78" s="296"/>
      <c r="AF78" s="296"/>
      <c r="AG78" s="626"/>
      <c r="AH78" s="626"/>
      <c r="AI78" s="626"/>
      <c r="AJ78" s="626"/>
      <c r="AK78" s="626"/>
      <c r="AL78" s="626"/>
      <c r="AM78" s="626"/>
      <c r="AN78" s="626"/>
      <c r="AO78" s="626"/>
      <c r="AP78" s="626"/>
      <c r="AQ78" s="626"/>
      <c r="AR78" s="626"/>
      <c r="AS78" s="296"/>
      <c r="AT78" s="296"/>
    </row>
    <row r="79" spans="1:50" ht="16.5">
      <c r="B79" s="359" t="s">
        <v>56</v>
      </c>
      <c r="C79" s="1042">
        <f t="shared" si="117"/>
        <v>217.00020000000001</v>
      </c>
      <c r="D79" s="1043"/>
      <c r="E79" s="1030">
        <f t="shared" si="110"/>
        <v>31.000028571428572</v>
      </c>
      <c r="F79" s="1031"/>
      <c r="G79" s="1044"/>
      <c r="H79" s="1045"/>
      <c r="I79" s="1032">
        <f t="shared" si="111"/>
        <v>3.8750035714285715</v>
      </c>
      <c r="J79" s="1033"/>
      <c r="K79" s="1034">
        <f t="shared" si="112"/>
        <v>930.00085714285717</v>
      </c>
      <c r="L79" s="1034"/>
      <c r="M79" s="6"/>
      <c r="N79" s="1050">
        <f t="shared" si="113"/>
        <v>4.5208375000000007</v>
      </c>
      <c r="O79" s="1051"/>
      <c r="P79" s="6"/>
      <c r="Q79" s="1048">
        <f t="shared" si="118"/>
        <v>1.3562464285714286</v>
      </c>
      <c r="R79" s="1049"/>
      <c r="U79" s="342">
        <f t="shared" si="114"/>
        <v>48</v>
      </c>
      <c r="V79" s="343">
        <v>48</v>
      </c>
      <c r="W79" s="344">
        <f t="shared" si="115"/>
        <v>0</v>
      </c>
      <c r="X79" s="345">
        <f t="shared" si="116"/>
        <v>8</v>
      </c>
      <c r="Y79" s="1038">
        <f>+X79*Q79</f>
        <v>10.849971428571429</v>
      </c>
      <c r="Z79" s="1039"/>
      <c r="AA79" s="372"/>
      <c r="AB79" s="625"/>
      <c r="AC79" s="625"/>
      <c r="AD79" s="625"/>
      <c r="AE79" s="296"/>
      <c r="AF79" s="296"/>
      <c r="AG79" s="626"/>
      <c r="AH79" s="626"/>
      <c r="AI79" s="626"/>
      <c r="AJ79" s="626"/>
      <c r="AK79" s="626"/>
      <c r="AL79" s="626"/>
      <c r="AM79" s="626"/>
      <c r="AN79" s="626"/>
      <c r="AO79" s="626"/>
      <c r="AP79" s="626"/>
      <c r="AQ79" s="626"/>
      <c r="AR79" s="626"/>
      <c r="AS79" s="296"/>
      <c r="AT79" s="296"/>
    </row>
    <row r="80" spans="1:50" ht="16.5">
      <c r="A80" s="366"/>
      <c r="B80" s="359" t="s">
        <v>57</v>
      </c>
      <c r="C80" s="1042">
        <f t="shared" si="117"/>
        <v>217.00020000000001</v>
      </c>
      <c r="D80" s="1043"/>
      <c r="E80" s="1030">
        <f>+C80/7</f>
        <v>31.000028571428572</v>
      </c>
      <c r="F80" s="1031"/>
      <c r="G80" s="1044"/>
      <c r="H80" s="1045"/>
      <c r="I80" s="1032">
        <f t="shared" si="111"/>
        <v>3.8750035714285715</v>
      </c>
      <c r="J80" s="1033"/>
      <c r="K80" s="1034">
        <f t="shared" si="112"/>
        <v>930.00085714285717</v>
      </c>
      <c r="L80" s="1034"/>
      <c r="M80" s="6"/>
      <c r="N80" s="1050">
        <f>+I80/6*7</f>
        <v>4.5208375000000007</v>
      </c>
      <c r="O80" s="1051"/>
      <c r="P80" s="6"/>
      <c r="Q80" s="1048">
        <f t="shared" si="118"/>
        <v>1.3562464285714286</v>
      </c>
      <c r="R80" s="1049"/>
      <c r="U80" s="342">
        <f t="shared" si="114"/>
        <v>48</v>
      </c>
      <c r="V80" s="343">
        <v>48</v>
      </c>
      <c r="W80" s="344">
        <f>+V80-U80</f>
        <v>0</v>
      </c>
      <c r="X80" s="345">
        <f t="shared" si="116"/>
        <v>0</v>
      </c>
      <c r="Y80" s="1038">
        <f>+X80*Q80</f>
        <v>0</v>
      </c>
      <c r="Z80" s="1039"/>
      <c r="AA80" s="372"/>
      <c r="AB80" s="625"/>
      <c r="AC80" s="625"/>
      <c r="AD80" s="625"/>
      <c r="AE80" s="296"/>
      <c r="AF80" s="296"/>
      <c r="AG80" s="626"/>
      <c r="AH80" s="626"/>
      <c r="AI80" s="626"/>
      <c r="AJ80" s="626"/>
      <c r="AK80" s="624"/>
      <c r="AL80" s="624"/>
      <c r="AM80" s="624"/>
      <c r="AN80" s="624"/>
      <c r="AO80" s="624"/>
      <c r="AP80" s="624"/>
      <c r="AQ80" s="624"/>
      <c r="AR80" s="624"/>
      <c r="AS80" s="296"/>
      <c r="AT80" s="296"/>
    </row>
    <row r="81" spans="1:46" ht="16.5">
      <c r="A81" s="366"/>
      <c r="B81" s="359" t="s">
        <v>58</v>
      </c>
      <c r="C81" s="1042">
        <f t="shared" si="117"/>
        <v>217.00020000000001</v>
      </c>
      <c r="D81" s="1043"/>
      <c r="E81" s="1030">
        <f>+C81/7</f>
        <v>31.000028571428572</v>
      </c>
      <c r="F81" s="1031"/>
      <c r="G81" s="1044"/>
      <c r="H81" s="1045"/>
      <c r="I81" s="1032">
        <f t="shared" si="111"/>
        <v>3.8750035714285715</v>
      </c>
      <c r="J81" s="1033"/>
      <c r="K81" s="1034">
        <f t="shared" si="112"/>
        <v>930.00085714285717</v>
      </c>
      <c r="L81" s="1034"/>
      <c r="M81" s="6"/>
      <c r="N81" s="1050">
        <f>+I81/6*7</f>
        <v>4.5208375000000007</v>
      </c>
      <c r="O81" s="1051"/>
      <c r="P81" s="6"/>
      <c r="Q81" s="1048">
        <f t="shared" si="118"/>
        <v>1.3562464285714286</v>
      </c>
      <c r="R81" s="1049"/>
      <c r="U81" s="342">
        <f t="shared" si="114"/>
        <v>48</v>
      </c>
      <c r="V81" s="343">
        <v>48</v>
      </c>
      <c r="W81" s="344">
        <f>+V81-U81</f>
        <v>0</v>
      </c>
      <c r="X81" s="345">
        <f t="shared" si="116"/>
        <v>0</v>
      </c>
      <c r="Z81" s="372"/>
      <c r="AA81" s="372"/>
      <c r="AB81" s="625"/>
      <c r="AC81" s="625"/>
      <c r="AD81" s="625"/>
      <c r="AE81" s="296"/>
      <c r="AF81" s="296"/>
      <c r="AG81" s="626"/>
      <c r="AH81" s="626"/>
      <c r="AI81" s="626"/>
      <c r="AJ81" s="626"/>
      <c r="AK81" s="624"/>
      <c r="AL81" s="624"/>
      <c r="AM81" s="624"/>
      <c r="AN81" s="624"/>
      <c r="AO81" s="624"/>
      <c r="AP81" s="624"/>
      <c r="AQ81" s="624"/>
      <c r="AR81" s="624"/>
      <c r="AS81" s="296"/>
      <c r="AT81" s="296"/>
    </row>
    <row r="82" spans="1:46" ht="16.5">
      <c r="A82" s="366"/>
      <c r="B82" s="359" t="s">
        <v>63</v>
      </c>
      <c r="C82" s="1042">
        <f>6*3+7*(28.4286)</f>
        <v>217.00020000000001</v>
      </c>
      <c r="D82" s="1043"/>
      <c r="E82" s="1030">
        <f>+C82/7</f>
        <v>31.000028571428572</v>
      </c>
      <c r="F82" s="1031"/>
      <c r="G82" s="1044"/>
      <c r="H82" s="1045"/>
      <c r="I82" s="1032">
        <f>+E82/8</f>
        <v>3.8750035714285715</v>
      </c>
      <c r="J82" s="1033"/>
      <c r="K82" s="1034">
        <f>+E82*30</f>
        <v>930.00085714285717</v>
      </c>
      <c r="L82" s="1034"/>
      <c r="M82" s="6"/>
      <c r="N82" s="1050">
        <f>+I82/6*7</f>
        <v>4.5208375000000007</v>
      </c>
      <c r="O82" s="1051"/>
      <c r="P82" s="6"/>
      <c r="Q82" s="1048">
        <f>+$I$71-I82</f>
        <v>1.3562464285714286</v>
      </c>
      <c r="R82" s="1049"/>
      <c r="U82" s="342">
        <f t="shared" si="114"/>
        <v>48</v>
      </c>
      <c r="V82" s="343">
        <v>48</v>
      </c>
      <c r="W82" s="344">
        <f>+V82-U82</f>
        <v>0</v>
      </c>
      <c r="X82" s="345">
        <f t="shared" si="116"/>
        <v>0</v>
      </c>
      <c r="Z82" s="372"/>
      <c r="AA82" s="372"/>
      <c r="AB82" s="625"/>
      <c r="AC82" s="625"/>
      <c r="AD82" s="625"/>
      <c r="AE82" s="296"/>
      <c r="AF82" s="296"/>
      <c r="AG82" s="626"/>
      <c r="AH82" s="626"/>
      <c r="AI82" s="626"/>
      <c r="AJ82" s="626"/>
      <c r="AK82" s="624"/>
      <c r="AL82" s="624"/>
      <c r="AM82" s="624"/>
      <c r="AN82" s="624"/>
      <c r="AO82" s="624"/>
      <c r="AP82" s="624"/>
      <c r="AQ82" s="624"/>
      <c r="AR82" s="624"/>
      <c r="AS82" s="296"/>
      <c r="AT82" s="296"/>
    </row>
    <row r="83" spans="1:46" ht="16.5">
      <c r="A83" s="366"/>
      <c r="B83" s="359" t="s">
        <v>59</v>
      </c>
      <c r="C83" s="1042">
        <f t="shared" si="117"/>
        <v>217.00020000000001</v>
      </c>
      <c r="D83" s="1043"/>
      <c r="E83" s="1030">
        <f>+C83/7</f>
        <v>31.000028571428572</v>
      </c>
      <c r="F83" s="1031"/>
      <c r="G83" s="1044"/>
      <c r="H83" s="1045"/>
      <c r="I83" s="1032">
        <f t="shared" si="111"/>
        <v>3.8750035714285715</v>
      </c>
      <c r="J83" s="1033"/>
      <c r="K83" s="1034">
        <f t="shared" si="112"/>
        <v>930.00085714285717</v>
      </c>
      <c r="L83" s="1034"/>
      <c r="M83" s="6"/>
      <c r="N83" s="1050">
        <f>+I83/6*7</f>
        <v>4.5208375000000007</v>
      </c>
      <c r="O83" s="1051"/>
      <c r="P83" s="6"/>
      <c r="Q83" s="1048">
        <f t="shared" si="118"/>
        <v>1.3562464285714286</v>
      </c>
      <c r="R83" s="1049"/>
      <c r="U83" s="342">
        <f t="shared" si="114"/>
        <v>48</v>
      </c>
      <c r="V83" s="343">
        <v>48</v>
      </c>
      <c r="W83" s="344">
        <f>+V83-U83</f>
        <v>0</v>
      </c>
      <c r="X83" s="345">
        <f t="shared" si="116"/>
        <v>0</v>
      </c>
      <c r="Z83" s="372"/>
      <c r="AA83" s="372"/>
      <c r="AB83" s="625"/>
      <c r="AC83" s="625"/>
      <c r="AD83" s="625"/>
      <c r="AE83" s="296"/>
      <c r="AF83" s="296"/>
      <c r="AG83" s="626"/>
      <c r="AH83" s="626"/>
      <c r="AI83" s="626"/>
      <c r="AJ83" s="626"/>
      <c r="AK83" s="626"/>
      <c r="AL83" s="626"/>
      <c r="AM83" s="626"/>
      <c r="AN83" s="626"/>
      <c r="AO83" s="626"/>
      <c r="AP83" s="626"/>
      <c r="AQ83" s="626"/>
      <c r="AR83" s="626"/>
      <c r="AS83" s="296"/>
      <c r="AT83" s="296"/>
    </row>
    <row r="84" spans="1:46" ht="16.5">
      <c r="A84" s="1">
        <v>2</v>
      </c>
      <c r="B84" s="340" t="s">
        <v>61</v>
      </c>
      <c r="C84" s="1040">
        <v>304.26666666666665</v>
      </c>
      <c r="D84" s="1041"/>
      <c r="E84" s="1030">
        <f>+C84/7</f>
        <v>43.466666666666661</v>
      </c>
      <c r="F84" s="1031"/>
      <c r="G84" s="341"/>
      <c r="H84" s="341"/>
      <c r="I84" s="1032">
        <f t="shared" si="111"/>
        <v>5.4333333333333327</v>
      </c>
      <c r="J84" s="1033"/>
      <c r="K84" s="1034">
        <f t="shared" si="112"/>
        <v>1303.9999999999998</v>
      </c>
      <c r="L84" s="1034"/>
      <c r="M84" s="6"/>
      <c r="N84" s="1035">
        <f t="shared" si="113"/>
        <v>6.3388888888888886</v>
      </c>
      <c r="O84" s="1035"/>
      <c r="P84" s="6"/>
      <c r="Q84" s="1036">
        <f t="shared" si="118"/>
        <v>-0.2020833333333325</v>
      </c>
      <c r="R84" s="1037"/>
      <c r="U84" s="342">
        <f t="shared" si="114"/>
        <v>40</v>
      </c>
      <c r="V84" s="343">
        <v>48</v>
      </c>
      <c r="W84" s="344">
        <f t="shared" si="115"/>
        <v>8</v>
      </c>
      <c r="X84" s="345">
        <f t="shared" si="116"/>
        <v>0</v>
      </c>
    </row>
    <row r="85" spans="1:46" ht="16.5">
      <c r="A85" s="366"/>
      <c r="B85" s="359" t="s">
        <v>64</v>
      </c>
      <c r="C85" s="1042">
        <f>6*3+7*(28.4286)</f>
        <v>217.00020000000001</v>
      </c>
      <c r="D85" s="1043"/>
      <c r="E85" s="1030">
        <f t="shared" ref="E85:E89" si="119">+C85/7</f>
        <v>31.000028571428572</v>
      </c>
      <c r="F85" s="1031"/>
      <c r="G85" s="1044"/>
      <c r="H85" s="1045"/>
      <c r="I85" s="1032">
        <f t="shared" si="111"/>
        <v>3.8750035714285715</v>
      </c>
      <c r="J85" s="1033"/>
      <c r="K85" s="1034">
        <f t="shared" si="112"/>
        <v>930.00085714285717</v>
      </c>
      <c r="L85" s="1034"/>
      <c r="M85" s="6"/>
      <c r="N85" s="1050">
        <f t="shared" si="113"/>
        <v>4.5208375000000007</v>
      </c>
      <c r="O85" s="1051"/>
      <c r="P85" s="6"/>
      <c r="Q85" s="1048">
        <f t="shared" si="118"/>
        <v>1.3562464285714286</v>
      </c>
      <c r="R85" s="1049"/>
      <c r="U85" s="342">
        <f t="shared" si="114"/>
        <v>48</v>
      </c>
      <c r="V85" s="343">
        <v>48</v>
      </c>
      <c r="W85" s="344">
        <f t="shared" si="115"/>
        <v>0</v>
      </c>
      <c r="X85" s="345">
        <f t="shared" si="116"/>
        <v>0</v>
      </c>
      <c r="Z85" s="372"/>
      <c r="AA85" s="372"/>
      <c r="AB85" s="625"/>
      <c r="AC85" s="625"/>
      <c r="AD85" s="625"/>
      <c r="AE85" s="296"/>
      <c r="AF85" s="296"/>
      <c r="AG85" s="626"/>
      <c r="AH85" s="626"/>
      <c r="AI85" s="626"/>
      <c r="AJ85" s="626"/>
      <c r="AK85" s="624"/>
      <c r="AL85" s="624"/>
      <c r="AM85" s="624"/>
      <c r="AN85" s="624"/>
      <c r="AO85" s="624"/>
      <c r="AP85" s="624"/>
      <c r="AQ85" s="624"/>
      <c r="AR85" s="624"/>
      <c r="AS85" s="296"/>
      <c r="AT85" s="296"/>
    </row>
    <row r="86" spans="1:46" ht="16.5">
      <c r="A86" s="366"/>
      <c r="B86" s="359" t="s">
        <v>143</v>
      </c>
      <c r="C86" s="1028">
        <f>+G86*6</f>
        <v>198</v>
      </c>
      <c r="D86" s="1029"/>
      <c r="E86" s="1030">
        <f t="shared" si="119"/>
        <v>28.285714285714285</v>
      </c>
      <c r="F86" s="1031"/>
      <c r="G86" s="1044">
        <v>33</v>
      </c>
      <c r="H86" s="1045"/>
      <c r="I86" s="1032">
        <f>+G86/8</f>
        <v>4.125</v>
      </c>
      <c r="J86" s="1033"/>
      <c r="K86" s="1034">
        <f>+G86*30</f>
        <v>990</v>
      </c>
      <c r="L86" s="1034"/>
      <c r="M86" s="6"/>
      <c r="N86" s="1050">
        <f t="shared" si="113"/>
        <v>4.8125</v>
      </c>
      <c r="O86" s="1051"/>
      <c r="P86" s="6"/>
      <c r="Q86" s="1048">
        <f t="shared" si="118"/>
        <v>1.1062500000000002</v>
      </c>
      <c r="R86" s="1049"/>
      <c r="U86" s="342">
        <f>+AE47+U47+K47+AO25+AE25+U25+K25</f>
        <v>0</v>
      </c>
      <c r="V86" s="343">
        <v>48</v>
      </c>
      <c r="W86" s="344">
        <f t="shared" si="115"/>
        <v>48</v>
      </c>
      <c r="X86" s="345">
        <f>+J25+T25+AD25+J47+T47+AD47</f>
        <v>0</v>
      </c>
      <c r="Z86" s="372"/>
      <c r="AA86" s="372"/>
      <c r="AB86" s="625"/>
      <c r="AC86" s="625"/>
      <c r="AD86" s="625"/>
      <c r="AE86" s="296"/>
      <c r="AF86" s="296"/>
      <c r="AG86" s="626"/>
      <c r="AH86" s="626"/>
      <c r="AI86" s="626"/>
      <c r="AJ86" s="626"/>
      <c r="AK86" s="624"/>
      <c r="AL86" s="624"/>
      <c r="AM86" s="624"/>
      <c r="AN86" s="624"/>
      <c r="AO86" s="624"/>
      <c r="AP86" s="624"/>
      <c r="AQ86" s="624"/>
      <c r="AR86" s="624"/>
      <c r="AS86" s="296"/>
      <c r="AT86" s="296"/>
    </row>
    <row r="87" spans="1:46" ht="16.5">
      <c r="A87" s="366"/>
      <c r="B87" s="359"/>
      <c r="C87" s="651"/>
      <c r="D87" s="652"/>
      <c r="E87" s="653"/>
      <c r="F87" s="654"/>
      <c r="G87" s="641"/>
      <c r="H87" s="642"/>
      <c r="I87" s="643"/>
      <c r="J87" s="644"/>
      <c r="K87" s="645"/>
      <c r="L87" s="645"/>
      <c r="M87" s="6"/>
      <c r="N87" s="649"/>
      <c r="O87" s="650"/>
      <c r="P87" s="6"/>
      <c r="Q87" s="647"/>
      <c r="R87" s="648"/>
      <c r="U87" s="342"/>
      <c r="V87" s="343"/>
      <c r="W87" s="344"/>
      <c r="X87" s="345"/>
      <c r="Z87" s="372"/>
      <c r="AA87" s="372"/>
      <c r="AB87" s="655"/>
      <c r="AC87" s="655"/>
      <c r="AD87" s="655"/>
      <c r="AE87" s="296"/>
      <c r="AF87" s="296"/>
      <c r="AG87" s="656"/>
      <c r="AH87" s="656"/>
      <c r="AI87" s="656"/>
      <c r="AJ87" s="656"/>
      <c r="AK87" s="646"/>
      <c r="AL87" s="646"/>
      <c r="AM87" s="646"/>
      <c r="AN87" s="646"/>
      <c r="AO87" s="646"/>
      <c r="AP87" s="646"/>
      <c r="AQ87" s="646"/>
      <c r="AR87" s="646"/>
      <c r="AS87" s="296"/>
      <c r="AT87" s="296"/>
    </row>
    <row r="88" spans="1:46" s="371" customFormat="1" ht="16.5">
      <c r="A88" s="366">
        <v>6</v>
      </c>
      <c r="B88" s="365" t="s">
        <v>142</v>
      </c>
      <c r="C88" s="1028">
        <f>+G88*6</f>
        <v>186</v>
      </c>
      <c r="D88" s="1029"/>
      <c r="E88" s="1030">
        <f t="shared" si="119"/>
        <v>26.571428571428573</v>
      </c>
      <c r="F88" s="1031"/>
      <c r="G88" s="1044">
        <v>31</v>
      </c>
      <c r="H88" s="1045"/>
      <c r="I88" s="1032">
        <f>+G88/8</f>
        <v>3.875</v>
      </c>
      <c r="J88" s="1033"/>
      <c r="K88" s="1034">
        <f>+G88*30</f>
        <v>930</v>
      </c>
      <c r="L88" s="1034"/>
      <c r="M88" s="374"/>
      <c r="N88" s="1035">
        <f t="shared" si="113"/>
        <v>4.5208333333333339</v>
      </c>
      <c r="O88" s="1035"/>
      <c r="P88" s="6"/>
      <c r="Q88" s="1036">
        <f t="shared" ref="Q88" si="120">+$I$71-I88</f>
        <v>1.3562500000000002</v>
      </c>
      <c r="R88" s="1037"/>
      <c r="S88" s="3"/>
      <c r="T88" s="3"/>
      <c r="U88" s="342">
        <f>+AE48+U48+K48+AO26+AE26+U26+K26</f>
        <v>0</v>
      </c>
      <c r="V88" s="343">
        <v>48</v>
      </c>
      <c r="W88" s="344">
        <f t="shared" si="115"/>
        <v>48</v>
      </c>
      <c r="X88" s="345">
        <f>+J26+T26+AD26+J48+T48+AD48</f>
        <v>0</v>
      </c>
      <c r="Y88" s="367"/>
      <c r="Z88" s="625"/>
      <c r="AA88" s="625"/>
      <c r="AB88" s="625"/>
      <c r="AC88" s="625"/>
      <c r="AD88" s="625"/>
      <c r="AE88" s="296"/>
      <c r="AF88" s="296"/>
      <c r="AG88" s="626"/>
      <c r="AH88" s="626"/>
      <c r="AI88" s="370"/>
      <c r="AJ88" s="370"/>
      <c r="AK88" s="370"/>
      <c r="AL88" s="370"/>
      <c r="AM88" s="626"/>
      <c r="AN88" s="626"/>
      <c r="AO88" s="626"/>
      <c r="AP88" s="626"/>
      <c r="AQ88" s="626"/>
      <c r="AR88" s="626"/>
      <c r="AS88" s="296"/>
      <c r="AT88" s="296"/>
    </row>
    <row r="89" spans="1:46" ht="16.5">
      <c r="B89" s="375" t="s">
        <v>65</v>
      </c>
      <c r="C89" s="1054">
        <f>6*3+7*(G89)</f>
        <v>548.33330000000001</v>
      </c>
      <c r="D89" s="1055"/>
      <c r="E89" s="1056">
        <f t="shared" si="119"/>
        <v>78.333328571428567</v>
      </c>
      <c r="F89" s="1057"/>
      <c r="G89" s="1058">
        <v>75.761899999999997</v>
      </c>
      <c r="H89" s="1059"/>
      <c r="I89" s="1060">
        <f>+E89/8</f>
        <v>9.7916660714285708</v>
      </c>
      <c r="J89" s="1061"/>
      <c r="K89" s="1062">
        <f>+E89*30</f>
        <v>2349.9998571428569</v>
      </c>
      <c r="L89" s="1063"/>
      <c r="M89" s="6"/>
      <c r="N89" s="1035">
        <f t="shared" si="113"/>
        <v>11.423610416666666</v>
      </c>
      <c r="O89" s="1035"/>
      <c r="P89" s="6"/>
      <c r="Q89" s="1048">
        <f t="shared" si="118"/>
        <v>-4.5604160714285706</v>
      </c>
      <c r="R89" s="1049"/>
      <c r="U89" s="342">
        <f>+AE48+U48+K48+AO26+AE26+U26+K26</f>
        <v>0</v>
      </c>
      <c r="V89" s="343">
        <v>48</v>
      </c>
      <c r="W89" s="344">
        <f t="shared" si="115"/>
        <v>48</v>
      </c>
      <c r="X89" s="345">
        <f>+J26+T26+AD26+J48+T48+AD48</f>
        <v>0</v>
      </c>
      <c r="Z89" s="372"/>
      <c r="AA89" s="372"/>
      <c r="AB89" s="625"/>
      <c r="AC89" s="625"/>
      <c r="AD89" s="625"/>
      <c r="AE89" s="296"/>
      <c r="AF89" s="296"/>
      <c r="AG89" s="626"/>
      <c r="AH89" s="626"/>
      <c r="AI89" s="626"/>
      <c r="AJ89" s="626"/>
      <c r="AK89" s="626"/>
      <c r="AL89" s="626"/>
      <c r="AM89" s="626"/>
      <c r="AN89" s="626"/>
      <c r="AO89" s="626"/>
      <c r="AP89" s="626"/>
      <c r="AQ89" s="296"/>
      <c r="AR89" s="296"/>
      <c r="AS89" s="296"/>
      <c r="AT89" s="296"/>
    </row>
    <row r="90" spans="1:46">
      <c r="AE90" s="376"/>
      <c r="AF90" s="376"/>
      <c r="AJ90" s="376"/>
      <c r="AK90" s="376"/>
    </row>
    <row r="91" spans="1:46" ht="26.25" thickBot="1">
      <c r="B91" s="377" t="s">
        <v>66</v>
      </c>
      <c r="H91" s="1052">
        <v>43191</v>
      </c>
      <c r="I91" s="1052"/>
      <c r="J91" s="1052"/>
      <c r="K91" s="1052"/>
      <c r="L91" s="1052"/>
      <c r="M91" s="1052"/>
      <c r="N91" s="1052"/>
      <c r="AD91" s="378"/>
      <c r="AE91" s="378"/>
      <c r="AF91" s="378"/>
      <c r="AG91" s="167"/>
      <c r="AH91" s="167"/>
      <c r="AI91" s="167"/>
      <c r="AJ91" s="376"/>
      <c r="AK91" s="376"/>
    </row>
    <row r="92" spans="1:46" ht="16.5" thickBot="1">
      <c r="B92" s="379">
        <v>1100</v>
      </c>
      <c r="C92" s="240" t="s">
        <v>67</v>
      </c>
      <c r="AD92" s="296"/>
      <c r="AE92" s="296"/>
      <c r="AF92" s="296"/>
      <c r="AG92" s="296"/>
      <c r="AH92" s="296"/>
      <c r="AI92" s="296"/>
      <c r="AJ92" s="296"/>
      <c r="AK92" s="296"/>
      <c r="AL92" s="296"/>
      <c r="AM92" s="296"/>
      <c r="AN92" s="296"/>
      <c r="AO92" s="296"/>
      <c r="AP92" s="267"/>
      <c r="AQ92" s="267"/>
      <c r="AR92" s="267"/>
      <c r="AS92" s="267"/>
      <c r="AT92" s="267"/>
    </row>
    <row r="93" spans="1:46" ht="15.75">
      <c r="B93" s="168">
        <f>+B92/30*7</f>
        <v>256.66666666666663</v>
      </c>
      <c r="C93" s="240" t="s">
        <v>68</v>
      </c>
      <c r="D93" s="380"/>
      <c r="O93" s="1053" t="s">
        <v>69</v>
      </c>
      <c r="P93" s="1053"/>
      <c r="Q93" s="1053"/>
      <c r="R93" s="1053"/>
      <c r="S93" s="1053"/>
      <c r="T93" s="1053"/>
      <c r="U93" s="1053"/>
      <c r="V93" s="1053"/>
      <c r="W93" s="1053"/>
      <c r="X93" s="1053"/>
      <c r="Y93" s="1053"/>
      <c r="Z93" s="1053"/>
      <c r="AD93" s="296"/>
      <c r="AE93" s="626"/>
      <c r="AF93" s="626"/>
      <c r="AG93" s="296"/>
      <c r="AH93" s="296"/>
      <c r="AI93" s="296"/>
      <c r="AJ93" s="626"/>
      <c r="AK93" s="626"/>
      <c r="AL93" s="296"/>
      <c r="AM93" s="296"/>
      <c r="AN93" s="296"/>
      <c r="AO93" s="296"/>
      <c r="AP93" s="267"/>
      <c r="AQ93" s="267"/>
      <c r="AR93" s="267"/>
      <c r="AS93" s="267"/>
      <c r="AT93" s="267"/>
    </row>
    <row r="94" spans="1:46">
      <c r="B94" s="168">
        <f>+B93-18</f>
        <v>238.66666666666663</v>
      </c>
      <c r="C94" s="240" t="s">
        <v>70</v>
      </c>
      <c r="O94" s="1053">
        <f>+B92</f>
        <v>1100</v>
      </c>
      <c r="P94" s="1053"/>
      <c r="Q94" s="1053" t="s">
        <v>71</v>
      </c>
      <c r="R94" s="1053"/>
      <c r="S94" s="1053"/>
      <c r="T94" s="1053"/>
      <c r="U94" s="1053"/>
      <c r="V94" s="1053"/>
      <c r="W94" s="1053"/>
      <c r="X94" s="1053"/>
      <c r="Y94" s="1053"/>
      <c r="Z94" s="1053"/>
      <c r="AA94" s="7" t="s">
        <v>72</v>
      </c>
      <c r="AD94" s="296"/>
      <c r="AE94" s="626"/>
      <c r="AF94" s="626"/>
      <c r="AG94" s="296"/>
      <c r="AH94" s="296"/>
      <c r="AI94" s="296"/>
      <c r="AJ94" s="626"/>
      <c r="AK94" s="626"/>
      <c r="AL94" s="296"/>
      <c r="AM94" s="296"/>
      <c r="AN94" s="296"/>
      <c r="AO94" s="296"/>
      <c r="AP94" s="267"/>
      <c r="AQ94" s="267"/>
      <c r="AR94" s="267"/>
      <c r="AS94" s="267"/>
      <c r="AT94" s="267"/>
    </row>
    <row r="95" spans="1:46">
      <c r="B95" s="381">
        <f>+B94/7+0</f>
        <v>34.095238095238088</v>
      </c>
      <c r="C95" s="382" t="s">
        <v>73</v>
      </c>
      <c r="D95" s="383"/>
      <c r="O95" s="1053">
        <f>+O94/30*7</f>
        <v>256.66666666666663</v>
      </c>
      <c r="P95" s="1053"/>
      <c r="Q95" s="1053" t="s">
        <v>74</v>
      </c>
      <c r="R95" s="1053"/>
      <c r="S95" s="1053"/>
      <c r="T95" s="1053"/>
      <c r="U95" s="1053"/>
      <c r="V95" s="1053"/>
      <c r="W95" s="1053"/>
      <c r="X95" s="1053"/>
      <c r="Y95" s="1053"/>
      <c r="Z95" s="1053"/>
      <c r="AA95" s="1064">
        <f>+O95*0.87</f>
        <v>223.29999999999995</v>
      </c>
      <c r="AB95" s="1064"/>
      <c r="AD95" s="296"/>
      <c r="AE95" s="384"/>
      <c r="AF95" s="384"/>
      <c r="AG95" s="296"/>
      <c r="AH95" s="296"/>
      <c r="AI95" s="296"/>
      <c r="AJ95" s="384"/>
      <c r="AK95" s="384"/>
      <c r="AL95" s="385"/>
      <c r="AM95" s="385"/>
      <c r="AN95" s="385"/>
      <c r="AO95" s="385"/>
      <c r="AP95" s="386"/>
      <c r="AQ95" s="386"/>
      <c r="AR95" s="267"/>
      <c r="AS95" s="267"/>
      <c r="AT95" s="267"/>
    </row>
    <row r="96" spans="1:46">
      <c r="O96" s="1053">
        <f>+O95/7</f>
        <v>36.666666666666664</v>
      </c>
      <c r="P96" s="1053"/>
      <c r="Q96" s="1053" t="s">
        <v>75</v>
      </c>
      <c r="R96" s="1053"/>
      <c r="S96" s="1053"/>
      <c r="T96" s="1053"/>
      <c r="U96" s="1053"/>
      <c r="V96" s="1053"/>
      <c r="W96" s="1053"/>
      <c r="X96" s="1053"/>
      <c r="Y96" s="1053"/>
      <c r="Z96" s="1053"/>
      <c r="AD96" s="296"/>
      <c r="AE96" s="626"/>
      <c r="AF96" s="626"/>
      <c r="AG96" s="296"/>
      <c r="AH96" s="296"/>
      <c r="AI96" s="296"/>
      <c r="AJ96" s="626"/>
      <c r="AK96" s="626"/>
      <c r="AL96" s="387"/>
      <c r="AM96" s="387"/>
      <c r="AN96" s="385"/>
      <c r="AO96" s="385"/>
      <c r="AP96" s="386"/>
      <c r="AQ96" s="386"/>
      <c r="AR96" s="267"/>
      <c r="AS96" s="267"/>
      <c r="AT96" s="267"/>
    </row>
    <row r="97" spans="2:46" ht="15.75">
      <c r="B97" s="388">
        <f>+B95</f>
        <v>34.095238095238088</v>
      </c>
      <c r="C97" s="389" t="s">
        <v>76</v>
      </c>
      <c r="D97" s="390"/>
      <c r="E97" s="390"/>
      <c r="F97" s="390"/>
      <c r="O97" s="1065">
        <f>(O95-18)/7</f>
        <v>34.095238095238088</v>
      </c>
      <c r="P97" s="1065"/>
      <c r="Q97" s="1065" t="s">
        <v>77</v>
      </c>
      <c r="R97" s="1065"/>
      <c r="S97" s="1065"/>
      <c r="T97" s="1065"/>
      <c r="U97" s="1065"/>
      <c r="V97" s="1065"/>
      <c r="W97" s="1065"/>
      <c r="X97" s="1065"/>
      <c r="Y97" s="1065"/>
      <c r="Z97" s="1065"/>
      <c r="AD97" s="296"/>
      <c r="AE97" s="391"/>
      <c r="AF97" s="391"/>
      <c r="AG97" s="392"/>
      <c r="AH97" s="392"/>
      <c r="AI97" s="392"/>
      <c r="AJ97" s="391"/>
      <c r="AK97" s="391"/>
      <c r="AL97" s="385"/>
      <c r="AM97" s="385"/>
      <c r="AN97" s="385"/>
      <c r="AO97" s="385"/>
      <c r="AP97" s="386"/>
      <c r="AQ97" s="386"/>
      <c r="AR97" s="267"/>
      <c r="AS97" s="267"/>
      <c r="AT97" s="267"/>
    </row>
    <row r="98" spans="2:46">
      <c r="B98" s="168">
        <v>3</v>
      </c>
      <c r="C98" s="240" t="s">
        <v>78</v>
      </c>
      <c r="O98" s="1053">
        <v>3</v>
      </c>
      <c r="P98" s="1053"/>
      <c r="Q98" s="1053" t="s">
        <v>79</v>
      </c>
      <c r="R98" s="1053"/>
      <c r="S98" s="1053"/>
      <c r="T98" s="1053"/>
      <c r="U98" s="1053"/>
      <c r="V98" s="1053"/>
      <c r="W98" s="1053"/>
      <c r="X98" s="1053"/>
      <c r="Y98" s="1053"/>
      <c r="Z98" s="1053"/>
      <c r="AD98" s="296"/>
      <c r="AE98" s="296"/>
      <c r="AF98" s="391"/>
      <c r="AG98" s="392"/>
      <c r="AH98" s="392"/>
      <c r="AI98" s="392"/>
      <c r="AJ98" s="391"/>
      <c r="AK98" s="296"/>
      <c r="AL98" s="385"/>
      <c r="AM98" s="385"/>
      <c r="AN98" s="385"/>
      <c r="AO98" s="385"/>
      <c r="AP98" s="386"/>
      <c r="AQ98" s="386"/>
      <c r="AR98" s="267"/>
      <c r="AS98" s="267"/>
      <c r="AT98" s="267"/>
    </row>
    <row r="99" spans="2:46">
      <c r="B99" s="381">
        <f>+B98+B97</f>
        <v>37.095238095238088</v>
      </c>
      <c r="C99" s="382" t="s">
        <v>80</v>
      </c>
      <c r="D99" s="393"/>
      <c r="E99" s="394"/>
      <c r="F99" s="395"/>
      <c r="G99" s="393"/>
      <c r="H99" s="393"/>
      <c r="I99" s="395"/>
      <c r="J99" s="393"/>
      <c r="K99" s="396"/>
      <c r="L99" s="396"/>
      <c r="M99" s="383"/>
      <c r="O99" s="1053">
        <f>+O98+O97</f>
        <v>37.095238095238088</v>
      </c>
      <c r="P99" s="1053"/>
      <c r="AD99" s="296"/>
      <c r="AE99" s="626"/>
      <c r="AF99" s="626"/>
      <c r="AG99" s="296"/>
      <c r="AH99" s="296"/>
      <c r="AI99" s="296"/>
      <c r="AJ99" s="626"/>
      <c r="AK99" s="626"/>
      <c r="AL99" s="387"/>
      <c r="AM99" s="387"/>
      <c r="AN99" s="387"/>
      <c r="AO99" s="387"/>
      <c r="AP99" s="397"/>
      <c r="AQ99" s="267"/>
      <c r="AR99" s="267"/>
      <c r="AS99" s="267"/>
      <c r="AT99" s="267"/>
    </row>
    <row r="100" spans="2:46">
      <c r="B100" s="168"/>
      <c r="AD100" s="296"/>
      <c r="AE100" s="398"/>
      <c r="AF100" s="398"/>
      <c r="AG100" s="398"/>
      <c r="AH100" s="296"/>
      <c r="AI100" s="296"/>
      <c r="AJ100" s="398"/>
      <c r="AK100" s="398"/>
      <c r="AL100" s="385"/>
      <c r="AM100" s="296"/>
      <c r="AN100" s="296"/>
      <c r="AO100" s="296"/>
      <c r="AP100" s="267"/>
      <c r="AQ100" s="267"/>
      <c r="AR100" s="267"/>
      <c r="AS100" s="267"/>
      <c r="AT100" s="267"/>
    </row>
    <row r="101" spans="2:46">
      <c r="B101" s="168">
        <f>+B99*6</f>
        <v>222.57142857142853</v>
      </c>
      <c r="C101" s="240" t="s">
        <v>81</v>
      </c>
      <c r="O101" s="1053" t="s">
        <v>82</v>
      </c>
      <c r="P101" s="1053"/>
      <c r="Q101" s="1053"/>
      <c r="R101" s="1053"/>
      <c r="S101" s="1053"/>
      <c r="T101" s="1053"/>
      <c r="U101" s="1053"/>
      <c r="V101" s="1053"/>
      <c r="W101" s="1053"/>
      <c r="X101" s="1053"/>
      <c r="Y101" s="1053"/>
      <c r="Z101" s="1053"/>
      <c r="AD101" s="296"/>
      <c r="AE101" s="296"/>
      <c r="AF101" s="296"/>
      <c r="AG101" s="296"/>
      <c r="AH101" s="296"/>
      <c r="AI101" s="385"/>
      <c r="AJ101" s="385"/>
      <c r="AK101" s="387"/>
      <c r="AL101" s="624"/>
      <c r="AM101" s="626"/>
      <c r="AN101" s="624"/>
      <c r="AO101" s="296"/>
      <c r="AP101" s="267"/>
      <c r="AQ101" s="267"/>
      <c r="AR101" s="267"/>
      <c r="AS101" s="267"/>
      <c r="AT101" s="267"/>
    </row>
    <row r="102" spans="2:46">
      <c r="B102" s="399">
        <f>+B97</f>
        <v>34.095238095238088</v>
      </c>
      <c r="C102" s="400" t="s">
        <v>83</v>
      </c>
      <c r="D102" s="401"/>
      <c r="E102" s="402"/>
      <c r="F102" s="403"/>
      <c r="G102" s="401"/>
      <c r="H102" s="401"/>
      <c r="I102" s="403"/>
      <c r="J102" s="401"/>
      <c r="K102" s="404"/>
      <c r="L102" s="405"/>
      <c r="O102" s="1053">
        <f>+O94*1.1</f>
        <v>1210</v>
      </c>
      <c r="P102" s="1053"/>
      <c r="Q102" s="1053" t="s">
        <v>71</v>
      </c>
      <c r="R102" s="1053"/>
      <c r="S102" s="1053"/>
      <c r="T102" s="1053"/>
      <c r="U102" s="1053"/>
      <c r="V102" s="1053"/>
      <c r="W102" s="1053"/>
      <c r="X102" s="1053"/>
      <c r="Y102" s="1053"/>
      <c r="Z102" s="1053"/>
      <c r="AA102" s="7" t="s">
        <v>84</v>
      </c>
      <c r="AG102" s="267"/>
      <c r="AH102" s="267"/>
      <c r="AI102" s="386"/>
      <c r="AJ102" s="386"/>
      <c r="AK102" s="386"/>
      <c r="AL102" s="267"/>
      <c r="AM102" s="267"/>
      <c r="AN102" s="267"/>
      <c r="AO102" s="267"/>
    </row>
    <row r="103" spans="2:46">
      <c r="B103" s="381">
        <f>+B102+B101</f>
        <v>256.66666666666663</v>
      </c>
      <c r="C103" s="382" t="s">
        <v>85</v>
      </c>
      <c r="D103" s="393"/>
      <c r="E103" s="394"/>
      <c r="F103" s="395"/>
      <c r="G103" s="393"/>
      <c r="H103" s="393"/>
      <c r="I103" s="395"/>
      <c r="J103" s="393"/>
      <c r="K103" s="406"/>
      <c r="L103" s="405"/>
      <c r="O103" s="1053">
        <f>+O102/30*7</f>
        <v>282.33333333333337</v>
      </c>
      <c r="P103" s="1053"/>
      <c r="Q103" s="1053" t="s">
        <v>74</v>
      </c>
      <c r="R103" s="1053"/>
      <c r="S103" s="1053"/>
      <c r="T103" s="1053"/>
      <c r="U103" s="1053"/>
      <c r="V103" s="1053"/>
      <c r="W103" s="1053"/>
      <c r="X103" s="1053"/>
      <c r="Y103" s="1053"/>
      <c r="Z103" s="1053"/>
      <c r="AA103" s="1064">
        <f>+O103*0.87</f>
        <v>245.63000000000002</v>
      </c>
      <c r="AB103" s="1064"/>
      <c r="AG103" s="267"/>
      <c r="AH103" s="267"/>
      <c r="AI103" s="386"/>
      <c r="AJ103" s="386"/>
      <c r="AK103" s="407"/>
      <c r="AL103" s="267"/>
      <c r="AM103" s="267"/>
      <c r="AN103" s="267"/>
      <c r="AO103" s="267"/>
    </row>
    <row r="104" spans="2:46">
      <c r="B104" s="408"/>
      <c r="C104" s="409"/>
      <c r="D104" s="333"/>
      <c r="E104" s="410"/>
      <c r="F104" s="411"/>
      <c r="G104" s="333"/>
      <c r="H104" s="333"/>
      <c r="I104" s="411"/>
      <c r="J104" s="333"/>
      <c r="K104" s="405"/>
      <c r="L104" s="405"/>
      <c r="O104" s="1053">
        <f>+O103/7</f>
        <v>40.333333333333336</v>
      </c>
      <c r="P104" s="1053"/>
      <c r="Q104" s="1053" t="s">
        <v>75</v>
      </c>
      <c r="R104" s="1053"/>
      <c r="S104" s="1053"/>
      <c r="T104" s="1053"/>
      <c r="U104" s="1053"/>
      <c r="V104" s="1053"/>
      <c r="W104" s="1053"/>
      <c r="X104" s="1053"/>
      <c r="Y104" s="1053"/>
      <c r="Z104" s="1053"/>
      <c r="AG104" s="267"/>
      <c r="AH104" s="267"/>
      <c r="AI104" s="412"/>
      <c r="AJ104" s="413"/>
      <c r="AK104" s="407"/>
      <c r="AL104" s="267"/>
      <c r="AM104" s="267"/>
      <c r="AN104" s="267"/>
      <c r="AO104" s="267"/>
    </row>
    <row r="105" spans="2:46" ht="15.75">
      <c r="B105" s="414">
        <f>+B103/7</f>
        <v>36.666666666666664</v>
      </c>
      <c r="C105" s="415" t="s">
        <v>86</v>
      </c>
      <c r="D105" s="416"/>
      <c r="E105" s="417"/>
      <c r="F105" s="418"/>
      <c r="G105" s="419"/>
      <c r="H105" s="419"/>
      <c r="I105" s="411"/>
      <c r="J105" s="333"/>
      <c r="K105" s="405"/>
      <c r="L105" s="405"/>
      <c r="O105" s="1065">
        <f>(O103-18)/7</f>
        <v>37.761904761904766</v>
      </c>
      <c r="P105" s="1065"/>
      <c r="Q105" s="1065" t="s">
        <v>77</v>
      </c>
      <c r="R105" s="1065"/>
      <c r="S105" s="1065"/>
      <c r="T105" s="1065"/>
      <c r="U105" s="1065"/>
      <c r="V105" s="1065"/>
      <c r="W105" s="1065"/>
      <c r="X105" s="1065"/>
      <c r="Y105" s="1065"/>
      <c r="Z105" s="1065"/>
      <c r="AG105" s="267"/>
      <c r="AH105" s="267"/>
      <c r="AI105" s="267"/>
      <c r="AJ105" s="267"/>
      <c r="AK105" s="407"/>
      <c r="AL105" s="267"/>
      <c r="AM105" s="267"/>
      <c r="AN105" s="267"/>
      <c r="AO105" s="267"/>
    </row>
    <row r="106" spans="2:46">
      <c r="B106" s="408"/>
      <c r="C106" s="409"/>
      <c r="D106" s="333"/>
      <c r="E106" s="410"/>
      <c r="F106" s="411"/>
      <c r="G106" s="333"/>
      <c r="H106" s="333"/>
      <c r="I106" s="411"/>
      <c r="J106" s="333"/>
      <c r="K106" s="405"/>
      <c r="L106" s="405"/>
      <c r="O106" s="1053">
        <v>3</v>
      </c>
      <c r="P106" s="1053"/>
      <c r="Q106" s="1053" t="s">
        <v>79</v>
      </c>
      <c r="R106" s="1053"/>
      <c r="S106" s="1053"/>
      <c r="T106" s="1053"/>
      <c r="U106" s="1053"/>
      <c r="V106" s="1053"/>
      <c r="W106" s="1053"/>
      <c r="X106" s="1053"/>
      <c r="Y106" s="1053"/>
      <c r="Z106" s="1053"/>
      <c r="AG106" s="267"/>
      <c r="AH106" s="267"/>
      <c r="AI106" s="267"/>
      <c r="AJ106" s="267"/>
      <c r="AK106" s="267"/>
      <c r="AL106" s="267"/>
      <c r="AM106" s="267"/>
      <c r="AN106" s="267"/>
      <c r="AO106" s="267"/>
    </row>
    <row r="107" spans="2:46">
      <c r="B107" s="408"/>
      <c r="C107" s="409"/>
      <c r="D107" s="333"/>
      <c r="E107" s="410"/>
      <c r="F107" s="411"/>
      <c r="G107" s="333"/>
      <c r="H107" s="333"/>
      <c r="I107" s="411"/>
      <c r="J107" s="333"/>
      <c r="K107" s="405"/>
      <c r="L107" s="405"/>
      <c r="O107" s="1053">
        <f>+O106+O105</f>
        <v>40.761904761904766</v>
      </c>
      <c r="P107" s="1053"/>
      <c r="AG107" s="267"/>
      <c r="AH107" s="267"/>
      <c r="AI107" s="267"/>
      <c r="AJ107" s="267"/>
      <c r="AK107" s="267"/>
      <c r="AL107" s="267"/>
      <c r="AM107" s="267"/>
      <c r="AN107" s="267"/>
      <c r="AO107" s="267"/>
    </row>
    <row r="108" spans="2:46">
      <c r="AG108" s="267"/>
      <c r="AH108" s="267"/>
      <c r="AI108" s="267"/>
      <c r="AJ108" s="267"/>
      <c r="AK108" s="267"/>
      <c r="AL108" s="267"/>
      <c r="AM108" s="267"/>
      <c r="AN108" s="267"/>
      <c r="AO108" s="267"/>
    </row>
    <row r="109" spans="2:46" ht="26.25" thickBot="1">
      <c r="B109" s="377" t="s">
        <v>87</v>
      </c>
      <c r="H109" s="1052">
        <v>43167</v>
      </c>
      <c r="I109" s="1052"/>
      <c r="J109" s="1052"/>
      <c r="K109" s="1052"/>
      <c r="L109" s="1052"/>
      <c r="M109" s="1052"/>
      <c r="N109" s="1052"/>
      <c r="O109" s="420" t="s">
        <v>88</v>
      </c>
      <c r="P109" s="421"/>
      <c r="Q109" s="422"/>
      <c r="AG109" s="267"/>
      <c r="AH109" s="267"/>
      <c r="AI109" s="267"/>
      <c r="AJ109" s="267"/>
      <c r="AK109" s="267"/>
      <c r="AL109" s="267"/>
      <c r="AM109" s="267"/>
      <c r="AN109" s="267"/>
      <c r="AO109" s="267"/>
    </row>
    <row r="110" spans="2:46" ht="16.5" thickBot="1">
      <c r="B110" s="379">
        <v>850</v>
      </c>
      <c r="C110" s="240" t="s">
        <v>67</v>
      </c>
      <c r="AD110" s="296"/>
      <c r="AE110" s="296"/>
      <c r="AF110" s="296"/>
      <c r="AG110" s="296"/>
      <c r="AH110" s="296"/>
      <c r="AI110" s="296"/>
      <c r="AJ110" s="296"/>
      <c r="AK110" s="296"/>
      <c r="AL110" s="296"/>
      <c r="AM110" s="296"/>
      <c r="AN110" s="296"/>
      <c r="AO110" s="296"/>
      <c r="AP110" s="267"/>
      <c r="AQ110" s="267"/>
      <c r="AR110" s="267"/>
      <c r="AS110" s="267"/>
      <c r="AT110" s="267"/>
    </row>
    <row r="111" spans="2:46" ht="15.75">
      <c r="B111" s="423">
        <f>+B110/30*7</f>
        <v>198.33333333333331</v>
      </c>
      <c r="C111" s="240" t="s">
        <v>68</v>
      </c>
      <c r="D111" s="380"/>
      <c r="O111" s="1053" t="s">
        <v>69</v>
      </c>
      <c r="P111" s="1053"/>
      <c r="Q111" s="1053"/>
      <c r="R111" s="1053"/>
      <c r="S111" s="1053"/>
      <c r="T111" s="1053"/>
      <c r="U111" s="1053"/>
      <c r="V111" s="1053"/>
      <c r="W111" s="1053"/>
      <c r="X111" s="1053"/>
      <c r="Y111" s="1053"/>
      <c r="Z111" s="1053"/>
      <c r="AD111" s="296"/>
      <c r="AE111" s="626"/>
      <c r="AF111" s="626"/>
      <c r="AG111" s="296"/>
      <c r="AH111" s="296"/>
      <c r="AI111" s="296"/>
      <c r="AJ111" s="626"/>
      <c r="AK111" s="626"/>
      <c r="AL111" s="296"/>
      <c r="AM111" s="296"/>
      <c r="AN111" s="296"/>
      <c r="AO111" s="296"/>
      <c r="AP111" s="267"/>
      <c r="AQ111" s="267"/>
      <c r="AR111" s="267"/>
      <c r="AS111" s="267"/>
      <c r="AT111" s="267"/>
    </row>
    <row r="112" spans="2:46">
      <c r="B112" s="423">
        <f>+B111-18</f>
        <v>180.33333333333331</v>
      </c>
      <c r="C112" s="240" t="s">
        <v>70</v>
      </c>
      <c r="O112" s="1053">
        <f>+B110</f>
        <v>850</v>
      </c>
      <c r="P112" s="1053"/>
      <c r="Q112" s="1053" t="s">
        <v>71</v>
      </c>
      <c r="R112" s="1053"/>
      <c r="S112" s="1053"/>
      <c r="T112" s="1053"/>
      <c r="U112" s="1053"/>
      <c r="V112" s="1053"/>
      <c r="W112" s="1053"/>
      <c r="X112" s="1053"/>
      <c r="Y112" s="1053"/>
      <c r="Z112" s="1053"/>
      <c r="AA112" s="7" t="s">
        <v>72</v>
      </c>
      <c r="AD112" s="296"/>
      <c r="AE112" s="996">
        <v>198.32</v>
      </c>
      <c r="AF112" s="996"/>
      <c r="AG112" s="996"/>
      <c r="AH112" s="296"/>
      <c r="AI112" s="996"/>
      <c r="AJ112" s="996"/>
      <c r="AK112" s="996"/>
      <c r="AL112" s="1068">
        <f>+AL113+AL114</f>
        <v>192.18149689334777</v>
      </c>
      <c r="AM112" s="1068"/>
      <c r="AN112" s="1068"/>
      <c r="AO112" s="1068">
        <f>+AL112-18</f>
        <v>174.18149689334777</v>
      </c>
      <c r="AP112" s="1068"/>
      <c r="AQ112" s="1068"/>
      <c r="AR112" s="267"/>
      <c r="AS112" s="267"/>
      <c r="AT112" s="267"/>
    </row>
    <row r="113" spans="2:46">
      <c r="B113" s="424">
        <f>+B112/7</f>
        <v>25.761904761904759</v>
      </c>
      <c r="C113" s="382" t="s">
        <v>73</v>
      </c>
      <c r="D113" s="383"/>
      <c r="O113" s="1053">
        <f>+O112/30*7</f>
        <v>198.33333333333331</v>
      </c>
      <c r="P113" s="1053"/>
      <c r="Q113" s="1053" t="s">
        <v>74</v>
      </c>
      <c r="R113" s="1053"/>
      <c r="S113" s="1053"/>
      <c r="T113" s="1053"/>
      <c r="U113" s="1053"/>
      <c r="V113" s="1053"/>
      <c r="W113" s="1053"/>
      <c r="X113" s="1053"/>
      <c r="Y113" s="1053"/>
      <c r="Z113" s="1053"/>
      <c r="AA113" s="1064">
        <f>+O113*0.87</f>
        <v>172.54999999999998</v>
      </c>
      <c r="AB113" s="1064"/>
      <c r="AD113" s="296"/>
      <c r="AE113" s="996">
        <v>22.89</v>
      </c>
      <c r="AF113" s="996"/>
      <c r="AG113" s="996"/>
      <c r="AH113" s="296"/>
      <c r="AI113" s="1069">
        <f>+AE113/AE112</f>
        <v>0.11541952400161357</v>
      </c>
      <c r="AJ113" s="1069"/>
      <c r="AK113" s="1069"/>
      <c r="AL113" s="1068">
        <f>+AI113*AL114/AI114</f>
        <v>22.181496893347781</v>
      </c>
      <c r="AM113" s="1068"/>
      <c r="AN113" s="1068"/>
      <c r="AO113" s="1070">
        <f>+AO112/7</f>
        <v>24.883070984763968</v>
      </c>
      <c r="AP113" s="1071"/>
      <c r="AQ113" s="1072"/>
      <c r="AR113" s="267"/>
      <c r="AS113" s="267"/>
      <c r="AT113" s="267"/>
    </row>
    <row r="114" spans="2:46">
      <c r="O114" s="1053">
        <f>+O113/7</f>
        <v>28.333333333333332</v>
      </c>
      <c r="P114" s="1053"/>
      <c r="Q114" s="1053" t="s">
        <v>75</v>
      </c>
      <c r="R114" s="1053"/>
      <c r="S114" s="1053"/>
      <c r="T114" s="1053"/>
      <c r="U114" s="1053"/>
      <c r="V114" s="1053"/>
      <c r="W114" s="1053"/>
      <c r="X114" s="1053"/>
      <c r="Y114" s="1053"/>
      <c r="Z114" s="1053"/>
      <c r="AD114" s="296"/>
      <c r="AE114" s="996">
        <v>175.43</v>
      </c>
      <c r="AF114" s="996"/>
      <c r="AG114" s="996"/>
      <c r="AH114" s="296"/>
      <c r="AI114" s="1066">
        <f>1-AI113</f>
        <v>0.88458047599838641</v>
      </c>
      <c r="AJ114" s="1067"/>
      <c r="AK114" s="1067"/>
      <c r="AL114" s="1068">
        <v>170</v>
      </c>
      <c r="AM114" s="1068"/>
      <c r="AN114" s="1068"/>
      <c r="AO114" s="996"/>
      <c r="AP114" s="996"/>
      <c r="AQ114" s="996"/>
      <c r="AR114" s="267"/>
      <c r="AS114" s="267"/>
      <c r="AT114" s="267"/>
    </row>
    <row r="115" spans="2:46" ht="15.75">
      <c r="B115" s="388">
        <f>+B113</f>
        <v>25.761904761904759</v>
      </c>
      <c r="C115" s="389" t="s">
        <v>76</v>
      </c>
      <c r="D115" s="390"/>
      <c r="E115" s="390"/>
      <c r="F115" s="390"/>
      <c r="O115" s="1065">
        <f>(O113-18)/7</f>
        <v>25.761904761904759</v>
      </c>
      <c r="P115" s="1065"/>
      <c r="Q115" s="1065" t="s">
        <v>77</v>
      </c>
      <c r="R115" s="1065"/>
      <c r="S115" s="1065"/>
      <c r="T115" s="1065"/>
      <c r="U115" s="1065"/>
      <c r="V115" s="1065"/>
      <c r="W115" s="1065"/>
      <c r="X115" s="1065"/>
      <c r="Y115" s="1065"/>
      <c r="Z115" s="1065"/>
      <c r="AD115" s="296"/>
      <c r="AE115" s="996"/>
      <c r="AF115" s="996"/>
      <c r="AG115" s="996"/>
      <c r="AH115" s="296"/>
      <c r="AI115" s="1067"/>
      <c r="AJ115" s="1067"/>
      <c r="AK115" s="1067"/>
      <c r="AL115" s="296"/>
      <c r="AM115" s="385"/>
      <c r="AN115" s="385"/>
      <c r="AO115" s="385"/>
      <c r="AP115" s="386"/>
      <c r="AQ115" s="386"/>
      <c r="AR115" s="267"/>
      <c r="AS115" s="267"/>
      <c r="AT115" s="267"/>
    </row>
    <row r="116" spans="2:46">
      <c r="B116" s="168">
        <v>3</v>
      </c>
      <c r="C116" s="240" t="s">
        <v>78</v>
      </c>
      <c r="O116" s="1053">
        <v>3</v>
      </c>
      <c r="P116" s="1053"/>
      <c r="Q116" s="1053" t="s">
        <v>79</v>
      </c>
      <c r="R116" s="1053"/>
      <c r="S116" s="1053"/>
      <c r="T116" s="1053"/>
      <c r="U116" s="1053"/>
      <c r="V116" s="1053"/>
      <c r="W116" s="1053"/>
      <c r="X116" s="1053"/>
      <c r="Y116" s="1053"/>
      <c r="Z116" s="1053"/>
      <c r="AD116" s="296"/>
      <c r="AE116" s="996">
        <v>198.39</v>
      </c>
      <c r="AF116" s="996"/>
      <c r="AG116" s="996"/>
      <c r="AH116" s="296"/>
      <c r="AI116" s="1067">
        <v>198.32</v>
      </c>
      <c r="AJ116" s="1067"/>
      <c r="AK116" s="1067"/>
      <c r="AL116" s="296"/>
      <c r="AM116" s="385"/>
      <c r="AN116" s="385"/>
      <c r="AO116" s="385"/>
      <c r="AP116" s="386"/>
      <c r="AQ116" s="386"/>
      <c r="AR116" s="267"/>
      <c r="AS116" s="267"/>
      <c r="AT116" s="267"/>
    </row>
    <row r="117" spans="2:46">
      <c r="B117" s="381">
        <f>+B116+B115</f>
        <v>28.761904761904759</v>
      </c>
      <c r="C117" s="382" t="s">
        <v>80</v>
      </c>
      <c r="D117" s="393"/>
      <c r="E117" s="394"/>
      <c r="F117" s="395"/>
      <c r="G117" s="393"/>
      <c r="H117" s="393"/>
      <c r="I117" s="395"/>
      <c r="J117" s="393"/>
      <c r="K117" s="396"/>
      <c r="L117" s="396"/>
      <c r="M117" s="383"/>
      <c r="O117" s="1053">
        <f>+O116+O115</f>
        <v>28.761904761904759</v>
      </c>
      <c r="P117" s="1053"/>
      <c r="AD117" s="296"/>
      <c r="AE117" s="1073">
        <f>+AE116/7*30</f>
        <v>850.24285714285702</v>
      </c>
      <c r="AF117" s="1073"/>
      <c r="AG117" s="1073"/>
      <c r="AH117" s="296"/>
      <c r="AI117" s="1074">
        <f>+AI116/7*30</f>
        <v>849.94285714285718</v>
      </c>
      <c r="AJ117" s="1074"/>
      <c r="AK117" s="1074"/>
      <c r="AL117" s="296"/>
      <c r="AM117" s="387"/>
      <c r="AN117" s="387"/>
      <c r="AO117" s="387"/>
      <c r="AP117" s="397"/>
      <c r="AQ117" s="267"/>
      <c r="AR117" s="267"/>
      <c r="AS117" s="267"/>
      <c r="AT117" s="267"/>
    </row>
    <row r="118" spans="2:46">
      <c r="B118" s="168"/>
      <c r="AD118" s="296"/>
      <c r="AE118" s="296"/>
      <c r="AF118" s="296"/>
      <c r="AG118" s="296"/>
      <c r="AH118" s="296"/>
      <c r="AI118" s="296"/>
      <c r="AJ118" s="296"/>
      <c r="AK118" s="296"/>
      <c r="AL118" s="296"/>
      <c r="AM118" s="296"/>
      <c r="AN118" s="296"/>
      <c r="AO118" s="296"/>
      <c r="AP118" s="267"/>
      <c r="AQ118" s="267"/>
      <c r="AR118" s="267"/>
      <c r="AS118" s="267"/>
      <c r="AT118" s="267"/>
    </row>
    <row r="119" spans="2:46">
      <c r="B119" s="168">
        <f>+B117*6</f>
        <v>172.57142857142856</v>
      </c>
      <c r="C119" s="240" t="s">
        <v>81</v>
      </c>
      <c r="O119" s="1053" t="s">
        <v>82</v>
      </c>
      <c r="P119" s="1053"/>
      <c r="Q119" s="1053"/>
      <c r="R119" s="1053"/>
      <c r="S119" s="1053"/>
      <c r="T119" s="1053"/>
      <c r="U119" s="1053"/>
      <c r="V119" s="1053"/>
      <c r="W119" s="1053"/>
      <c r="X119" s="1053"/>
      <c r="Y119" s="1053"/>
      <c r="Z119" s="1053"/>
      <c r="AD119" s="296"/>
      <c r="AE119" s="296"/>
      <c r="AF119" s="296"/>
      <c r="AG119" s="296"/>
      <c r="AH119" s="296"/>
      <c r="AI119" s="385"/>
      <c r="AJ119" s="385"/>
      <c r="AK119" s="387"/>
      <c r="AL119" s="624"/>
      <c r="AM119" s="626"/>
      <c r="AN119" s="624"/>
      <c r="AO119" s="296"/>
      <c r="AP119" s="267"/>
      <c r="AQ119" s="267"/>
      <c r="AR119" s="267"/>
      <c r="AS119" s="267"/>
      <c r="AT119" s="267"/>
    </row>
    <row r="120" spans="2:46">
      <c r="B120" s="399">
        <f>+B115</f>
        <v>25.761904761904759</v>
      </c>
      <c r="C120" s="400" t="s">
        <v>83</v>
      </c>
      <c r="D120" s="401"/>
      <c r="E120" s="402"/>
      <c r="F120" s="403"/>
      <c r="G120" s="401"/>
      <c r="H120" s="401"/>
      <c r="I120" s="403"/>
      <c r="J120" s="401"/>
      <c r="K120" s="404"/>
      <c r="L120" s="405"/>
      <c r="O120" s="1053">
        <f>+O112*1.1</f>
        <v>935.00000000000011</v>
      </c>
      <c r="P120" s="1053"/>
      <c r="Q120" s="1053" t="s">
        <v>71</v>
      </c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7" t="s">
        <v>84</v>
      </c>
      <c r="AG120" s="267"/>
      <c r="AH120" s="267"/>
      <c r="AI120" s="386"/>
      <c r="AJ120" s="386"/>
      <c r="AK120" s="386"/>
      <c r="AL120" s="267"/>
      <c r="AM120" s="267"/>
      <c r="AN120" s="267"/>
      <c r="AO120" s="267"/>
    </row>
    <row r="121" spans="2:46">
      <c r="B121" s="381">
        <f>+B120+B119</f>
        <v>198.33333333333331</v>
      </c>
      <c r="C121" s="382" t="s">
        <v>85</v>
      </c>
      <c r="D121" s="393"/>
      <c r="E121" s="394"/>
      <c r="F121" s="395"/>
      <c r="G121" s="393"/>
      <c r="H121" s="393"/>
      <c r="I121" s="395"/>
      <c r="J121" s="393"/>
      <c r="K121" s="406"/>
      <c r="L121" s="405"/>
      <c r="O121" s="1053">
        <f>+O120/30*7</f>
        <v>218.16666666666669</v>
      </c>
      <c r="P121" s="1053"/>
      <c r="Q121" s="1053" t="s">
        <v>74</v>
      </c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64">
        <f>+O121*0.87</f>
        <v>189.80500000000001</v>
      </c>
      <c r="AB121" s="1064"/>
      <c r="AG121" s="267"/>
      <c r="AH121" s="267"/>
      <c r="AI121" s="386"/>
      <c r="AJ121" s="386"/>
      <c r="AK121" s="407"/>
      <c r="AL121" s="267"/>
      <c r="AM121" s="267"/>
      <c r="AN121" s="267"/>
      <c r="AO121" s="267"/>
    </row>
    <row r="122" spans="2:46">
      <c r="B122" s="408"/>
      <c r="C122" s="409"/>
      <c r="D122" s="333"/>
      <c r="E122" s="410"/>
      <c r="F122" s="411"/>
      <c r="G122" s="333"/>
      <c r="H122" s="333"/>
      <c r="I122" s="411"/>
      <c r="J122" s="333"/>
      <c r="K122" s="405"/>
      <c r="L122" s="405"/>
      <c r="O122" s="1053">
        <f>+O121/7</f>
        <v>31.166666666666668</v>
      </c>
      <c r="P122" s="1053"/>
      <c r="Q122" s="1053" t="s">
        <v>75</v>
      </c>
      <c r="R122" s="1053"/>
      <c r="S122" s="1053"/>
      <c r="T122" s="1053"/>
      <c r="U122" s="1053"/>
      <c r="V122" s="1053"/>
      <c r="W122" s="1053"/>
      <c r="X122" s="1053"/>
      <c r="Y122" s="1053"/>
      <c r="Z122" s="1053"/>
      <c r="AG122" s="267"/>
      <c r="AH122" s="267"/>
      <c r="AI122" s="412"/>
      <c r="AJ122" s="413"/>
      <c r="AK122" s="407"/>
      <c r="AL122" s="267"/>
      <c r="AM122" s="267"/>
      <c r="AN122" s="267"/>
      <c r="AO122" s="267"/>
    </row>
    <row r="123" spans="2:46" ht="15.75">
      <c r="B123" s="426">
        <f>+B121/7</f>
        <v>28.333333333333332</v>
      </c>
      <c r="C123" s="415" t="s">
        <v>86</v>
      </c>
      <c r="D123" s="416"/>
      <c r="E123" s="417"/>
      <c r="F123" s="411"/>
      <c r="G123" s="333"/>
      <c r="H123" s="333"/>
      <c r="I123" s="411"/>
      <c r="J123" s="333"/>
      <c r="K123" s="405"/>
      <c r="L123" s="405"/>
      <c r="O123" s="1065">
        <f>(O121-18)/7</f>
        <v>28.595238095238098</v>
      </c>
      <c r="P123" s="1065"/>
      <c r="Q123" s="1065" t="s">
        <v>77</v>
      </c>
      <c r="R123" s="1065"/>
      <c r="S123" s="1065"/>
      <c r="T123" s="1065"/>
      <c r="U123" s="1065"/>
      <c r="V123" s="1065"/>
      <c r="W123" s="1065"/>
      <c r="X123" s="1065"/>
      <c r="Y123" s="1065"/>
      <c r="Z123" s="1065"/>
      <c r="AG123" s="267"/>
      <c r="AH123" s="267"/>
      <c r="AI123" s="267"/>
      <c r="AJ123" s="267"/>
      <c r="AK123" s="407"/>
      <c r="AL123" s="267"/>
      <c r="AM123" s="267"/>
      <c r="AN123" s="267"/>
      <c r="AO123" s="267"/>
    </row>
    <row r="124" spans="2:46">
      <c r="B124" s="408"/>
      <c r="C124" s="409"/>
      <c r="D124" s="333"/>
      <c r="E124" s="410"/>
      <c r="F124" s="411"/>
      <c r="G124" s="333"/>
      <c r="H124" s="333"/>
      <c r="I124" s="411"/>
      <c r="J124" s="333"/>
      <c r="K124" s="405"/>
      <c r="L124" s="405"/>
      <c r="O124" s="1053">
        <v>3</v>
      </c>
      <c r="P124" s="1053"/>
      <c r="Q124" s="1053" t="s">
        <v>79</v>
      </c>
      <c r="R124" s="1053"/>
      <c r="S124" s="1053"/>
      <c r="T124" s="1053"/>
      <c r="U124" s="1053"/>
      <c r="V124" s="1053"/>
      <c r="W124" s="1053"/>
      <c r="X124" s="1053"/>
      <c r="Y124" s="1053"/>
      <c r="Z124" s="1053"/>
      <c r="AG124" s="267"/>
      <c r="AH124" s="267"/>
      <c r="AI124" s="267"/>
      <c r="AJ124" s="267"/>
      <c r="AK124" s="267"/>
      <c r="AL124" s="267"/>
      <c r="AM124" s="267"/>
      <c r="AN124" s="267"/>
      <c r="AO124" s="267"/>
    </row>
    <row r="125" spans="2:46">
      <c r="B125" s="408">
        <v>28.333333333333332</v>
      </c>
      <c r="C125" s="409"/>
      <c r="D125" s="333"/>
      <c r="E125" s="410"/>
      <c r="F125" s="411"/>
      <c r="G125" s="333"/>
      <c r="H125" s="333"/>
      <c r="I125" s="411"/>
      <c r="J125" s="333"/>
      <c r="K125" s="405"/>
      <c r="L125" s="405"/>
      <c r="O125" s="1053">
        <f>+O124+O123</f>
        <v>31.595238095238098</v>
      </c>
      <c r="P125" s="1053"/>
      <c r="AG125" s="267"/>
      <c r="AH125" s="267"/>
      <c r="AI125" s="267"/>
      <c r="AJ125" s="267"/>
      <c r="AK125" s="267"/>
      <c r="AL125" s="267"/>
      <c r="AM125" s="267"/>
      <c r="AN125" s="267"/>
      <c r="AO125" s="267"/>
    </row>
    <row r="126" spans="2:46">
      <c r="B126" s="168"/>
      <c r="AG126" s="267"/>
      <c r="AH126" s="267"/>
      <c r="AI126" s="267"/>
      <c r="AJ126" s="267"/>
      <c r="AK126" s="267"/>
      <c r="AL126" s="267"/>
      <c r="AM126" s="267"/>
      <c r="AN126" s="267"/>
      <c r="AO126" s="267"/>
    </row>
    <row r="127" spans="2:46">
      <c r="B127" s="168"/>
      <c r="AG127" s="267"/>
      <c r="AH127" s="267"/>
      <c r="AI127" s="267"/>
      <c r="AJ127" s="267"/>
      <c r="AK127" s="267"/>
      <c r="AL127" s="267"/>
      <c r="AM127" s="267"/>
      <c r="AN127" s="267"/>
      <c r="AO127" s="267"/>
    </row>
    <row r="128" spans="2:46" ht="26.25" thickBot="1">
      <c r="B128" s="377" t="s">
        <v>89</v>
      </c>
      <c r="H128" s="1052">
        <v>42922</v>
      </c>
      <c r="I128" s="1052"/>
      <c r="J128" s="1052"/>
      <c r="K128" s="1052"/>
      <c r="L128" s="1052"/>
      <c r="M128" s="1052"/>
      <c r="N128" s="1052"/>
      <c r="AD128" s="378"/>
      <c r="AE128" s="378"/>
      <c r="AF128" s="378"/>
      <c r="AG128" s="167"/>
      <c r="AH128" s="167"/>
      <c r="AI128" s="167"/>
      <c r="AJ128" s="376"/>
      <c r="AK128" s="376"/>
    </row>
    <row r="129" spans="2:46" ht="16.5" thickBot="1">
      <c r="B129" s="379">
        <v>1231.53</v>
      </c>
      <c r="C129" s="240" t="s">
        <v>67</v>
      </c>
      <c r="AD129" s="296"/>
      <c r="AE129" s="296"/>
      <c r="AF129" s="296"/>
      <c r="AG129" s="296"/>
      <c r="AH129" s="296"/>
      <c r="AI129" s="296"/>
      <c r="AJ129" s="296"/>
      <c r="AK129" s="296"/>
      <c r="AL129" s="296"/>
      <c r="AM129" s="296"/>
      <c r="AN129" s="296"/>
      <c r="AO129" s="296"/>
      <c r="AP129" s="267"/>
      <c r="AQ129" s="267"/>
      <c r="AR129" s="267"/>
      <c r="AS129" s="267"/>
      <c r="AT129" s="267"/>
    </row>
    <row r="130" spans="2:46" ht="15.75">
      <c r="B130" s="168">
        <f>+B129/30*7</f>
        <v>287.35700000000003</v>
      </c>
      <c r="C130" s="240" t="s">
        <v>68</v>
      </c>
      <c r="D130" s="380"/>
      <c r="O130" s="1053" t="s">
        <v>69</v>
      </c>
      <c r="P130" s="1053"/>
      <c r="Q130" s="1053"/>
      <c r="R130" s="1053"/>
      <c r="S130" s="1053"/>
      <c r="T130" s="1053"/>
      <c r="U130" s="1053"/>
      <c r="V130" s="1053"/>
      <c r="W130" s="1053"/>
      <c r="X130" s="1053"/>
      <c r="Y130" s="1053"/>
      <c r="Z130" s="1053"/>
      <c r="AD130" s="296"/>
      <c r="AE130" s="626"/>
      <c r="AF130" s="626"/>
      <c r="AG130" s="296"/>
      <c r="AH130" s="296"/>
      <c r="AI130" s="296"/>
      <c r="AJ130" s="626"/>
      <c r="AK130" s="626"/>
      <c r="AL130" s="296"/>
      <c r="AM130" s="296"/>
      <c r="AN130" s="296"/>
      <c r="AO130" s="296"/>
      <c r="AP130" s="267"/>
      <c r="AQ130" s="267"/>
      <c r="AR130" s="267"/>
      <c r="AS130" s="267"/>
      <c r="AT130" s="267"/>
    </row>
    <row r="131" spans="2:46">
      <c r="B131" s="168">
        <f>+B130-18</f>
        <v>269.35700000000003</v>
      </c>
      <c r="C131" s="240" t="s">
        <v>70</v>
      </c>
      <c r="O131" s="1053">
        <f>+B129</f>
        <v>1231.53</v>
      </c>
      <c r="P131" s="1053"/>
      <c r="Q131" s="1053" t="s">
        <v>71</v>
      </c>
      <c r="R131" s="1053"/>
      <c r="S131" s="1053"/>
      <c r="T131" s="1053"/>
      <c r="U131" s="1053"/>
      <c r="V131" s="1053"/>
      <c r="W131" s="1053"/>
      <c r="X131" s="1053"/>
      <c r="Y131" s="1053"/>
      <c r="Z131" s="1053"/>
      <c r="AA131" s="7" t="s">
        <v>72</v>
      </c>
      <c r="AD131" s="296"/>
      <c r="AE131" s="626"/>
      <c r="AF131" s="626"/>
      <c r="AG131" s="296"/>
      <c r="AH131" s="296"/>
      <c r="AI131" s="296"/>
      <c r="AJ131" s="626"/>
      <c r="AK131" s="626"/>
      <c r="AL131" s="296"/>
      <c r="AM131" s="296"/>
      <c r="AN131" s="296"/>
      <c r="AO131" s="296"/>
      <c r="AP131" s="267"/>
      <c r="AQ131" s="267"/>
      <c r="AR131" s="267"/>
      <c r="AS131" s="267"/>
      <c r="AT131" s="267"/>
    </row>
    <row r="132" spans="2:46">
      <c r="B132" s="381">
        <f>+B131/7+0</f>
        <v>38.479571428571433</v>
      </c>
      <c r="C132" s="382" t="s">
        <v>73</v>
      </c>
      <c r="D132" s="383"/>
      <c r="O132" s="1053">
        <f>+O131/30*7</f>
        <v>287.35700000000003</v>
      </c>
      <c r="P132" s="1053"/>
      <c r="Q132" s="1053" t="s">
        <v>74</v>
      </c>
      <c r="R132" s="1053"/>
      <c r="S132" s="1053"/>
      <c r="T132" s="1053"/>
      <c r="U132" s="1053"/>
      <c r="V132" s="1053"/>
      <c r="W132" s="1053"/>
      <c r="X132" s="1053"/>
      <c r="Y132" s="1053"/>
      <c r="Z132" s="1053"/>
      <c r="AA132" s="1064">
        <f>+O132*0.87</f>
        <v>250.00059000000002</v>
      </c>
      <c r="AB132" s="1064"/>
      <c r="AD132" s="296"/>
      <c r="AE132" s="384"/>
      <c r="AF132" s="384"/>
      <c r="AG132" s="296"/>
      <c r="AH132" s="296"/>
      <c r="AI132" s="296"/>
      <c r="AJ132" s="384"/>
      <c r="AK132" s="384"/>
      <c r="AL132" s="385"/>
      <c r="AM132" s="385"/>
      <c r="AN132" s="385"/>
      <c r="AO132" s="385"/>
      <c r="AP132" s="386"/>
      <c r="AQ132" s="386"/>
      <c r="AR132" s="267"/>
      <c r="AS132" s="267"/>
      <c r="AT132" s="267"/>
    </row>
    <row r="133" spans="2:46">
      <c r="O133" s="1053">
        <f>+O132/7</f>
        <v>41.051000000000002</v>
      </c>
      <c r="P133" s="1053"/>
      <c r="Q133" s="1053" t="s">
        <v>75</v>
      </c>
      <c r="R133" s="1053"/>
      <c r="S133" s="1053"/>
      <c r="T133" s="1053"/>
      <c r="U133" s="1053"/>
      <c r="V133" s="1053"/>
      <c r="W133" s="1053"/>
      <c r="X133" s="1053"/>
      <c r="Y133" s="1053"/>
      <c r="Z133" s="1053"/>
      <c r="AD133" s="296"/>
      <c r="AE133" s="626"/>
      <c r="AF133" s="626"/>
      <c r="AG133" s="296"/>
      <c r="AH133" s="296"/>
      <c r="AI133" s="296"/>
      <c r="AJ133" s="626"/>
      <c r="AK133" s="626"/>
      <c r="AL133" s="387"/>
      <c r="AM133" s="387"/>
      <c r="AN133" s="385"/>
      <c r="AO133" s="385"/>
      <c r="AP133" s="386"/>
      <c r="AQ133" s="386"/>
      <c r="AR133" s="267"/>
      <c r="AS133" s="267"/>
      <c r="AT133" s="267"/>
    </row>
    <row r="134" spans="2:46" ht="15.75">
      <c r="B134" s="427">
        <f>+B132</f>
        <v>38.479571428571433</v>
      </c>
      <c r="C134" s="389" t="s">
        <v>76</v>
      </c>
      <c r="D134" s="390"/>
      <c r="E134" s="390"/>
      <c r="F134" s="390"/>
      <c r="O134" s="1065">
        <f>(O132-18)/7</f>
        <v>38.479571428571433</v>
      </c>
      <c r="P134" s="1065"/>
      <c r="Q134" s="1065" t="s">
        <v>77</v>
      </c>
      <c r="R134" s="1065"/>
      <c r="S134" s="1065"/>
      <c r="T134" s="1065"/>
      <c r="U134" s="1065"/>
      <c r="V134" s="1065"/>
      <c r="W134" s="1065"/>
      <c r="X134" s="1065"/>
      <c r="Y134" s="1065"/>
      <c r="Z134" s="1065"/>
      <c r="AD134" s="296"/>
      <c r="AE134" s="391"/>
      <c r="AF134" s="391"/>
      <c r="AG134" s="392"/>
      <c r="AH134" s="392"/>
      <c r="AI134" s="392"/>
      <c r="AJ134" s="391"/>
      <c r="AK134" s="391"/>
      <c r="AL134" s="385"/>
      <c r="AM134" s="385"/>
      <c r="AN134" s="385"/>
      <c r="AO134" s="385"/>
      <c r="AP134" s="386"/>
      <c r="AQ134" s="386"/>
      <c r="AR134" s="267"/>
      <c r="AS134" s="267"/>
      <c r="AT134" s="267"/>
    </row>
    <row r="135" spans="2:46">
      <c r="B135" s="168">
        <v>3</v>
      </c>
      <c r="C135" s="240" t="s">
        <v>78</v>
      </c>
      <c r="O135" s="1053">
        <v>3</v>
      </c>
      <c r="P135" s="1053"/>
      <c r="Q135" s="1053" t="s">
        <v>79</v>
      </c>
      <c r="R135" s="1053"/>
      <c r="S135" s="1053"/>
      <c r="T135" s="1053"/>
      <c r="U135" s="1053"/>
      <c r="V135" s="1053"/>
      <c r="W135" s="1053"/>
      <c r="X135" s="1053"/>
      <c r="Y135" s="1053"/>
      <c r="Z135" s="1053"/>
      <c r="AD135" s="296"/>
      <c r="AE135" s="296"/>
      <c r="AF135" s="391"/>
      <c r="AG135" s="392"/>
      <c r="AH135" s="392"/>
      <c r="AI135" s="392"/>
      <c r="AJ135" s="391"/>
      <c r="AK135" s="296"/>
      <c r="AL135" s="385"/>
      <c r="AM135" s="385"/>
      <c r="AN135" s="385"/>
      <c r="AO135" s="385"/>
      <c r="AP135" s="386"/>
      <c r="AQ135" s="386"/>
      <c r="AR135" s="267"/>
      <c r="AS135" s="267"/>
      <c r="AT135" s="267"/>
    </row>
    <row r="136" spans="2:46">
      <c r="B136" s="381">
        <f>+B135+B134</f>
        <v>41.479571428571433</v>
      </c>
      <c r="C136" s="382" t="s">
        <v>80</v>
      </c>
      <c r="D136" s="393"/>
      <c r="E136" s="394"/>
      <c r="F136" s="395"/>
      <c r="G136" s="393"/>
      <c r="H136" s="393"/>
      <c r="I136" s="395"/>
      <c r="J136" s="393"/>
      <c r="K136" s="396"/>
      <c r="L136" s="396"/>
      <c r="M136" s="383"/>
      <c r="O136" s="1053">
        <f>+O135+O134</f>
        <v>41.479571428571433</v>
      </c>
      <c r="P136" s="1053"/>
      <c r="AD136" s="296"/>
      <c r="AE136" s="626"/>
      <c r="AF136" s="626"/>
      <c r="AG136" s="296"/>
      <c r="AH136" s="296"/>
      <c r="AI136" s="296"/>
      <c r="AJ136" s="626"/>
      <c r="AK136" s="626"/>
      <c r="AL136" s="387"/>
      <c r="AM136" s="387"/>
      <c r="AN136" s="387"/>
      <c r="AO136" s="387"/>
      <c r="AP136" s="397"/>
      <c r="AQ136" s="267"/>
      <c r="AR136" s="267"/>
      <c r="AS136" s="267"/>
      <c r="AT136" s="267"/>
    </row>
    <row r="137" spans="2:46">
      <c r="B137" s="168"/>
      <c r="AD137" s="296"/>
      <c r="AE137" s="398"/>
      <c r="AF137" s="398"/>
      <c r="AG137" s="398"/>
      <c r="AH137" s="296"/>
      <c r="AI137" s="296"/>
      <c r="AJ137" s="398"/>
      <c r="AK137" s="398"/>
      <c r="AL137" s="385"/>
      <c r="AM137" s="296"/>
      <c r="AN137" s="296"/>
      <c r="AO137" s="296"/>
      <c r="AP137" s="267"/>
      <c r="AQ137" s="267"/>
      <c r="AR137" s="267"/>
      <c r="AS137" s="267"/>
      <c r="AT137" s="267"/>
    </row>
    <row r="138" spans="2:46">
      <c r="B138" s="168">
        <f>+B136*6</f>
        <v>248.8774285714286</v>
      </c>
      <c r="C138" s="240" t="s">
        <v>81</v>
      </c>
      <c r="O138" s="1053" t="s">
        <v>82</v>
      </c>
      <c r="P138" s="1053"/>
      <c r="Q138" s="1053"/>
      <c r="R138" s="1053"/>
      <c r="S138" s="1053"/>
      <c r="T138" s="1053"/>
      <c r="U138" s="1053"/>
      <c r="V138" s="1053"/>
      <c r="W138" s="1053"/>
      <c r="X138" s="1053"/>
      <c r="Y138" s="1053"/>
      <c r="Z138" s="1053"/>
      <c r="AD138" s="296"/>
      <c r="AE138" s="296"/>
      <c r="AF138" s="296"/>
      <c r="AG138" s="296"/>
      <c r="AH138" s="296"/>
      <c r="AI138" s="385"/>
      <c r="AJ138" s="385"/>
      <c r="AK138" s="387"/>
      <c r="AL138" s="624"/>
      <c r="AM138" s="626"/>
      <c r="AN138" s="624"/>
      <c r="AO138" s="296"/>
      <c r="AP138" s="267"/>
      <c r="AQ138" s="267"/>
      <c r="AR138" s="267"/>
      <c r="AS138" s="267"/>
      <c r="AT138" s="267"/>
    </row>
    <row r="139" spans="2:46">
      <c r="B139" s="399">
        <f>+B134</f>
        <v>38.479571428571433</v>
      </c>
      <c r="C139" s="400" t="s">
        <v>83</v>
      </c>
      <c r="D139" s="401"/>
      <c r="E139" s="402"/>
      <c r="F139" s="403"/>
      <c r="G139" s="401"/>
      <c r="H139" s="401"/>
      <c r="I139" s="403"/>
      <c r="J139" s="401"/>
      <c r="K139" s="404"/>
      <c r="L139" s="405"/>
      <c r="O139" s="1053">
        <f>+O131*1.1</f>
        <v>1354.683</v>
      </c>
      <c r="P139" s="1053"/>
      <c r="Q139" s="1053" t="s">
        <v>71</v>
      </c>
      <c r="R139" s="1053"/>
      <c r="S139" s="1053"/>
      <c r="T139" s="1053"/>
      <c r="U139" s="1053"/>
      <c r="V139" s="1053"/>
      <c r="W139" s="1053"/>
      <c r="X139" s="1053"/>
      <c r="Y139" s="1053"/>
      <c r="Z139" s="1053"/>
      <c r="AA139" s="7" t="s">
        <v>84</v>
      </c>
      <c r="AG139" s="267"/>
      <c r="AH139" s="267"/>
      <c r="AI139" s="386"/>
      <c r="AJ139" s="386"/>
      <c r="AK139" s="386"/>
      <c r="AL139" s="267"/>
      <c r="AM139" s="267"/>
      <c r="AN139" s="267"/>
      <c r="AO139" s="267"/>
    </row>
    <row r="140" spans="2:46">
      <c r="B140" s="381">
        <f>+B139+B138</f>
        <v>287.35700000000003</v>
      </c>
      <c r="C140" s="382" t="s">
        <v>85</v>
      </c>
      <c r="D140" s="393"/>
      <c r="E140" s="394"/>
      <c r="F140" s="395"/>
      <c r="G140" s="393"/>
      <c r="H140" s="393"/>
      <c r="I140" s="395"/>
      <c r="J140" s="393"/>
      <c r="K140" s="406"/>
      <c r="L140" s="405"/>
      <c r="O140" s="1053">
        <f>+O139/30*7</f>
        <v>316.09270000000004</v>
      </c>
      <c r="P140" s="1053"/>
      <c r="Q140" s="1053" t="s">
        <v>74</v>
      </c>
      <c r="R140" s="1053"/>
      <c r="S140" s="1053"/>
      <c r="T140" s="1053"/>
      <c r="U140" s="1053"/>
      <c r="V140" s="1053"/>
      <c r="W140" s="1053"/>
      <c r="X140" s="1053"/>
      <c r="Y140" s="1053"/>
      <c r="Z140" s="1053"/>
      <c r="AA140" s="1064">
        <f>+O140*0.87</f>
        <v>275.00064900000001</v>
      </c>
      <c r="AB140" s="1064"/>
      <c r="AG140" s="267"/>
      <c r="AH140" s="267"/>
      <c r="AI140" s="386"/>
      <c r="AJ140" s="386"/>
      <c r="AK140" s="407"/>
      <c r="AL140" s="267"/>
      <c r="AM140" s="267"/>
      <c r="AN140" s="267"/>
      <c r="AO140" s="267"/>
    </row>
    <row r="141" spans="2:46">
      <c r="B141" s="408"/>
      <c r="C141" s="409"/>
      <c r="D141" s="333"/>
      <c r="E141" s="410"/>
      <c r="F141" s="411"/>
      <c r="G141" s="333"/>
      <c r="H141" s="333"/>
      <c r="I141" s="411"/>
      <c r="J141" s="333"/>
      <c r="K141" s="405"/>
      <c r="L141" s="405"/>
      <c r="O141" s="1053">
        <f>+O140/7</f>
        <v>45.156100000000002</v>
      </c>
      <c r="P141" s="1053"/>
      <c r="Q141" s="1053" t="s">
        <v>75</v>
      </c>
      <c r="R141" s="1053"/>
      <c r="S141" s="1053"/>
      <c r="T141" s="1053"/>
      <c r="U141" s="1053"/>
      <c r="V141" s="1053"/>
      <c r="W141" s="1053"/>
      <c r="X141" s="1053"/>
      <c r="Y141" s="1053"/>
      <c r="Z141" s="1053"/>
      <c r="AG141" s="267"/>
      <c r="AH141" s="267"/>
      <c r="AI141" s="412"/>
      <c r="AJ141" s="413"/>
      <c r="AK141" s="407"/>
      <c r="AL141" s="267"/>
      <c r="AM141" s="267"/>
      <c r="AN141" s="267"/>
      <c r="AO141" s="267"/>
    </row>
    <row r="142" spans="2:46" ht="15.75">
      <c r="B142" s="426">
        <f>+B140/7</f>
        <v>41.051000000000002</v>
      </c>
      <c r="C142" s="415" t="s">
        <v>86</v>
      </c>
      <c r="D142" s="416"/>
      <c r="E142" s="417"/>
      <c r="F142" s="418"/>
      <c r="G142" s="419"/>
      <c r="H142" s="419"/>
      <c r="I142" s="411"/>
      <c r="J142" s="333"/>
      <c r="K142" s="405"/>
      <c r="L142" s="405"/>
      <c r="O142" s="1065">
        <f>(O140-18)/7</f>
        <v>42.584671428571433</v>
      </c>
      <c r="P142" s="1065"/>
      <c r="Q142" s="1065" t="s">
        <v>77</v>
      </c>
      <c r="R142" s="1065"/>
      <c r="S142" s="1065"/>
      <c r="T142" s="1065"/>
      <c r="U142" s="1065"/>
      <c r="V142" s="1065"/>
      <c r="W142" s="1065"/>
      <c r="X142" s="1065"/>
      <c r="Y142" s="1065"/>
      <c r="Z142" s="1065"/>
      <c r="AG142" s="267"/>
      <c r="AH142" s="267"/>
      <c r="AI142" s="267"/>
      <c r="AJ142" s="267"/>
      <c r="AK142" s="407"/>
      <c r="AL142" s="267"/>
      <c r="AM142" s="267"/>
      <c r="AN142" s="267"/>
      <c r="AO142" s="267"/>
    </row>
    <row r="143" spans="2:46">
      <c r="B143" s="408"/>
      <c r="C143" s="409"/>
      <c r="D143" s="333"/>
      <c r="E143" s="410"/>
      <c r="F143" s="411"/>
      <c r="G143" s="333"/>
      <c r="H143" s="333"/>
      <c r="I143" s="411"/>
      <c r="J143" s="333"/>
      <c r="K143" s="405"/>
      <c r="L143" s="405"/>
      <c r="O143" s="1053">
        <v>3</v>
      </c>
      <c r="P143" s="1053"/>
      <c r="Q143" s="1053" t="s">
        <v>79</v>
      </c>
      <c r="R143" s="1053"/>
      <c r="S143" s="1053"/>
      <c r="T143" s="1053"/>
      <c r="U143" s="1053"/>
      <c r="V143" s="1053"/>
      <c r="W143" s="1053"/>
      <c r="X143" s="1053"/>
      <c r="Y143" s="1053"/>
      <c r="Z143" s="1053"/>
      <c r="AG143" s="267"/>
      <c r="AH143" s="267"/>
      <c r="AI143" s="267"/>
      <c r="AJ143" s="267"/>
      <c r="AK143" s="267"/>
      <c r="AL143" s="267"/>
      <c r="AM143" s="267"/>
      <c r="AN143" s="267"/>
      <c r="AO143" s="267"/>
    </row>
    <row r="144" spans="2:46">
      <c r="B144" s="408"/>
      <c r="C144" s="409"/>
      <c r="D144" s="333"/>
      <c r="E144" s="410"/>
      <c r="F144" s="411"/>
      <c r="G144" s="333"/>
      <c r="H144" s="333"/>
      <c r="I144" s="411"/>
      <c r="J144" s="333"/>
      <c r="K144" s="405"/>
      <c r="L144" s="405"/>
      <c r="O144" s="1053">
        <f>+O143+O142</f>
        <v>45.584671428571433</v>
      </c>
      <c r="P144" s="1053"/>
      <c r="AG144" s="267"/>
      <c r="AH144" s="267"/>
      <c r="AI144" s="267"/>
      <c r="AJ144" s="267"/>
      <c r="AK144" s="267"/>
      <c r="AL144" s="267"/>
      <c r="AM144" s="267"/>
      <c r="AN144" s="267"/>
      <c r="AO144" s="267"/>
    </row>
    <row r="145" spans="2:46">
      <c r="B145" s="168"/>
      <c r="AG145" s="267"/>
      <c r="AH145" s="267"/>
      <c r="AI145" s="267"/>
      <c r="AJ145" s="267"/>
      <c r="AK145" s="267"/>
      <c r="AL145" s="267"/>
      <c r="AM145" s="267"/>
      <c r="AN145" s="267"/>
      <c r="AO145" s="267"/>
    </row>
    <row r="146" spans="2:46" ht="26.25" thickBot="1">
      <c r="B146" s="377" t="s">
        <v>53</v>
      </c>
      <c r="H146" s="1052">
        <v>42744</v>
      </c>
      <c r="I146" s="1052"/>
      <c r="J146" s="1052"/>
      <c r="K146" s="1052"/>
      <c r="L146" s="1052"/>
      <c r="M146" s="1052"/>
      <c r="N146" s="1052"/>
      <c r="AD146" s="378"/>
      <c r="AE146" s="378"/>
      <c r="AF146" s="378"/>
      <c r="AG146" s="167"/>
      <c r="AH146" s="167"/>
      <c r="AI146" s="167"/>
      <c r="AJ146" s="376"/>
      <c r="AK146" s="376"/>
    </row>
    <row r="147" spans="2:46" ht="16.5" thickBot="1">
      <c r="B147" s="379">
        <v>1232.1400000000001</v>
      </c>
      <c r="C147" s="240" t="s">
        <v>67</v>
      </c>
      <c r="AD147" s="296"/>
      <c r="AE147" s="296"/>
      <c r="AF147" s="296"/>
      <c r="AG147" s="296"/>
      <c r="AH147" s="296"/>
      <c r="AI147" s="296"/>
      <c r="AJ147" s="296"/>
      <c r="AK147" s="296"/>
      <c r="AL147" s="296"/>
      <c r="AM147" s="296"/>
      <c r="AN147" s="296"/>
      <c r="AO147" s="296"/>
      <c r="AP147" s="267"/>
      <c r="AQ147" s="267"/>
      <c r="AR147" s="267"/>
      <c r="AS147" s="267"/>
      <c r="AT147" s="267"/>
    </row>
    <row r="148" spans="2:46" ht="15.75">
      <c r="B148" s="168">
        <f>+B147/30*7</f>
        <v>287.49933333333337</v>
      </c>
      <c r="C148" s="240" t="s">
        <v>68</v>
      </c>
      <c r="D148" s="380"/>
      <c r="O148" s="1053" t="s">
        <v>69</v>
      </c>
      <c r="P148" s="1053"/>
      <c r="Q148" s="1053"/>
      <c r="R148" s="1053"/>
      <c r="S148" s="1053"/>
      <c r="T148" s="1053"/>
      <c r="U148" s="1053"/>
      <c r="V148" s="1053"/>
      <c r="W148" s="1053"/>
      <c r="X148" s="1053"/>
      <c r="Y148" s="1053"/>
      <c r="Z148" s="1053"/>
      <c r="AD148" s="296"/>
      <c r="AE148" s="626"/>
      <c r="AF148" s="626"/>
      <c r="AG148" s="296"/>
      <c r="AH148" s="296"/>
      <c r="AI148" s="296"/>
      <c r="AJ148" s="626"/>
      <c r="AK148" s="626"/>
      <c r="AL148" s="296"/>
      <c r="AM148" s="296"/>
      <c r="AN148" s="296"/>
      <c r="AO148" s="296"/>
      <c r="AP148" s="267"/>
      <c r="AQ148" s="267"/>
      <c r="AR148" s="267"/>
      <c r="AS148" s="267"/>
      <c r="AT148" s="267"/>
    </row>
    <row r="149" spans="2:46">
      <c r="B149" s="168">
        <f>+B148-18</f>
        <v>269.49933333333337</v>
      </c>
      <c r="C149" s="240" t="s">
        <v>70</v>
      </c>
      <c r="O149" s="1053">
        <f>+B147</f>
        <v>1232.1400000000001</v>
      </c>
      <c r="P149" s="1053"/>
      <c r="Q149" s="1053" t="s">
        <v>71</v>
      </c>
      <c r="R149" s="1053"/>
      <c r="S149" s="1053"/>
      <c r="T149" s="1053"/>
      <c r="U149" s="1053"/>
      <c r="V149" s="1053"/>
      <c r="W149" s="1053"/>
      <c r="X149" s="1053"/>
      <c r="Y149" s="1053"/>
      <c r="Z149" s="1053"/>
      <c r="AA149" s="7" t="s">
        <v>72</v>
      </c>
      <c r="AD149" s="296"/>
      <c r="AE149" s="626"/>
      <c r="AF149" s="626"/>
      <c r="AG149" s="296"/>
      <c r="AH149" s="296"/>
      <c r="AI149" s="296"/>
      <c r="AJ149" s="626"/>
      <c r="AK149" s="626"/>
      <c r="AL149" s="296"/>
      <c r="AM149" s="296"/>
      <c r="AN149" s="296"/>
      <c r="AO149" s="296"/>
      <c r="AP149" s="267"/>
      <c r="AQ149" s="267"/>
      <c r="AR149" s="267"/>
      <c r="AS149" s="267"/>
      <c r="AT149" s="267"/>
    </row>
    <row r="150" spans="2:46">
      <c r="B150" s="381">
        <f>+B149/7+0</f>
        <v>38.499904761904766</v>
      </c>
      <c r="C150" s="382" t="s">
        <v>73</v>
      </c>
      <c r="D150" s="383"/>
      <c r="O150" s="1053">
        <f>+O149/30*7</f>
        <v>287.49933333333337</v>
      </c>
      <c r="P150" s="1053"/>
      <c r="Q150" s="1053" t="s">
        <v>74</v>
      </c>
      <c r="R150" s="1053"/>
      <c r="S150" s="1053"/>
      <c r="T150" s="1053"/>
      <c r="U150" s="1053"/>
      <c r="V150" s="1053"/>
      <c r="W150" s="1053"/>
      <c r="X150" s="1053"/>
      <c r="Y150" s="1053"/>
      <c r="Z150" s="1053"/>
      <c r="AA150" s="1064">
        <f>+O150*0.87</f>
        <v>250.12442000000001</v>
      </c>
      <c r="AB150" s="1064"/>
      <c r="AD150" s="296"/>
      <c r="AE150" s="384"/>
      <c r="AF150" s="384"/>
      <c r="AG150" s="296"/>
      <c r="AH150" s="296"/>
      <c r="AI150" s="296"/>
      <c r="AJ150" s="384"/>
      <c r="AK150" s="384"/>
      <c r="AL150" s="385"/>
      <c r="AM150" s="385"/>
      <c r="AN150" s="385"/>
      <c r="AO150" s="385"/>
      <c r="AP150" s="386"/>
      <c r="AQ150" s="386"/>
      <c r="AR150" s="267"/>
      <c r="AS150" s="267"/>
      <c r="AT150" s="267"/>
    </row>
    <row r="151" spans="2:46">
      <c r="O151" s="1053">
        <f>+O150/7</f>
        <v>41.071333333333335</v>
      </c>
      <c r="P151" s="1053"/>
      <c r="Q151" s="1053" t="s">
        <v>75</v>
      </c>
      <c r="R151" s="1053"/>
      <c r="S151" s="1053"/>
      <c r="T151" s="1053"/>
      <c r="U151" s="1053"/>
      <c r="V151" s="1053"/>
      <c r="W151" s="1053"/>
      <c r="X151" s="1053"/>
      <c r="Y151" s="1053"/>
      <c r="Z151" s="1053"/>
      <c r="AD151" s="296"/>
      <c r="AE151" s="626"/>
      <c r="AF151" s="626"/>
      <c r="AG151" s="296"/>
      <c r="AH151" s="296"/>
      <c r="AI151" s="296"/>
      <c r="AJ151" s="626"/>
      <c r="AK151" s="626"/>
      <c r="AL151" s="387"/>
      <c r="AM151" s="387"/>
      <c r="AN151" s="385"/>
      <c r="AO151" s="385"/>
      <c r="AP151" s="386"/>
      <c r="AQ151" s="386"/>
      <c r="AR151" s="267"/>
      <c r="AS151" s="267"/>
      <c r="AT151" s="267"/>
    </row>
    <row r="152" spans="2:46" ht="15.75">
      <c r="B152" s="427">
        <f>+B150</f>
        <v>38.499904761904766</v>
      </c>
      <c r="C152" s="389" t="s">
        <v>76</v>
      </c>
      <c r="D152" s="390"/>
      <c r="E152" s="390"/>
      <c r="F152" s="390"/>
      <c r="O152" s="1065">
        <f>(O150-18)/7</f>
        <v>38.499904761904766</v>
      </c>
      <c r="P152" s="1065"/>
      <c r="Q152" s="1065" t="s">
        <v>77</v>
      </c>
      <c r="R152" s="1065"/>
      <c r="S152" s="1065"/>
      <c r="T152" s="1065"/>
      <c r="U152" s="1065"/>
      <c r="V152" s="1065"/>
      <c r="W152" s="1065"/>
      <c r="X152" s="1065"/>
      <c r="Y152" s="1065"/>
      <c r="Z152" s="1065"/>
      <c r="AD152" s="296"/>
      <c r="AE152" s="391"/>
      <c r="AF152" s="391"/>
      <c r="AG152" s="392"/>
      <c r="AH152" s="392"/>
      <c r="AI152" s="392"/>
      <c r="AJ152" s="391"/>
      <c r="AK152" s="391"/>
      <c r="AL152" s="385"/>
      <c r="AM152" s="385"/>
      <c r="AN152" s="385"/>
      <c r="AO152" s="385"/>
      <c r="AP152" s="386"/>
      <c r="AQ152" s="386"/>
      <c r="AR152" s="267"/>
      <c r="AS152" s="267"/>
      <c r="AT152" s="267"/>
    </row>
    <row r="153" spans="2:46">
      <c r="B153" s="168">
        <v>3</v>
      </c>
      <c r="C153" s="240" t="s">
        <v>78</v>
      </c>
      <c r="O153" s="1053">
        <v>3</v>
      </c>
      <c r="P153" s="1053"/>
      <c r="Q153" s="1053" t="s">
        <v>79</v>
      </c>
      <c r="R153" s="1053"/>
      <c r="S153" s="1053"/>
      <c r="T153" s="1053"/>
      <c r="U153" s="1053"/>
      <c r="V153" s="1053"/>
      <c r="W153" s="1053"/>
      <c r="X153" s="1053"/>
      <c r="Y153" s="1053"/>
      <c r="Z153" s="1053"/>
      <c r="AD153" s="296"/>
      <c r="AE153" s="296"/>
      <c r="AF153" s="996">
        <v>993814365</v>
      </c>
      <c r="AG153" s="996"/>
      <c r="AH153" s="996"/>
      <c r="AI153" s="996"/>
      <c r="AJ153" s="996"/>
      <c r="AK153" s="296"/>
      <c r="AL153" s="385"/>
      <c r="AM153" s="385"/>
      <c r="AN153" s="385"/>
      <c r="AO153" s="385"/>
      <c r="AP153" s="386"/>
      <c r="AQ153" s="386"/>
      <c r="AR153" s="267"/>
      <c r="AS153" s="267"/>
      <c r="AT153" s="267"/>
    </row>
    <row r="154" spans="2:46">
      <c r="B154" s="381">
        <f>+B153+B152</f>
        <v>41.499904761904766</v>
      </c>
      <c r="C154" s="382" t="s">
        <v>80</v>
      </c>
      <c r="D154" s="393"/>
      <c r="E154" s="394"/>
      <c r="F154" s="395"/>
      <c r="G154" s="393"/>
      <c r="H154" s="393"/>
      <c r="I154" s="395"/>
      <c r="J154" s="393"/>
      <c r="K154" s="396"/>
      <c r="L154" s="396"/>
      <c r="M154" s="383"/>
      <c r="O154" s="1053">
        <f>+O153+O152</f>
        <v>41.499904761904766</v>
      </c>
      <c r="P154" s="1053"/>
      <c r="AD154" s="296"/>
      <c r="AE154" s="626"/>
      <c r="AF154" s="626"/>
      <c r="AG154" s="296"/>
      <c r="AH154" s="296"/>
      <c r="AI154" s="296"/>
      <c r="AJ154" s="626"/>
      <c r="AK154" s="626"/>
      <c r="AL154" s="387"/>
      <c r="AM154" s="387"/>
      <c r="AN154" s="387"/>
      <c r="AO154" s="387"/>
      <c r="AP154" s="397"/>
      <c r="AQ154" s="267"/>
      <c r="AR154" s="267"/>
      <c r="AS154" s="267"/>
      <c r="AT154" s="267"/>
    </row>
    <row r="155" spans="2:46">
      <c r="B155" s="168"/>
      <c r="AD155" s="296"/>
      <c r="AE155" s="398"/>
      <c r="AF155" s="398"/>
      <c r="AG155" s="398"/>
      <c r="AH155" s="296"/>
      <c r="AI155" s="296"/>
      <c r="AJ155" s="398"/>
      <c r="AK155" s="398"/>
      <c r="AL155" s="385"/>
      <c r="AM155" s="296"/>
      <c r="AN155" s="296"/>
      <c r="AO155" s="296"/>
      <c r="AP155" s="267"/>
      <c r="AQ155" s="267"/>
      <c r="AR155" s="267"/>
      <c r="AS155" s="267"/>
      <c r="AT155" s="267"/>
    </row>
    <row r="156" spans="2:46">
      <c r="B156" s="168">
        <f>+B154*6</f>
        <v>248.99942857142861</v>
      </c>
      <c r="C156" s="240" t="s">
        <v>81</v>
      </c>
      <c r="O156" s="1053" t="s">
        <v>82</v>
      </c>
      <c r="P156" s="1053"/>
      <c r="Q156" s="1053"/>
      <c r="R156" s="1053"/>
      <c r="S156" s="1053"/>
      <c r="T156" s="1053"/>
      <c r="U156" s="1053"/>
      <c r="V156" s="1053"/>
      <c r="W156" s="1053"/>
      <c r="X156" s="1053"/>
      <c r="Y156" s="1053"/>
      <c r="Z156" s="1053"/>
      <c r="AD156" s="296"/>
      <c r="AE156" s="296"/>
      <c r="AF156" s="296"/>
      <c r="AG156" s="296"/>
      <c r="AH156" s="296"/>
      <c r="AI156" s="385"/>
      <c r="AJ156" s="385"/>
      <c r="AK156" s="387"/>
      <c r="AL156" s="624"/>
      <c r="AM156" s="626"/>
      <c r="AN156" s="624"/>
      <c r="AO156" s="296"/>
      <c r="AP156" s="267"/>
      <c r="AQ156" s="267"/>
      <c r="AR156" s="267"/>
      <c r="AS156" s="267"/>
      <c r="AT156" s="267"/>
    </row>
    <row r="157" spans="2:46">
      <c r="B157" s="399">
        <f>+B152</f>
        <v>38.499904761904766</v>
      </c>
      <c r="C157" s="400" t="s">
        <v>83</v>
      </c>
      <c r="D157" s="401"/>
      <c r="E157" s="402"/>
      <c r="F157" s="403"/>
      <c r="G157" s="401"/>
      <c r="H157" s="401"/>
      <c r="I157" s="403"/>
      <c r="J157" s="401"/>
      <c r="K157" s="404"/>
      <c r="L157" s="405"/>
      <c r="O157" s="1053">
        <f>+O149*1.1</f>
        <v>1355.3540000000003</v>
      </c>
      <c r="P157" s="1053"/>
      <c r="Q157" s="1053" t="s">
        <v>71</v>
      </c>
      <c r="R157" s="1053"/>
      <c r="S157" s="1053"/>
      <c r="T157" s="1053"/>
      <c r="U157" s="1053"/>
      <c r="V157" s="1053"/>
      <c r="W157" s="1053"/>
      <c r="X157" s="1053"/>
      <c r="Y157" s="1053"/>
      <c r="Z157" s="1053"/>
      <c r="AA157" s="7" t="s">
        <v>84</v>
      </c>
      <c r="AG157" s="267"/>
      <c r="AH157" s="267"/>
      <c r="AI157" s="386"/>
      <c r="AJ157" s="386"/>
      <c r="AK157" s="386"/>
      <c r="AL157" s="267"/>
      <c r="AM157" s="267"/>
      <c r="AN157" s="267"/>
      <c r="AO157" s="267"/>
    </row>
    <row r="158" spans="2:46">
      <c r="B158" s="381">
        <f>+B157+B156</f>
        <v>287.49933333333337</v>
      </c>
      <c r="C158" s="382" t="s">
        <v>85</v>
      </c>
      <c r="D158" s="393"/>
      <c r="E158" s="394"/>
      <c r="F158" s="395"/>
      <c r="G158" s="393"/>
      <c r="H158" s="393"/>
      <c r="I158" s="395"/>
      <c r="J158" s="393"/>
      <c r="K158" s="406"/>
      <c r="L158" s="405"/>
      <c r="O158" s="1053">
        <f>+O157/30*7</f>
        <v>316.2492666666667</v>
      </c>
      <c r="P158" s="1053"/>
      <c r="Q158" s="1053" t="s">
        <v>74</v>
      </c>
      <c r="R158" s="1053"/>
      <c r="S158" s="1053"/>
      <c r="T158" s="1053"/>
      <c r="U158" s="1053"/>
      <c r="V158" s="1053"/>
      <c r="W158" s="1053"/>
      <c r="X158" s="1053"/>
      <c r="Y158" s="1053"/>
      <c r="Z158" s="1053"/>
      <c r="AA158" s="1064">
        <f>+O158*0.87</f>
        <v>275.13686200000001</v>
      </c>
      <c r="AB158" s="1064"/>
      <c r="AG158" s="267"/>
      <c r="AH158" s="267"/>
      <c r="AI158" s="386"/>
      <c r="AJ158" s="386"/>
      <c r="AK158" s="407"/>
      <c r="AL158" s="267"/>
      <c r="AM158" s="267"/>
      <c r="AN158" s="267"/>
      <c r="AO158" s="267"/>
    </row>
    <row r="159" spans="2:46">
      <c r="B159" s="408"/>
      <c r="C159" s="409"/>
      <c r="D159" s="333"/>
      <c r="E159" s="410"/>
      <c r="F159" s="411"/>
      <c r="G159" s="333"/>
      <c r="H159" s="333"/>
      <c r="I159" s="411"/>
      <c r="J159" s="333"/>
      <c r="K159" s="405"/>
      <c r="L159" s="405"/>
      <c r="O159" s="1053">
        <f>+O158/7</f>
        <v>45.178466666666672</v>
      </c>
      <c r="P159" s="1053"/>
      <c r="Q159" s="1053" t="s">
        <v>75</v>
      </c>
      <c r="R159" s="1053"/>
      <c r="S159" s="1053"/>
      <c r="T159" s="1053"/>
      <c r="U159" s="1053"/>
      <c r="V159" s="1053"/>
      <c r="W159" s="1053"/>
      <c r="X159" s="1053"/>
      <c r="Y159" s="1053"/>
      <c r="Z159" s="1053"/>
      <c r="AG159" s="267"/>
      <c r="AH159" s="267"/>
      <c r="AI159" s="412"/>
      <c r="AJ159" s="413"/>
      <c r="AK159" s="407"/>
      <c r="AL159" s="267"/>
      <c r="AM159" s="267"/>
      <c r="AN159" s="267"/>
      <c r="AO159" s="267"/>
    </row>
    <row r="160" spans="2:46" ht="15.75">
      <c r="B160" s="426">
        <f>+B158/7</f>
        <v>41.071333333333335</v>
      </c>
      <c r="C160" s="415" t="s">
        <v>86</v>
      </c>
      <c r="D160" s="416"/>
      <c r="E160" s="417"/>
      <c r="F160" s="418"/>
      <c r="G160" s="419"/>
      <c r="H160" s="419"/>
      <c r="I160" s="411"/>
      <c r="J160" s="333"/>
      <c r="K160" s="405"/>
      <c r="L160" s="405"/>
      <c r="O160" s="1065">
        <f>(O158-18)/7</f>
        <v>42.607038095238103</v>
      </c>
      <c r="P160" s="1065"/>
      <c r="Q160" s="1065" t="s">
        <v>77</v>
      </c>
      <c r="R160" s="1065"/>
      <c r="S160" s="1065"/>
      <c r="T160" s="1065"/>
      <c r="U160" s="1065"/>
      <c r="V160" s="1065"/>
      <c r="W160" s="1065"/>
      <c r="X160" s="1065"/>
      <c r="Y160" s="1065"/>
      <c r="Z160" s="1065"/>
      <c r="AG160" s="267"/>
      <c r="AH160" s="267"/>
      <c r="AI160" s="267"/>
      <c r="AJ160" s="267"/>
      <c r="AK160" s="407"/>
      <c r="AL160" s="267"/>
      <c r="AM160" s="267"/>
      <c r="AN160" s="267"/>
      <c r="AO160" s="267"/>
    </row>
    <row r="161" spans="2:46">
      <c r="B161" s="408"/>
      <c r="C161" s="409"/>
      <c r="D161" s="333"/>
      <c r="E161" s="410"/>
      <c r="F161" s="411"/>
      <c r="G161" s="333"/>
      <c r="H161" s="333"/>
      <c r="I161" s="411"/>
      <c r="J161" s="333"/>
      <c r="K161" s="405"/>
      <c r="L161" s="405"/>
      <c r="O161" s="1053">
        <v>3</v>
      </c>
      <c r="P161" s="1053"/>
      <c r="Q161" s="1053" t="s">
        <v>79</v>
      </c>
      <c r="R161" s="1053"/>
      <c r="S161" s="1053"/>
      <c r="T161" s="1053"/>
      <c r="U161" s="1053"/>
      <c r="V161" s="1053"/>
      <c r="W161" s="1053"/>
      <c r="X161" s="1053"/>
      <c r="Y161" s="1053"/>
      <c r="Z161" s="1053"/>
      <c r="AG161" s="267"/>
      <c r="AH161" s="267"/>
      <c r="AI161" s="267"/>
      <c r="AJ161" s="267"/>
      <c r="AK161" s="267"/>
      <c r="AL161" s="267"/>
      <c r="AM161" s="267"/>
      <c r="AN161" s="267"/>
      <c r="AO161" s="267"/>
    </row>
    <row r="162" spans="2:46">
      <c r="B162" s="408"/>
      <c r="C162" s="409"/>
      <c r="D162" s="333"/>
      <c r="E162" s="410"/>
      <c r="F162" s="411"/>
      <c r="G162" s="333"/>
      <c r="H162" s="333"/>
      <c r="I162" s="411"/>
      <c r="J162" s="333"/>
      <c r="K162" s="405"/>
      <c r="L162" s="405"/>
      <c r="O162" s="1053">
        <f>+O161+O160</f>
        <v>45.607038095238103</v>
      </c>
      <c r="P162" s="1053"/>
      <c r="AG162" s="267"/>
      <c r="AH162" s="267"/>
      <c r="AI162" s="267"/>
      <c r="AJ162" s="267"/>
      <c r="AK162" s="267"/>
      <c r="AL162" s="267"/>
      <c r="AM162" s="267"/>
      <c r="AN162" s="267"/>
      <c r="AO162" s="267"/>
    </row>
    <row r="163" spans="2:46">
      <c r="B163" s="168"/>
      <c r="AG163" s="267"/>
      <c r="AH163" s="267"/>
      <c r="AI163" s="267"/>
      <c r="AJ163" s="267"/>
      <c r="AK163" s="267"/>
      <c r="AL163" s="267"/>
      <c r="AM163" s="267"/>
      <c r="AN163" s="267"/>
      <c r="AO163" s="267"/>
    </row>
    <row r="164" spans="2:46">
      <c r="AG164" s="267"/>
      <c r="AH164" s="267"/>
      <c r="AI164" s="267"/>
      <c r="AJ164" s="267"/>
      <c r="AK164" s="267"/>
      <c r="AL164" s="267"/>
      <c r="AM164" s="267"/>
      <c r="AN164" s="267"/>
      <c r="AO164" s="267"/>
    </row>
    <row r="165" spans="2:46">
      <c r="AG165" s="267"/>
      <c r="AH165" s="267"/>
      <c r="AI165" s="267"/>
      <c r="AJ165" s="267"/>
      <c r="AK165" s="267"/>
      <c r="AL165" s="267"/>
      <c r="AM165" s="267"/>
      <c r="AN165" s="267"/>
      <c r="AO165" s="267"/>
    </row>
    <row r="166" spans="2:46" ht="26.25" thickBot="1">
      <c r="B166" s="377" t="s">
        <v>90</v>
      </c>
      <c r="H166" s="1052">
        <v>42736</v>
      </c>
      <c r="I166" s="1052"/>
      <c r="J166" s="1052"/>
      <c r="K166" s="1052"/>
      <c r="L166" s="1052"/>
      <c r="M166" s="1052"/>
      <c r="N166" s="1052"/>
      <c r="AG166" s="267"/>
      <c r="AH166" s="267"/>
      <c r="AI166" s="267"/>
      <c r="AJ166" s="267"/>
      <c r="AK166" s="267"/>
      <c r="AL166" s="267"/>
      <c r="AM166" s="267"/>
      <c r="AN166" s="267"/>
      <c r="AO166" s="267"/>
    </row>
    <row r="167" spans="2:46" ht="16.5" thickBot="1">
      <c r="B167" s="379">
        <v>850</v>
      </c>
      <c r="C167" s="240" t="s">
        <v>67</v>
      </c>
      <c r="AD167" s="296"/>
      <c r="AE167" s="296"/>
      <c r="AF167" s="296"/>
      <c r="AG167" s="296"/>
      <c r="AH167" s="296"/>
      <c r="AI167" s="296"/>
      <c r="AJ167" s="296"/>
      <c r="AK167" s="296"/>
      <c r="AL167" s="296"/>
      <c r="AM167" s="296"/>
      <c r="AN167" s="296"/>
      <c r="AO167" s="296"/>
      <c r="AP167" s="267"/>
      <c r="AQ167" s="267"/>
      <c r="AR167" s="267"/>
      <c r="AS167" s="267"/>
      <c r="AT167" s="267"/>
    </row>
    <row r="168" spans="2:46" ht="15.75">
      <c r="B168" s="168">
        <f>+B167/30*7</f>
        <v>198.33333333333331</v>
      </c>
      <c r="C168" s="240" t="s">
        <v>68</v>
      </c>
      <c r="D168" s="380"/>
      <c r="O168" s="1053" t="s">
        <v>69</v>
      </c>
      <c r="P168" s="1053"/>
      <c r="Q168" s="1053"/>
      <c r="R168" s="1053"/>
      <c r="S168" s="1053"/>
      <c r="T168" s="1053"/>
      <c r="U168" s="1053"/>
      <c r="V168" s="1053"/>
      <c r="W168" s="1053"/>
      <c r="X168" s="1053"/>
      <c r="Y168" s="1053"/>
      <c r="Z168" s="1053"/>
      <c r="AD168" s="296"/>
      <c r="AE168" s="626"/>
      <c r="AF168" s="626"/>
      <c r="AG168" s="296"/>
      <c r="AH168" s="296"/>
      <c r="AI168" s="296"/>
      <c r="AJ168" s="626"/>
      <c r="AK168" s="626"/>
      <c r="AL168" s="296"/>
      <c r="AM168" s="296"/>
      <c r="AN168" s="296"/>
      <c r="AO168" s="296"/>
      <c r="AP168" s="267"/>
      <c r="AQ168" s="267"/>
      <c r="AR168" s="267"/>
      <c r="AS168" s="267"/>
      <c r="AT168" s="267"/>
    </row>
    <row r="169" spans="2:46">
      <c r="B169" s="168">
        <f>+B168-18</f>
        <v>180.33333333333331</v>
      </c>
      <c r="C169" s="240" t="s">
        <v>70</v>
      </c>
      <c r="O169" s="1053">
        <f>+B167</f>
        <v>850</v>
      </c>
      <c r="P169" s="1053"/>
      <c r="Q169" s="1053" t="s">
        <v>71</v>
      </c>
      <c r="R169" s="1053"/>
      <c r="S169" s="1053"/>
      <c r="T169" s="1053"/>
      <c r="U169" s="1053"/>
      <c r="V169" s="1053"/>
      <c r="W169" s="1053"/>
      <c r="X169" s="1053"/>
      <c r="Y169" s="1053"/>
      <c r="Z169" s="1053"/>
      <c r="AA169" s="7" t="s">
        <v>72</v>
      </c>
      <c r="AD169" s="428" t="s">
        <v>91</v>
      </c>
      <c r="AE169" s="429"/>
      <c r="AF169" s="429"/>
      <c r="AG169" s="1075">
        <v>233.32</v>
      </c>
      <c r="AH169" s="1075"/>
      <c r="AI169" s="430"/>
      <c r="AJ169" s="1076">
        <f>233.32-AG169</f>
        <v>0</v>
      </c>
      <c r="AK169" s="1076"/>
      <c r="AL169" s="431"/>
      <c r="AM169" s="296"/>
      <c r="AN169" s="296"/>
      <c r="AO169" s="296"/>
      <c r="AP169" s="267"/>
      <c r="AQ169" s="267"/>
      <c r="AR169" s="267"/>
      <c r="AS169" s="267"/>
      <c r="AT169" s="267"/>
    </row>
    <row r="170" spans="2:46">
      <c r="B170" s="381">
        <f>+B169/7</f>
        <v>25.761904761904759</v>
      </c>
      <c r="C170" s="382" t="s">
        <v>73</v>
      </c>
      <c r="D170" s="383"/>
      <c r="O170" s="1053">
        <f>+O169/30*7</f>
        <v>198.33333333333331</v>
      </c>
      <c r="P170" s="1053"/>
      <c r="Q170" s="1053" t="s">
        <v>74</v>
      </c>
      <c r="R170" s="1053"/>
      <c r="S170" s="1053"/>
      <c r="T170" s="1053"/>
      <c r="U170" s="1053"/>
      <c r="V170" s="1053"/>
      <c r="W170" s="1053"/>
      <c r="X170" s="1053"/>
      <c r="Y170" s="1053"/>
      <c r="Z170" s="1053"/>
      <c r="AA170" s="1064">
        <f>+O170*0.87</f>
        <v>172.54999999999998</v>
      </c>
      <c r="AB170" s="1064"/>
      <c r="AD170" s="432" t="s">
        <v>92</v>
      </c>
      <c r="AE170" s="433"/>
      <c r="AF170" s="433"/>
      <c r="AG170" s="1077">
        <f>218.15-19.83</f>
        <v>198.32</v>
      </c>
      <c r="AH170" s="1077"/>
      <c r="AI170" s="434"/>
      <c r="AJ170" s="1078">
        <f>233.32-AG170</f>
        <v>35</v>
      </c>
      <c r="AK170" s="1078"/>
      <c r="AL170" s="435"/>
      <c r="AM170" s="385"/>
      <c r="AN170" s="385"/>
      <c r="AO170" s="385"/>
      <c r="AP170" s="386"/>
      <c r="AQ170" s="386"/>
      <c r="AR170" s="267"/>
      <c r="AS170" s="267"/>
      <c r="AT170" s="267"/>
    </row>
    <row r="171" spans="2:46">
      <c r="O171" s="1053">
        <f>+O170/7</f>
        <v>28.333333333333332</v>
      </c>
      <c r="P171" s="1053"/>
      <c r="Q171" s="1053" t="s">
        <v>75</v>
      </c>
      <c r="R171" s="1053"/>
      <c r="S171" s="1053"/>
      <c r="T171" s="1053"/>
      <c r="U171" s="1053"/>
      <c r="V171" s="1053"/>
      <c r="W171" s="1053"/>
      <c r="X171" s="1053"/>
      <c r="Y171" s="1053"/>
      <c r="Z171" s="1053"/>
      <c r="AD171" s="432" t="s">
        <v>93</v>
      </c>
      <c r="AE171" s="436"/>
      <c r="AF171" s="436"/>
      <c r="AG171" s="1077">
        <f>218.15-19.83</f>
        <v>198.32</v>
      </c>
      <c r="AH171" s="1077"/>
      <c r="AI171" s="434"/>
      <c r="AJ171" s="1078">
        <f>233.32-AG171</f>
        <v>35</v>
      </c>
      <c r="AK171" s="1078"/>
      <c r="AL171" s="437"/>
      <c r="AM171" s="387"/>
      <c r="AN171" s="385"/>
      <c r="AO171" s="385"/>
      <c r="AP171" s="386"/>
      <c r="AQ171" s="386"/>
      <c r="AR171" s="267"/>
      <c r="AS171" s="267"/>
      <c r="AT171" s="267"/>
    </row>
    <row r="172" spans="2:46" ht="15.75">
      <c r="B172" s="427">
        <f>+B170</f>
        <v>25.761904761904759</v>
      </c>
      <c r="C172" s="389" t="s">
        <v>76</v>
      </c>
      <c r="D172" s="390"/>
      <c r="E172" s="390"/>
      <c r="F172" s="390"/>
      <c r="O172" s="1065">
        <f>(O170-18)/7</f>
        <v>25.761904761904759</v>
      </c>
      <c r="P172" s="1065"/>
      <c r="Q172" s="1065" t="s">
        <v>77</v>
      </c>
      <c r="R172" s="1065"/>
      <c r="S172" s="1065"/>
      <c r="T172" s="1065"/>
      <c r="U172" s="1065"/>
      <c r="V172" s="1065"/>
      <c r="W172" s="1065"/>
      <c r="X172" s="1065"/>
      <c r="Y172" s="1065"/>
      <c r="Z172" s="1065"/>
      <c r="AD172" s="432" t="s">
        <v>94</v>
      </c>
      <c r="AE172" s="438"/>
      <c r="AF172" s="438"/>
      <c r="AG172" s="1077">
        <f>228.07-29.75</f>
        <v>198.32</v>
      </c>
      <c r="AH172" s="1077"/>
      <c r="AI172" s="439"/>
      <c r="AJ172" s="1078">
        <f>233.32-AG172</f>
        <v>35</v>
      </c>
      <c r="AK172" s="1078"/>
      <c r="AL172" s="435"/>
      <c r="AM172" s="385"/>
      <c r="AN172" s="385"/>
      <c r="AO172" s="385"/>
      <c r="AP172" s="386"/>
      <c r="AQ172" s="386"/>
      <c r="AR172" s="267"/>
      <c r="AS172" s="267"/>
      <c r="AT172" s="267"/>
    </row>
    <row r="173" spans="2:46">
      <c r="B173" s="168">
        <v>3</v>
      </c>
      <c r="C173" s="240" t="s">
        <v>78</v>
      </c>
      <c r="O173" s="1053">
        <v>3</v>
      </c>
      <c r="P173" s="1053"/>
      <c r="Q173" s="1053" t="s">
        <v>79</v>
      </c>
      <c r="R173" s="1053"/>
      <c r="S173" s="1053"/>
      <c r="T173" s="1053"/>
      <c r="U173" s="1053"/>
      <c r="V173" s="1053"/>
      <c r="W173" s="1053"/>
      <c r="X173" s="1053"/>
      <c r="Y173" s="1053"/>
      <c r="Z173" s="1053"/>
      <c r="AD173" s="432" t="s">
        <v>95</v>
      </c>
      <c r="AE173" s="434"/>
      <c r="AF173" s="438"/>
      <c r="AG173" s="1077">
        <f>208.24-9.92</f>
        <v>198.32000000000002</v>
      </c>
      <c r="AH173" s="1077"/>
      <c r="AI173" s="439"/>
      <c r="AJ173" s="1078">
        <f>233.32-AG173</f>
        <v>34.999999999999972</v>
      </c>
      <c r="AK173" s="1078"/>
      <c r="AL173" s="435"/>
      <c r="AM173" s="385"/>
      <c r="AN173" s="385"/>
      <c r="AO173" s="385"/>
      <c r="AP173" s="386"/>
      <c r="AQ173" s="386"/>
      <c r="AR173" s="267"/>
      <c r="AS173" s="267"/>
      <c r="AT173" s="267"/>
    </row>
    <row r="174" spans="2:46">
      <c r="B174" s="381">
        <f>+B173+B172</f>
        <v>28.761904761904759</v>
      </c>
      <c r="C174" s="382" t="s">
        <v>80</v>
      </c>
      <c r="D174" s="393"/>
      <c r="E174" s="394"/>
      <c r="F174" s="395"/>
      <c r="G174" s="393"/>
      <c r="H174" s="393"/>
      <c r="I174" s="395"/>
      <c r="J174" s="393"/>
      <c r="K174" s="396"/>
      <c r="L174" s="396"/>
      <c r="M174" s="383"/>
      <c r="O174" s="1053">
        <f>+O173+O172</f>
        <v>28.761904761904759</v>
      </c>
      <c r="P174" s="1053"/>
      <c r="AD174" s="440"/>
      <c r="AE174" s="436"/>
      <c r="AF174" s="436"/>
      <c r="AG174" s="441" t="s">
        <v>96</v>
      </c>
      <c r="AH174" s="442"/>
      <c r="AI174" s="434"/>
      <c r="AJ174" s="436"/>
      <c r="AK174" s="1079">
        <f>SUM(AJ169:AK173)</f>
        <v>139.99999999999997</v>
      </c>
      <c r="AL174" s="1080"/>
      <c r="AM174" s="387"/>
      <c r="AN174" s="387"/>
      <c r="AO174" s="387"/>
      <c r="AP174" s="397"/>
      <c r="AQ174" s="267"/>
      <c r="AR174" s="267"/>
      <c r="AS174" s="267"/>
      <c r="AT174" s="267"/>
    </row>
    <row r="175" spans="2:46">
      <c r="B175" s="168"/>
      <c r="AD175" s="443"/>
      <c r="AE175" s="444"/>
      <c r="AF175" s="444"/>
      <c r="AG175" s="445"/>
      <c r="AH175" s="446"/>
      <c r="AI175" s="447" t="s">
        <v>97</v>
      </c>
      <c r="AJ175" s="444"/>
      <c r="AK175" s="444"/>
      <c r="AL175" s="448"/>
      <c r="AM175" s="296"/>
      <c r="AN175" s="296"/>
      <c r="AO175" s="296"/>
      <c r="AP175" s="267"/>
      <c r="AQ175" s="267"/>
      <c r="AR175" s="267"/>
      <c r="AS175" s="267"/>
      <c r="AT175" s="267"/>
    </row>
    <row r="176" spans="2:46">
      <c r="B176" s="168">
        <f>+B174*6</f>
        <v>172.57142857142856</v>
      </c>
      <c r="C176" s="240" t="s">
        <v>81</v>
      </c>
      <c r="O176" s="1053" t="s">
        <v>82</v>
      </c>
      <c r="P176" s="1053"/>
      <c r="Q176" s="1053"/>
      <c r="R176" s="1053"/>
      <c r="S176" s="1053"/>
      <c r="T176" s="1053"/>
      <c r="U176" s="1053"/>
      <c r="V176" s="1053"/>
      <c r="W176" s="1053"/>
      <c r="X176" s="1053"/>
      <c r="Y176" s="1053"/>
      <c r="Z176" s="1053"/>
      <c r="AD176" s="296"/>
      <c r="AE176" s="296"/>
      <c r="AF176" s="296"/>
      <c r="AG176" s="296"/>
      <c r="AH176" s="296"/>
      <c r="AI176" s="385"/>
      <c r="AJ176" s="385"/>
      <c r="AK176" s="387"/>
      <c r="AL176" s="624"/>
      <c r="AM176" s="626"/>
      <c r="AN176" s="624"/>
      <c r="AO176" s="296"/>
      <c r="AP176" s="267"/>
      <c r="AQ176" s="267"/>
      <c r="AR176" s="267"/>
      <c r="AS176" s="267"/>
      <c r="AT176" s="267"/>
    </row>
    <row r="177" spans="2:46">
      <c r="B177" s="399">
        <f>+B172</f>
        <v>25.761904761904759</v>
      </c>
      <c r="C177" s="400" t="s">
        <v>83</v>
      </c>
      <c r="D177" s="401"/>
      <c r="E177" s="402"/>
      <c r="F177" s="403"/>
      <c r="G177" s="401"/>
      <c r="H177" s="401"/>
      <c r="I177" s="403"/>
      <c r="J177" s="401"/>
      <c r="K177" s="404"/>
      <c r="L177" s="405"/>
      <c r="O177" s="1053">
        <f>+O169*1.1</f>
        <v>935.00000000000011</v>
      </c>
      <c r="P177" s="1053"/>
      <c r="Q177" s="1053" t="s">
        <v>71</v>
      </c>
      <c r="R177" s="1053"/>
      <c r="S177" s="1053"/>
      <c r="T177" s="1053"/>
      <c r="U177" s="1053"/>
      <c r="V177" s="1053"/>
      <c r="W177" s="1053"/>
      <c r="X177" s="1053"/>
      <c r="Y177" s="1053"/>
      <c r="Z177" s="1053"/>
      <c r="AA177" s="7" t="s">
        <v>84</v>
      </c>
      <c r="AG177" s="267"/>
      <c r="AH177" s="267"/>
      <c r="AI177" s="386"/>
      <c r="AJ177" s="386"/>
      <c r="AK177" s="386"/>
      <c r="AL177" s="267"/>
      <c r="AM177" s="267"/>
      <c r="AN177" s="267"/>
      <c r="AO177" s="267"/>
    </row>
    <row r="178" spans="2:46">
      <c r="B178" s="381">
        <f>+B177+B176</f>
        <v>198.33333333333331</v>
      </c>
      <c r="C178" s="382" t="s">
        <v>85</v>
      </c>
      <c r="D178" s="393"/>
      <c r="E178" s="394"/>
      <c r="F178" s="395"/>
      <c r="G178" s="393"/>
      <c r="H178" s="393"/>
      <c r="I178" s="395"/>
      <c r="J178" s="393"/>
      <c r="K178" s="406"/>
      <c r="L178" s="405"/>
      <c r="O178" s="1053">
        <f>+O177/30*7</f>
        <v>218.16666666666669</v>
      </c>
      <c r="P178" s="1053"/>
      <c r="Q178" s="1053" t="s">
        <v>74</v>
      </c>
      <c r="R178" s="1053"/>
      <c r="S178" s="1053"/>
      <c r="T178" s="1053"/>
      <c r="U178" s="1053"/>
      <c r="V178" s="1053"/>
      <c r="W178" s="1053"/>
      <c r="X178" s="1053"/>
      <c r="Y178" s="1053"/>
      <c r="Z178" s="1053"/>
      <c r="AA178" s="1064">
        <f>+O178*0.87</f>
        <v>189.80500000000001</v>
      </c>
      <c r="AB178" s="1064"/>
      <c r="AG178" s="267"/>
      <c r="AH178" s="267"/>
      <c r="AI178" s="386"/>
      <c r="AJ178" s="386"/>
      <c r="AK178" s="407"/>
      <c r="AL178" s="267"/>
      <c r="AM178" s="267"/>
      <c r="AN178" s="267"/>
      <c r="AO178" s="267"/>
    </row>
    <row r="179" spans="2:46">
      <c r="B179" s="408"/>
      <c r="C179" s="409"/>
      <c r="D179" s="333"/>
      <c r="E179" s="410"/>
      <c r="F179" s="411"/>
      <c r="G179" s="333"/>
      <c r="H179" s="333"/>
      <c r="I179" s="411"/>
      <c r="J179" s="333"/>
      <c r="K179" s="405"/>
      <c r="L179" s="405"/>
      <c r="O179" s="1053">
        <f>+O178/7</f>
        <v>31.166666666666668</v>
      </c>
      <c r="P179" s="1053"/>
      <c r="Q179" s="1053" t="s">
        <v>75</v>
      </c>
      <c r="R179" s="1053"/>
      <c r="S179" s="1053"/>
      <c r="T179" s="1053"/>
      <c r="U179" s="1053"/>
      <c r="V179" s="1053"/>
      <c r="W179" s="1053"/>
      <c r="X179" s="1053"/>
      <c r="Y179" s="1053"/>
      <c r="Z179" s="1053"/>
      <c r="AG179" s="267"/>
      <c r="AH179" s="267"/>
      <c r="AI179" s="412"/>
      <c r="AJ179" s="413"/>
      <c r="AK179" s="407"/>
      <c r="AL179" s="267"/>
      <c r="AM179" s="267"/>
      <c r="AN179" s="267"/>
      <c r="AO179" s="267"/>
    </row>
    <row r="180" spans="2:46">
      <c r="B180" s="449">
        <f>+B178/7</f>
        <v>28.333333333333332</v>
      </c>
      <c r="C180" s="450" t="s">
        <v>86</v>
      </c>
      <c r="F180" s="411"/>
      <c r="G180" s="333"/>
      <c r="H180" s="333"/>
      <c r="I180" s="411"/>
      <c r="J180" s="333"/>
      <c r="K180" s="405"/>
      <c r="L180" s="405"/>
      <c r="O180" s="1065">
        <f>(O178-18)/7</f>
        <v>28.595238095238098</v>
      </c>
      <c r="P180" s="1065"/>
      <c r="Q180" s="1065" t="s">
        <v>77</v>
      </c>
      <c r="R180" s="1065"/>
      <c r="S180" s="1065"/>
      <c r="T180" s="1065"/>
      <c r="U180" s="1065"/>
      <c r="V180" s="1065"/>
      <c r="W180" s="1065"/>
      <c r="X180" s="1065"/>
      <c r="Y180" s="1065"/>
      <c r="Z180" s="1065"/>
      <c r="AG180" s="267"/>
      <c r="AH180" s="267"/>
      <c r="AI180" s="267"/>
      <c r="AJ180" s="267"/>
      <c r="AK180" s="407"/>
      <c r="AL180" s="267"/>
      <c r="AM180" s="267"/>
      <c r="AN180" s="267"/>
      <c r="AO180" s="267"/>
    </row>
    <row r="181" spans="2:46">
      <c r="B181" s="408"/>
      <c r="C181" s="409"/>
      <c r="D181" s="333"/>
      <c r="E181" s="410"/>
      <c r="F181" s="411"/>
      <c r="G181" s="333"/>
      <c r="H181" s="333"/>
      <c r="I181" s="411"/>
      <c r="J181" s="333"/>
      <c r="K181" s="405"/>
      <c r="L181" s="405"/>
      <c r="O181" s="1053">
        <v>3</v>
      </c>
      <c r="P181" s="1053"/>
      <c r="Q181" s="1053" t="s">
        <v>79</v>
      </c>
      <c r="R181" s="1053"/>
      <c r="S181" s="1053"/>
      <c r="T181" s="1053"/>
      <c r="U181" s="1053"/>
      <c r="V181" s="1053"/>
      <c r="W181" s="1053"/>
      <c r="X181" s="1053"/>
      <c r="Y181" s="1053"/>
      <c r="Z181" s="1053"/>
      <c r="AG181" s="267"/>
      <c r="AH181" s="267"/>
      <c r="AI181" s="267"/>
      <c r="AJ181" s="267"/>
      <c r="AK181" s="267"/>
      <c r="AL181" s="267"/>
      <c r="AM181" s="267"/>
      <c r="AN181" s="267"/>
      <c r="AO181" s="267"/>
    </row>
    <row r="182" spans="2:46">
      <c r="B182" s="408"/>
      <c r="C182" s="409"/>
      <c r="D182" s="333"/>
      <c r="E182" s="410"/>
      <c r="F182" s="411"/>
      <c r="G182" s="333"/>
      <c r="H182" s="333"/>
      <c r="I182" s="411"/>
      <c r="J182" s="333"/>
      <c r="K182" s="405"/>
      <c r="L182" s="405"/>
      <c r="O182" s="1053">
        <f>+O181+O180</f>
        <v>31.595238095238098</v>
      </c>
      <c r="P182" s="1053"/>
      <c r="AG182" s="267"/>
      <c r="AH182" s="267"/>
      <c r="AI182" s="267"/>
      <c r="AJ182" s="267"/>
      <c r="AK182" s="267"/>
      <c r="AL182" s="267"/>
      <c r="AM182" s="267"/>
      <c r="AN182" s="267"/>
      <c r="AO182" s="267"/>
    </row>
    <row r="183" spans="2:46">
      <c r="B183" s="168"/>
      <c r="AG183" s="267"/>
      <c r="AH183" s="267"/>
      <c r="AI183" s="267"/>
      <c r="AJ183" s="267"/>
      <c r="AK183" s="267"/>
      <c r="AL183" s="267"/>
      <c r="AM183" s="267"/>
      <c r="AN183" s="267"/>
      <c r="AO183" s="267"/>
    </row>
    <row r="184" spans="2:46">
      <c r="AG184" s="267"/>
      <c r="AH184" s="267"/>
      <c r="AI184" s="267"/>
      <c r="AJ184" s="267"/>
      <c r="AK184" s="267"/>
      <c r="AL184" s="267"/>
      <c r="AM184" s="267"/>
      <c r="AN184" s="267"/>
      <c r="AO184" s="267"/>
    </row>
    <row r="185" spans="2:46" ht="15.75" thickBot="1">
      <c r="AG185" s="267"/>
      <c r="AH185" s="267"/>
      <c r="AI185" s="267"/>
      <c r="AJ185" s="267"/>
      <c r="AK185" s="267"/>
      <c r="AL185" s="267"/>
      <c r="AM185" s="267"/>
      <c r="AN185" s="267"/>
      <c r="AO185" s="267"/>
    </row>
    <row r="186" spans="2:46" ht="17.25" thickTop="1" thickBot="1">
      <c r="B186" s="451">
        <f>850+80</f>
        <v>930</v>
      </c>
      <c r="C186" s="452" t="s">
        <v>67</v>
      </c>
      <c r="D186" s="453"/>
      <c r="E186" s="454" t="s">
        <v>98</v>
      </c>
      <c r="F186" s="455"/>
      <c r="G186" s="453"/>
      <c r="H186" s="453"/>
      <c r="I186" s="455"/>
      <c r="J186" s="453"/>
      <c r="K186" s="456"/>
      <c r="L186" s="456"/>
      <c r="M186" s="453"/>
      <c r="N186" s="453"/>
      <c r="O186" s="453"/>
      <c r="P186" s="453"/>
      <c r="Q186" s="453"/>
      <c r="R186" s="453"/>
      <c r="S186" s="453"/>
      <c r="T186" s="453"/>
      <c r="U186" s="453"/>
      <c r="V186" s="453"/>
      <c r="W186" s="453"/>
      <c r="X186" s="453"/>
      <c r="Y186" s="453"/>
      <c r="Z186" s="453"/>
      <c r="AA186" s="457"/>
      <c r="AB186" s="457"/>
      <c r="AC186" s="458"/>
      <c r="AD186" s="296"/>
      <c r="AE186" s="296"/>
      <c r="AF186" s="296"/>
      <c r="AG186" s="296"/>
      <c r="AH186" s="296"/>
      <c r="AI186" s="296"/>
      <c r="AJ186" s="296"/>
      <c r="AK186" s="296"/>
      <c r="AL186" s="296"/>
      <c r="AM186" s="296"/>
      <c r="AN186" s="296"/>
      <c r="AO186" s="296"/>
      <c r="AP186" s="267"/>
      <c r="AQ186" s="267"/>
      <c r="AR186" s="267"/>
      <c r="AS186" s="267"/>
      <c r="AT186" s="267"/>
    </row>
    <row r="187" spans="2:46" ht="15.75">
      <c r="B187" s="459">
        <f>+B186/30*7</f>
        <v>217</v>
      </c>
      <c r="C187" s="409" t="s">
        <v>68</v>
      </c>
      <c r="D187" s="460"/>
      <c r="E187" s="410"/>
      <c r="F187" s="411"/>
      <c r="G187" s="333"/>
      <c r="H187" s="333"/>
      <c r="I187" s="411"/>
      <c r="J187" s="333"/>
      <c r="K187" s="405"/>
      <c r="L187" s="405"/>
      <c r="M187" s="333"/>
      <c r="N187" s="333"/>
      <c r="O187" s="1053" t="s">
        <v>69</v>
      </c>
      <c r="P187" s="1053"/>
      <c r="Q187" s="1053"/>
      <c r="R187" s="1053"/>
      <c r="S187" s="1053"/>
      <c r="T187" s="1053"/>
      <c r="U187" s="1053"/>
      <c r="V187" s="1053"/>
      <c r="W187" s="1053"/>
      <c r="X187" s="1053"/>
      <c r="Y187" s="1053"/>
      <c r="Z187" s="1053"/>
      <c r="AA187" s="167"/>
      <c r="AB187" s="167"/>
      <c r="AC187" s="461"/>
      <c r="AD187" s="296"/>
      <c r="AE187" s="626"/>
      <c r="AF187" s="626"/>
      <c r="AG187" s="296"/>
      <c r="AH187" s="296"/>
      <c r="AI187" s="296"/>
      <c r="AJ187" s="626"/>
      <c r="AK187" s="626"/>
      <c r="AL187" s="296"/>
      <c r="AM187" s="296"/>
      <c r="AN187" s="296"/>
      <c r="AO187" s="296"/>
      <c r="AP187" s="267"/>
      <c r="AQ187" s="267"/>
      <c r="AR187" s="267"/>
      <c r="AS187" s="267"/>
      <c r="AT187" s="267"/>
    </row>
    <row r="188" spans="2:46">
      <c r="B188" s="459">
        <f>+B187-18</f>
        <v>199</v>
      </c>
      <c r="C188" s="409" t="s">
        <v>70</v>
      </c>
      <c r="D188" s="333"/>
      <c r="E188" s="410"/>
      <c r="F188" s="411"/>
      <c r="G188" s="333"/>
      <c r="H188" s="333"/>
      <c r="I188" s="411"/>
      <c r="J188" s="333"/>
      <c r="K188" s="405"/>
      <c r="L188" s="405"/>
      <c r="M188" s="333"/>
      <c r="N188" s="333"/>
      <c r="O188" s="1053">
        <f>+B186</f>
        <v>930</v>
      </c>
      <c r="P188" s="1053"/>
      <c r="Q188" s="1053" t="s">
        <v>71</v>
      </c>
      <c r="R188" s="1053"/>
      <c r="S188" s="1053"/>
      <c r="T188" s="1053"/>
      <c r="U188" s="1053"/>
      <c r="V188" s="1053"/>
      <c r="W188" s="1053"/>
      <c r="X188" s="1053"/>
      <c r="Y188" s="1053"/>
      <c r="Z188" s="1053"/>
      <c r="AA188" s="167" t="s">
        <v>72</v>
      </c>
      <c r="AB188" s="167"/>
      <c r="AC188" s="461"/>
      <c r="AD188" s="296"/>
      <c r="AE188" s="626"/>
      <c r="AF188" s="626"/>
      <c r="AG188" s="296"/>
      <c r="AH188" s="296"/>
      <c r="AI188" s="296"/>
      <c r="AJ188" s="626"/>
      <c r="AK188" s="626"/>
      <c r="AL188" s="296"/>
      <c r="AM188" s="296"/>
      <c r="AN188" s="296"/>
      <c r="AO188" s="296"/>
      <c r="AP188" s="267"/>
      <c r="AQ188" s="267"/>
      <c r="AR188" s="267"/>
      <c r="AS188" s="267"/>
      <c r="AT188" s="267"/>
    </row>
    <row r="189" spans="2:46">
      <c r="B189" s="462">
        <f>+B188/7</f>
        <v>28.428571428571427</v>
      </c>
      <c r="C189" s="382" t="s">
        <v>73</v>
      </c>
      <c r="D189" s="383"/>
      <c r="E189" s="410"/>
      <c r="F189" s="411"/>
      <c r="G189" s="333"/>
      <c r="H189" s="333"/>
      <c r="I189" s="411"/>
      <c r="J189" s="333"/>
      <c r="K189" s="405"/>
      <c r="L189" s="405"/>
      <c r="M189" s="333"/>
      <c r="N189" s="333"/>
      <c r="O189" s="1053">
        <f>+O188/30*7</f>
        <v>217</v>
      </c>
      <c r="P189" s="1053"/>
      <c r="Q189" s="1053" t="s">
        <v>74</v>
      </c>
      <c r="R189" s="1053"/>
      <c r="S189" s="1053"/>
      <c r="T189" s="1053"/>
      <c r="U189" s="1053"/>
      <c r="V189" s="1053"/>
      <c r="W189" s="1053"/>
      <c r="X189" s="1053"/>
      <c r="Y189" s="1053"/>
      <c r="Z189" s="1053"/>
      <c r="AA189" s="1064">
        <f>+O189*0.87</f>
        <v>188.79</v>
      </c>
      <c r="AB189" s="1064"/>
      <c r="AC189" s="461"/>
      <c r="AD189" s="296"/>
      <c r="AE189" s="384"/>
      <c r="AF189" s="384"/>
      <c r="AG189" s="296"/>
      <c r="AH189" s="296"/>
      <c r="AI189" s="296"/>
      <c r="AJ189" s="384"/>
      <c r="AK189" s="384"/>
      <c r="AL189" s="385"/>
      <c r="AM189" s="385"/>
      <c r="AN189" s="385"/>
      <c r="AO189" s="385"/>
      <c r="AP189" s="386"/>
      <c r="AQ189" s="386"/>
      <c r="AR189" s="267"/>
      <c r="AS189" s="267"/>
      <c r="AT189" s="267"/>
    </row>
    <row r="190" spans="2:46">
      <c r="B190" s="463"/>
      <c r="C190" s="333"/>
      <c r="D190" s="333"/>
      <c r="E190" s="410"/>
      <c r="F190" s="411"/>
      <c r="G190" s="333"/>
      <c r="H190" s="333"/>
      <c r="I190" s="411"/>
      <c r="J190" s="333"/>
      <c r="K190" s="405"/>
      <c r="L190" s="405"/>
      <c r="M190" s="333"/>
      <c r="N190" s="333"/>
      <c r="O190" s="1053">
        <f>+O189/7</f>
        <v>31</v>
      </c>
      <c r="P190" s="1053"/>
      <c r="Q190" s="1053" t="s">
        <v>75</v>
      </c>
      <c r="R190" s="1053"/>
      <c r="S190" s="1053"/>
      <c r="T190" s="1053"/>
      <c r="U190" s="1053"/>
      <c r="V190" s="1053"/>
      <c r="W190" s="1053"/>
      <c r="X190" s="1053"/>
      <c r="Y190" s="1053"/>
      <c r="Z190" s="1053"/>
      <c r="AA190" s="167"/>
      <c r="AB190" s="167"/>
      <c r="AC190" s="461"/>
      <c r="AD190" s="296"/>
      <c r="AE190" s="626"/>
      <c r="AF190" s="626"/>
      <c r="AG190" s="296"/>
      <c r="AH190" s="296"/>
      <c r="AI190" s="296"/>
      <c r="AJ190" s="626"/>
      <c r="AK190" s="626"/>
      <c r="AL190" s="387"/>
      <c r="AM190" s="387"/>
      <c r="AN190" s="385"/>
      <c r="AO190" s="385"/>
      <c r="AP190" s="386"/>
      <c r="AQ190" s="386"/>
      <c r="AR190" s="267"/>
      <c r="AS190" s="267"/>
      <c r="AT190" s="267"/>
    </row>
    <row r="191" spans="2:46" ht="15.75">
      <c r="B191" s="464">
        <f>+B189</f>
        <v>28.428571428571427</v>
      </c>
      <c r="C191" s="465" t="s">
        <v>76</v>
      </c>
      <c r="D191" s="418"/>
      <c r="E191" s="418"/>
      <c r="F191" s="418"/>
      <c r="G191" s="333"/>
      <c r="H191" s="333"/>
      <c r="I191" s="411"/>
      <c r="J191" s="333"/>
      <c r="K191" s="405"/>
      <c r="L191" s="405"/>
      <c r="M191" s="333"/>
      <c r="N191" s="333"/>
      <c r="O191" s="1065">
        <f>(O189-18)/7</f>
        <v>28.428571428571427</v>
      </c>
      <c r="P191" s="1065"/>
      <c r="Q191" s="1065" t="s">
        <v>77</v>
      </c>
      <c r="R191" s="1065"/>
      <c r="S191" s="1065"/>
      <c r="T191" s="1065"/>
      <c r="U191" s="1065"/>
      <c r="V191" s="1065"/>
      <c r="W191" s="1065"/>
      <c r="X191" s="1065"/>
      <c r="Y191" s="1065"/>
      <c r="Z191" s="1065"/>
      <c r="AA191" s="167"/>
      <c r="AB191" s="167"/>
      <c r="AC191" s="461"/>
      <c r="AD191" s="296"/>
      <c r="AE191" s="391"/>
      <c r="AF191" s="391"/>
      <c r="AG191" s="392"/>
      <c r="AH191" s="392"/>
      <c r="AI191" s="392"/>
      <c r="AJ191" s="391"/>
      <c r="AK191" s="391"/>
      <c r="AL191" s="385"/>
      <c r="AM191" s="385"/>
      <c r="AN191" s="385"/>
      <c r="AO191" s="385"/>
      <c r="AP191" s="386"/>
      <c r="AQ191" s="386"/>
      <c r="AR191" s="267"/>
      <c r="AS191" s="267"/>
      <c r="AT191" s="267"/>
    </row>
    <row r="192" spans="2:46">
      <c r="B192" s="459">
        <v>3</v>
      </c>
      <c r="C192" s="409" t="s">
        <v>78</v>
      </c>
      <c r="D192" s="333"/>
      <c r="E192" s="410"/>
      <c r="F192" s="411"/>
      <c r="G192" s="333"/>
      <c r="H192" s="333"/>
      <c r="I192" s="411"/>
      <c r="J192" s="333"/>
      <c r="K192" s="405"/>
      <c r="L192" s="405"/>
      <c r="M192" s="333"/>
      <c r="N192" s="333"/>
      <c r="O192" s="1053">
        <v>3</v>
      </c>
      <c r="P192" s="1053"/>
      <c r="Q192" s="1053" t="s">
        <v>79</v>
      </c>
      <c r="R192" s="1053"/>
      <c r="S192" s="1053"/>
      <c r="T192" s="1053"/>
      <c r="U192" s="1053"/>
      <c r="V192" s="1053"/>
      <c r="W192" s="1053"/>
      <c r="X192" s="1053"/>
      <c r="Y192" s="1053"/>
      <c r="Z192" s="1053"/>
      <c r="AA192" s="167"/>
      <c r="AB192" s="167"/>
      <c r="AC192" s="461"/>
      <c r="AD192" s="296"/>
      <c r="AE192" s="296"/>
      <c r="AF192" s="391"/>
      <c r="AG192" s="392"/>
      <c r="AH192" s="392"/>
      <c r="AI192" s="392"/>
      <c r="AJ192" s="391"/>
      <c r="AK192" s="391"/>
      <c r="AL192" s="385"/>
      <c r="AM192" s="385"/>
      <c r="AN192" s="385"/>
      <c r="AO192" s="385"/>
      <c r="AP192" s="386"/>
      <c r="AQ192" s="386"/>
      <c r="AR192" s="267"/>
      <c r="AS192" s="267"/>
      <c r="AT192" s="267"/>
    </row>
    <row r="193" spans="2:50">
      <c r="B193" s="462">
        <f>+B192+B191</f>
        <v>31.428571428571427</v>
      </c>
      <c r="C193" s="382" t="s">
        <v>80</v>
      </c>
      <c r="D193" s="393"/>
      <c r="E193" s="394"/>
      <c r="F193" s="395"/>
      <c r="G193" s="393"/>
      <c r="H193" s="393"/>
      <c r="I193" s="395"/>
      <c r="J193" s="393"/>
      <c r="K193" s="396"/>
      <c r="L193" s="396"/>
      <c r="M193" s="383"/>
      <c r="N193" s="333"/>
      <c r="O193" s="1053">
        <f>+O192+O191</f>
        <v>31.428571428571427</v>
      </c>
      <c r="P193" s="105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  <c r="AA193" s="167"/>
      <c r="AB193" s="167"/>
      <c r="AC193" s="461"/>
      <c r="AD193" s="296"/>
      <c r="AE193" s="626"/>
      <c r="AF193" s="626"/>
      <c r="AG193" s="296"/>
      <c r="AH193" s="296"/>
      <c r="AI193" s="296"/>
      <c r="AJ193" s="626"/>
      <c r="AK193" s="626"/>
      <c r="AL193" s="387"/>
      <c r="AM193" s="387"/>
      <c r="AN193" s="387"/>
      <c r="AO193" s="387"/>
      <c r="AP193" s="397"/>
      <c r="AQ193" s="267"/>
      <c r="AR193" s="267"/>
      <c r="AS193" s="267"/>
      <c r="AT193" s="267"/>
    </row>
    <row r="194" spans="2:50">
      <c r="B194" s="459"/>
      <c r="C194" s="333"/>
      <c r="D194" s="333"/>
      <c r="E194" s="410"/>
      <c r="F194" s="411"/>
      <c r="G194" s="333"/>
      <c r="H194" s="333"/>
      <c r="I194" s="411"/>
      <c r="J194" s="333"/>
      <c r="K194" s="405"/>
      <c r="L194" s="405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167"/>
      <c r="AB194" s="167"/>
      <c r="AC194" s="461"/>
      <c r="AD194" s="296"/>
      <c r="AE194" s="398"/>
      <c r="AF194" s="398"/>
      <c r="AG194" s="398"/>
      <c r="AH194" s="296"/>
      <c r="AI194" s="296"/>
      <c r="AJ194" s="398"/>
      <c r="AK194" s="398"/>
      <c r="AL194" s="385"/>
      <c r="AM194" s="296"/>
      <c r="AN194" s="296"/>
      <c r="AO194" s="296"/>
      <c r="AP194" s="267"/>
      <c r="AQ194" s="267"/>
      <c r="AR194" s="267"/>
      <c r="AS194" s="267"/>
      <c r="AT194" s="267"/>
    </row>
    <row r="195" spans="2:50">
      <c r="B195" s="459">
        <f>+B193*6</f>
        <v>188.57142857142856</v>
      </c>
      <c r="C195" s="409" t="s">
        <v>81</v>
      </c>
      <c r="D195" s="333"/>
      <c r="E195" s="410"/>
      <c r="F195" s="411"/>
      <c r="G195" s="333"/>
      <c r="H195" s="333"/>
      <c r="I195" s="411"/>
      <c r="J195" s="333"/>
      <c r="K195" s="405"/>
      <c r="L195" s="405"/>
      <c r="M195" s="333"/>
      <c r="N195" s="333"/>
      <c r="O195" s="1053" t="s">
        <v>82</v>
      </c>
      <c r="P195" s="1053"/>
      <c r="Q195" s="1053"/>
      <c r="R195" s="1053"/>
      <c r="S195" s="1053"/>
      <c r="T195" s="1053"/>
      <c r="U195" s="1053"/>
      <c r="V195" s="1053"/>
      <c r="W195" s="1053"/>
      <c r="X195" s="1053"/>
      <c r="Y195" s="1053"/>
      <c r="Z195" s="1053"/>
      <c r="AA195" s="167"/>
      <c r="AB195" s="167"/>
      <c r="AC195" s="461"/>
      <c r="AD195" s="296"/>
      <c r="AE195" s="296"/>
      <c r="AF195" s="296"/>
      <c r="AG195" s="296"/>
      <c r="AH195" s="296"/>
      <c r="AI195" s="385"/>
      <c r="AJ195" s="385"/>
      <c r="AK195" s="387"/>
      <c r="AL195" s="624"/>
      <c r="AM195" s="626"/>
      <c r="AN195" s="624"/>
      <c r="AO195" s="296"/>
      <c r="AP195" s="267"/>
      <c r="AQ195" s="267"/>
      <c r="AR195" s="267"/>
      <c r="AS195" s="267"/>
      <c r="AT195" s="267"/>
    </row>
    <row r="196" spans="2:50">
      <c r="B196" s="466">
        <f>+B191</f>
        <v>28.428571428571427</v>
      </c>
      <c r="C196" s="400" t="s">
        <v>83</v>
      </c>
      <c r="D196" s="401"/>
      <c r="E196" s="402"/>
      <c r="F196" s="403"/>
      <c r="G196" s="401"/>
      <c r="H196" s="401"/>
      <c r="I196" s="403"/>
      <c r="J196" s="401"/>
      <c r="K196" s="404"/>
      <c r="L196" s="405"/>
      <c r="M196" s="333"/>
      <c r="N196" s="333"/>
      <c r="O196" s="1053">
        <f>+O188*1.1</f>
        <v>1023.0000000000001</v>
      </c>
      <c r="P196" s="1053"/>
      <c r="Q196" s="1053" t="s">
        <v>71</v>
      </c>
      <c r="R196" s="1053"/>
      <c r="S196" s="1053"/>
      <c r="T196" s="1053"/>
      <c r="U196" s="1053"/>
      <c r="V196" s="1053"/>
      <c r="W196" s="1053"/>
      <c r="X196" s="1053"/>
      <c r="Y196" s="1053"/>
      <c r="Z196" s="1053"/>
      <c r="AA196" s="167" t="s">
        <v>84</v>
      </c>
      <c r="AB196" s="167"/>
      <c r="AC196" s="461"/>
      <c r="AG196" s="267"/>
      <c r="AH196" s="267"/>
      <c r="AI196" s="386"/>
      <c r="AJ196" s="386"/>
      <c r="AK196" s="386"/>
      <c r="AL196" s="267"/>
      <c r="AM196" s="267"/>
      <c r="AN196" s="267"/>
      <c r="AO196" s="267"/>
    </row>
    <row r="197" spans="2:50">
      <c r="B197" s="462">
        <f>+B196+B195</f>
        <v>216.99999999999997</v>
      </c>
      <c r="C197" s="382" t="s">
        <v>85</v>
      </c>
      <c r="D197" s="393"/>
      <c r="E197" s="394"/>
      <c r="F197" s="395"/>
      <c r="G197" s="393"/>
      <c r="H197" s="393"/>
      <c r="I197" s="395"/>
      <c r="J197" s="393"/>
      <c r="K197" s="406"/>
      <c r="L197" s="405"/>
      <c r="M197" s="333"/>
      <c r="N197" s="333"/>
      <c r="O197" s="1053">
        <f>+O196/30*7</f>
        <v>238.70000000000002</v>
      </c>
      <c r="P197" s="1053"/>
      <c r="Q197" s="1053" t="s">
        <v>74</v>
      </c>
      <c r="R197" s="1053"/>
      <c r="S197" s="1053"/>
      <c r="T197" s="1053"/>
      <c r="U197" s="1053"/>
      <c r="V197" s="1053"/>
      <c r="W197" s="1053"/>
      <c r="X197" s="1053"/>
      <c r="Y197" s="1053"/>
      <c r="Z197" s="1053"/>
      <c r="AA197" s="1064">
        <f>+O197*0.87</f>
        <v>207.66900000000001</v>
      </c>
      <c r="AB197" s="1064"/>
      <c r="AC197" s="461"/>
      <c r="AG197" s="267"/>
      <c r="AH197" s="267"/>
      <c r="AI197" s="386"/>
      <c r="AJ197" s="386"/>
      <c r="AK197" s="407"/>
      <c r="AL197" s="267"/>
      <c r="AM197" s="267"/>
      <c r="AN197" s="267"/>
      <c r="AO197" s="267"/>
    </row>
    <row r="198" spans="2:50">
      <c r="B198" s="459"/>
      <c r="C198" s="409"/>
      <c r="D198" s="333"/>
      <c r="E198" s="410"/>
      <c r="F198" s="411"/>
      <c r="G198" s="333"/>
      <c r="H198" s="333"/>
      <c r="I198" s="411"/>
      <c r="J198" s="333"/>
      <c r="K198" s="405"/>
      <c r="L198" s="405"/>
      <c r="M198" s="333"/>
      <c r="N198" s="333"/>
      <c r="O198" s="1053">
        <f>+O197/7</f>
        <v>34.1</v>
      </c>
      <c r="P198" s="1053"/>
      <c r="Q198" s="1053" t="s">
        <v>75</v>
      </c>
      <c r="R198" s="1053"/>
      <c r="S198" s="1053"/>
      <c r="T198" s="1053"/>
      <c r="U198" s="1053"/>
      <c r="V198" s="1053"/>
      <c r="W198" s="1053"/>
      <c r="X198" s="1053"/>
      <c r="Y198" s="1053"/>
      <c r="Z198" s="1053"/>
      <c r="AA198" s="167"/>
      <c r="AB198" s="167"/>
      <c r="AC198" s="461"/>
      <c r="AG198" s="267"/>
      <c r="AH198" s="267"/>
      <c r="AI198" s="412"/>
      <c r="AJ198" s="413"/>
      <c r="AK198" s="407"/>
      <c r="AL198" s="267"/>
      <c r="AM198" s="267"/>
      <c r="AN198" s="267"/>
      <c r="AO198" s="267"/>
    </row>
    <row r="199" spans="2:50">
      <c r="B199" s="467">
        <f>+B197/7</f>
        <v>30.999999999999996</v>
      </c>
      <c r="C199" s="468" t="s">
        <v>86</v>
      </c>
      <c r="D199" s="333"/>
      <c r="E199" s="410"/>
      <c r="F199" s="411"/>
      <c r="G199" s="333"/>
      <c r="H199" s="333"/>
      <c r="I199" s="411"/>
      <c r="J199" s="333"/>
      <c r="K199" s="405"/>
      <c r="L199" s="405"/>
      <c r="M199" s="333"/>
      <c r="N199" s="333"/>
      <c r="O199" s="1065">
        <f>(O197-18)/7</f>
        <v>31.528571428571432</v>
      </c>
      <c r="P199" s="1065"/>
      <c r="Q199" s="1065" t="s">
        <v>77</v>
      </c>
      <c r="R199" s="1065"/>
      <c r="S199" s="1065"/>
      <c r="T199" s="1065"/>
      <c r="U199" s="1065"/>
      <c r="V199" s="1065"/>
      <c r="W199" s="1065"/>
      <c r="X199" s="1065"/>
      <c r="Y199" s="1065"/>
      <c r="Z199" s="1065"/>
      <c r="AA199" s="167"/>
      <c r="AB199" s="167"/>
      <c r="AC199" s="461"/>
      <c r="AG199" s="267"/>
      <c r="AH199" s="267"/>
      <c r="AI199" s="267"/>
      <c r="AJ199" s="267"/>
      <c r="AK199" s="407"/>
      <c r="AL199" s="267"/>
      <c r="AM199" s="267"/>
      <c r="AN199" s="267"/>
      <c r="AO199" s="267"/>
    </row>
    <row r="200" spans="2:50">
      <c r="B200" s="459"/>
      <c r="C200" s="409"/>
      <c r="D200" s="333"/>
      <c r="E200" s="410"/>
      <c r="F200" s="411"/>
      <c r="G200" s="333"/>
      <c r="H200" s="333"/>
      <c r="I200" s="411"/>
      <c r="J200" s="333"/>
      <c r="K200" s="405"/>
      <c r="L200" s="405"/>
      <c r="M200" s="333"/>
      <c r="N200" s="333"/>
      <c r="O200" s="1053">
        <v>3</v>
      </c>
      <c r="P200" s="1053"/>
      <c r="Q200" s="1053" t="s">
        <v>79</v>
      </c>
      <c r="R200" s="1053"/>
      <c r="S200" s="1053"/>
      <c r="T200" s="1053"/>
      <c r="U200" s="1053"/>
      <c r="V200" s="1053"/>
      <c r="W200" s="1053"/>
      <c r="X200" s="1053"/>
      <c r="Y200" s="1053"/>
      <c r="Z200" s="1053"/>
      <c r="AA200" s="167"/>
      <c r="AB200" s="167"/>
      <c r="AC200" s="461"/>
      <c r="AG200" s="267"/>
      <c r="AH200" s="267"/>
      <c r="AI200" s="267"/>
      <c r="AJ200" s="267"/>
      <c r="AK200" s="267"/>
      <c r="AL200" s="267"/>
      <c r="AM200" s="267"/>
      <c r="AN200" s="267"/>
      <c r="AO200" s="267"/>
    </row>
    <row r="201" spans="2:50" ht="15.75" thickBot="1">
      <c r="B201" s="469"/>
      <c r="C201" s="470"/>
      <c r="D201" s="471"/>
      <c r="E201" s="472"/>
      <c r="F201" s="473"/>
      <c r="G201" s="471"/>
      <c r="H201" s="471"/>
      <c r="I201" s="473"/>
      <c r="J201" s="471"/>
      <c r="K201" s="474"/>
      <c r="L201" s="474"/>
      <c r="M201" s="471"/>
      <c r="N201" s="471"/>
      <c r="O201" s="1081">
        <f>+O200+O199</f>
        <v>34.528571428571432</v>
      </c>
      <c r="P201" s="1081"/>
      <c r="Q201" s="471"/>
      <c r="R201" s="471"/>
      <c r="S201" s="471"/>
      <c r="T201" s="471"/>
      <c r="U201" s="471"/>
      <c r="V201" s="471"/>
      <c r="W201" s="471"/>
      <c r="X201" s="471"/>
      <c r="Y201" s="471"/>
      <c r="Z201" s="471"/>
      <c r="AA201" s="475"/>
      <c r="AB201" s="475"/>
      <c r="AC201" s="476"/>
      <c r="AG201" s="267"/>
      <c r="AH201" s="267"/>
      <c r="AI201" s="267"/>
      <c r="AJ201" s="267"/>
      <c r="AK201" s="267"/>
      <c r="AL201" s="267"/>
      <c r="AM201" s="267"/>
      <c r="AN201" s="267"/>
      <c r="AO201" s="267"/>
    </row>
    <row r="202" spans="2:50" ht="15.75" thickTop="1">
      <c r="B202" s="168"/>
      <c r="AG202" s="267"/>
      <c r="AH202" s="267"/>
      <c r="AI202" s="267"/>
      <c r="AJ202" s="267"/>
      <c r="AK202" s="267"/>
      <c r="AL202" s="267"/>
      <c r="AM202" s="267"/>
      <c r="AN202" s="267"/>
      <c r="AO202" s="267"/>
    </row>
    <row r="203" spans="2:50" ht="3" customHeight="1">
      <c r="Q203" s="308"/>
      <c r="R203" s="309"/>
      <c r="S203" s="310"/>
      <c r="T203" s="311"/>
      <c r="AA203" s="3"/>
      <c r="AB203" s="256"/>
      <c r="AC203" s="256"/>
      <c r="AD203" s="256"/>
      <c r="AE203" s="256"/>
      <c r="AF203" s="256"/>
      <c r="AG203" s="256"/>
      <c r="AH203" s="256"/>
      <c r="AI203" s="256"/>
      <c r="AJ203" s="256"/>
      <c r="AK203" s="256"/>
      <c r="AL203" s="256"/>
      <c r="AM203" s="254"/>
      <c r="AN203" s="254"/>
      <c r="AO203" s="254"/>
      <c r="AP203" s="254"/>
      <c r="AQ203" s="253"/>
      <c r="AS203" s="255"/>
      <c r="AT203" s="255"/>
      <c r="AX203" s="257"/>
    </row>
    <row r="204" spans="2:50" ht="14.1" customHeight="1">
      <c r="B204" s="7" t="s">
        <v>29</v>
      </c>
      <c r="C204" s="997" t="s">
        <v>30</v>
      </c>
      <c r="D204" s="997"/>
      <c r="E204" s="997" t="s">
        <v>31</v>
      </c>
      <c r="F204" s="997"/>
      <c r="G204" s="998" t="s">
        <v>32</v>
      </c>
      <c r="H204" s="999"/>
      <c r="I204" s="1004" t="s">
        <v>33</v>
      </c>
      <c r="J204" s="1005"/>
      <c r="K204" s="1006" t="s">
        <v>34</v>
      </c>
      <c r="L204" s="1006"/>
      <c r="M204" s="6"/>
      <c r="N204" s="1007" t="s">
        <v>35</v>
      </c>
      <c r="O204" s="1007"/>
      <c r="P204" s="6"/>
      <c r="Q204" s="1008" t="s">
        <v>36</v>
      </c>
      <c r="R204" s="1009"/>
      <c r="U204" s="1019" t="s">
        <v>37</v>
      </c>
      <c r="V204" s="1022" t="s">
        <v>38</v>
      </c>
      <c r="W204" s="1025" t="s">
        <v>39</v>
      </c>
      <c r="X204" s="983" t="s">
        <v>40</v>
      </c>
      <c r="AA204" s="3"/>
      <c r="AB204" s="256"/>
      <c r="AC204" s="256"/>
      <c r="AD204" s="256"/>
      <c r="AE204" s="256"/>
      <c r="AF204" s="256"/>
      <c r="AG204" s="256"/>
      <c r="AH204" s="256"/>
      <c r="AI204" s="256"/>
      <c r="AJ204" s="256"/>
      <c r="AK204" s="256"/>
      <c r="AL204" s="256"/>
      <c r="AM204" s="254"/>
      <c r="AN204" s="254"/>
      <c r="AO204" s="254"/>
      <c r="AP204" s="254"/>
      <c r="AQ204" s="253"/>
      <c r="AS204" s="255"/>
      <c r="AT204" s="255"/>
      <c r="AX204" s="257"/>
    </row>
    <row r="205" spans="2:50" ht="14.1" customHeight="1">
      <c r="B205" s="7" t="s">
        <v>41</v>
      </c>
      <c r="C205" s="997"/>
      <c r="D205" s="997"/>
      <c r="E205" s="997"/>
      <c r="F205" s="997"/>
      <c r="G205" s="1000"/>
      <c r="H205" s="1001"/>
      <c r="I205" s="1004"/>
      <c r="J205" s="1005"/>
      <c r="K205" s="1006"/>
      <c r="L205" s="1006"/>
      <c r="M205" s="6"/>
      <c r="N205" s="1007"/>
      <c r="O205" s="1007"/>
      <c r="P205" s="6"/>
      <c r="Q205" s="1010"/>
      <c r="R205" s="1011"/>
      <c r="U205" s="1020"/>
      <c r="V205" s="1023"/>
      <c r="W205" s="1026"/>
      <c r="X205" s="984"/>
      <c r="AA205" s="3"/>
      <c r="AB205" s="256"/>
      <c r="AC205" s="256"/>
      <c r="AD205" s="256"/>
      <c r="AE205" s="256"/>
      <c r="AF205" s="256"/>
      <c r="AG205" s="256"/>
      <c r="AH205" s="256"/>
      <c r="AI205" s="256"/>
      <c r="AJ205" s="256"/>
      <c r="AK205" s="256"/>
      <c r="AL205" s="256"/>
      <c r="AM205" s="254"/>
      <c r="AN205" s="254"/>
      <c r="AO205" s="254"/>
      <c r="AP205" s="254"/>
      <c r="AQ205" s="253"/>
      <c r="AS205" s="255"/>
      <c r="AT205" s="255"/>
      <c r="AX205" s="257"/>
    </row>
    <row r="206" spans="2:50" ht="14.1" customHeight="1">
      <c r="B206" s="7" t="s">
        <v>42</v>
      </c>
      <c r="C206" s="997"/>
      <c r="D206" s="997"/>
      <c r="E206" s="997"/>
      <c r="F206" s="997"/>
      <c r="G206" s="1000"/>
      <c r="H206" s="1001"/>
      <c r="I206" s="1004"/>
      <c r="J206" s="1005"/>
      <c r="K206" s="1006"/>
      <c r="L206" s="1006"/>
      <c r="M206" s="6"/>
      <c r="N206" s="1007"/>
      <c r="O206" s="1007"/>
      <c r="P206" s="6"/>
      <c r="Q206" s="1012"/>
      <c r="R206" s="1013"/>
      <c r="U206" s="1020"/>
      <c r="V206" s="1023"/>
      <c r="W206" s="1026"/>
      <c r="X206" s="984"/>
      <c r="AA206" s="3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254"/>
      <c r="AN206" s="254"/>
      <c r="AO206" s="254"/>
      <c r="AP206" s="254"/>
      <c r="AQ206" s="253"/>
      <c r="AS206" s="255"/>
      <c r="AT206" s="255"/>
      <c r="AV206" s="254"/>
      <c r="AX206" s="257"/>
    </row>
    <row r="207" spans="2:50" ht="26.25">
      <c r="B207" s="325" t="s">
        <v>44</v>
      </c>
      <c r="C207" s="986">
        <f>+E207*7</f>
        <v>198.33333333333331</v>
      </c>
      <c r="D207" s="986"/>
      <c r="E207" s="987">
        <f>+K207/30</f>
        <v>28.333333333333332</v>
      </c>
      <c r="F207" s="987"/>
      <c r="G207" s="1000"/>
      <c r="H207" s="1001"/>
      <c r="I207" s="988">
        <f>+E207/8</f>
        <v>3.5416666666666665</v>
      </c>
      <c r="J207" s="989"/>
      <c r="K207" s="990">
        <v>850</v>
      </c>
      <c r="L207" s="990"/>
      <c r="M207" s="326"/>
      <c r="N207" s="991">
        <f>+I207/6*7</f>
        <v>4.1319444444444446</v>
      </c>
      <c r="O207" s="992"/>
      <c r="P207" s="326"/>
      <c r="Q207" s="993">
        <f>+$I$71-I207</f>
        <v>1.6895833333333337</v>
      </c>
      <c r="R207" s="993"/>
      <c r="U207" s="1020"/>
      <c r="V207" s="1023"/>
      <c r="W207" s="1026"/>
      <c r="X207" s="984"/>
      <c r="AA207" s="3"/>
      <c r="AB207" s="3"/>
      <c r="AC207" s="3"/>
      <c r="AD207" s="3"/>
    </row>
    <row r="208" spans="2:50" ht="24.75">
      <c r="B208" s="332" t="s">
        <v>46</v>
      </c>
      <c r="C208" s="1014">
        <f>+E208*7</f>
        <v>267.75</v>
      </c>
      <c r="D208" s="1014"/>
      <c r="E208" s="1015">
        <f>+K208/30</f>
        <v>38.25</v>
      </c>
      <c r="F208" s="1015"/>
      <c r="G208" s="1002"/>
      <c r="H208" s="1003"/>
      <c r="I208" s="1016">
        <f>+E208/8</f>
        <v>4.78125</v>
      </c>
      <c r="J208" s="1017"/>
      <c r="K208" s="1018">
        <f>+K207*1.35</f>
        <v>1147.5</v>
      </c>
      <c r="L208" s="1018"/>
      <c r="M208" s="326"/>
      <c r="N208" s="991">
        <f>+I208/6*7</f>
        <v>5.578125</v>
      </c>
      <c r="O208" s="992"/>
      <c r="P208" s="326"/>
      <c r="Q208" s="993">
        <f>+$I$71-I208</f>
        <v>0.45000000000000018</v>
      </c>
      <c r="R208" s="993"/>
      <c r="U208" s="1020"/>
      <c r="V208" s="1023"/>
      <c r="W208" s="1026"/>
      <c r="X208" s="984"/>
      <c r="Z208" s="477"/>
      <c r="AA208" s="625"/>
      <c r="AB208" s="625"/>
      <c r="AC208" s="625"/>
      <c r="AD208" s="625"/>
      <c r="AE208" s="296"/>
      <c r="AF208" s="296"/>
      <c r="AG208" s="478"/>
      <c r="AH208" s="296"/>
      <c r="AI208" s="296"/>
      <c r="AJ208" s="296"/>
      <c r="AK208" s="296"/>
      <c r="AL208" s="296"/>
      <c r="AM208" s="296"/>
      <c r="AN208" s="296"/>
      <c r="AO208" s="296"/>
      <c r="AP208" s="296"/>
      <c r="AQ208" s="296"/>
      <c r="AR208" s="296"/>
      <c r="AS208" s="296"/>
      <c r="AT208" s="296"/>
    </row>
    <row r="209" spans="1:46" ht="2.1" customHeight="1">
      <c r="B209" s="334"/>
      <c r="C209" s="258"/>
      <c r="D209" s="258"/>
      <c r="G209" s="335"/>
      <c r="H209" s="335"/>
      <c r="I209" s="336"/>
      <c r="J209" s="336"/>
      <c r="K209" s="337"/>
      <c r="L209" s="337"/>
      <c r="M209" s="6"/>
      <c r="N209" s="338"/>
      <c r="O209" s="338"/>
      <c r="P209" s="6"/>
      <c r="Q209" s="339"/>
      <c r="R209" s="339"/>
      <c r="U209" s="1021"/>
      <c r="V209" s="1024"/>
      <c r="W209" s="1027"/>
      <c r="X209" s="985"/>
      <c r="Z209" s="477"/>
      <c r="AA209" s="625"/>
      <c r="AB209" s="625"/>
      <c r="AC209" s="625"/>
      <c r="AD209" s="625"/>
      <c r="AE209" s="296"/>
      <c r="AF209" s="296"/>
      <c r="AG209" s="478"/>
      <c r="AH209" s="296"/>
      <c r="AI209" s="296"/>
      <c r="AJ209" s="296"/>
      <c r="AK209" s="296"/>
      <c r="AL209" s="296"/>
      <c r="AM209" s="296"/>
      <c r="AN209" s="296"/>
      <c r="AO209" s="296"/>
      <c r="AP209" s="296"/>
      <c r="AQ209" s="296"/>
      <c r="AR209" s="296"/>
      <c r="AS209" s="296"/>
      <c r="AT209" s="296"/>
    </row>
    <row r="210" spans="1:46" ht="16.5">
      <c r="A210" s="1">
        <v>1</v>
      </c>
      <c r="B210" s="340" t="s">
        <v>47</v>
      </c>
      <c r="C210" s="1040">
        <f>6*3+7*33.8</f>
        <v>254.59999999999997</v>
      </c>
      <c r="D210" s="1041"/>
      <c r="E210" s="1030">
        <f t="shared" ref="E210:E217" si="121">+C210/7</f>
        <v>36.371428571428567</v>
      </c>
      <c r="F210" s="1031"/>
      <c r="G210" s="341"/>
      <c r="H210" s="341"/>
      <c r="I210" s="1032">
        <f t="shared" ref="I210:I217" si="122">+E210/8</f>
        <v>4.5464285714285708</v>
      </c>
      <c r="J210" s="1033"/>
      <c r="K210" s="1034">
        <f t="shared" ref="K210:K220" si="123">+E210*30</f>
        <v>1091.1428571428569</v>
      </c>
      <c r="L210" s="1034"/>
      <c r="M210" s="6"/>
      <c r="N210" s="1035">
        <f t="shared" ref="N210:N224" si="124">+I210/6*7</f>
        <v>5.3041666666666654</v>
      </c>
      <c r="O210" s="1035"/>
      <c r="P210" s="6"/>
      <c r="Q210" s="1036">
        <f t="shared" ref="Q210:Q224" si="125">+$I$71-I210</f>
        <v>0.68482142857142936</v>
      </c>
      <c r="R210" s="1037"/>
      <c r="U210" s="342">
        <f t="shared" ref="U210:U216" si="126">+AE171+U171+K171+AO150+AE150+U150+K150</f>
        <v>0</v>
      </c>
      <c r="V210" s="343">
        <v>48</v>
      </c>
      <c r="W210" s="344">
        <f t="shared" ref="W210:W224" si="127">+V210-U210</f>
        <v>48</v>
      </c>
      <c r="X210" s="345" t="e">
        <f t="shared" ref="X210:X216" si="128">+J150+T150+AD150+J171+T171+AD171</f>
        <v>#VALUE!</v>
      </c>
      <c r="Z210" s="477"/>
      <c r="AA210" s="625"/>
      <c r="AB210" s="625"/>
      <c r="AC210" s="625"/>
      <c r="AD210" s="625"/>
      <c r="AE210" s="296"/>
      <c r="AF210" s="296"/>
      <c r="AG210" s="478"/>
      <c r="AH210" s="296"/>
      <c r="AI210" s="296"/>
      <c r="AJ210" s="296"/>
      <c r="AK210" s="296"/>
      <c r="AL210" s="296"/>
      <c r="AM210" s="296"/>
      <c r="AN210" s="296"/>
      <c r="AO210" s="296"/>
      <c r="AP210" s="296"/>
      <c r="AQ210" s="296"/>
      <c r="AR210" s="296"/>
      <c r="AS210" s="296"/>
      <c r="AT210" s="296"/>
    </row>
    <row r="211" spans="1:46" ht="16.5">
      <c r="A211" s="1">
        <v>2</v>
      </c>
      <c r="B211" s="340" t="s">
        <v>48</v>
      </c>
      <c r="C211" s="1040">
        <f>6*3+7*38.5</f>
        <v>287.5</v>
      </c>
      <c r="D211" s="1041"/>
      <c r="E211" s="1030">
        <f t="shared" si="121"/>
        <v>41.071428571428569</v>
      </c>
      <c r="F211" s="1031"/>
      <c r="G211" s="341"/>
      <c r="H211" s="341"/>
      <c r="I211" s="1032">
        <f t="shared" si="122"/>
        <v>5.1339285714285712</v>
      </c>
      <c r="J211" s="1033"/>
      <c r="K211" s="1034">
        <f t="shared" si="123"/>
        <v>1232.1428571428571</v>
      </c>
      <c r="L211" s="1034"/>
      <c r="M211" s="6"/>
      <c r="N211" s="1035">
        <f t="shared" si="124"/>
        <v>5.989583333333333</v>
      </c>
      <c r="O211" s="1035"/>
      <c r="P211" s="6"/>
      <c r="Q211" s="1036">
        <f t="shared" si="125"/>
        <v>9.7321428571429003E-2</v>
      </c>
      <c r="R211" s="1037"/>
      <c r="U211" s="342">
        <f t="shared" si="126"/>
        <v>0</v>
      </c>
      <c r="V211" s="343">
        <v>48</v>
      </c>
      <c r="W211" s="344">
        <f t="shared" si="127"/>
        <v>48</v>
      </c>
      <c r="X211" s="345" t="e">
        <f t="shared" si="128"/>
        <v>#VALUE!</v>
      </c>
      <c r="Z211" s="477"/>
      <c r="AA211" s="625"/>
      <c r="AB211" s="625"/>
      <c r="AC211" s="625"/>
      <c r="AD211" s="625"/>
      <c r="AE211" s="296"/>
      <c r="AF211" s="296"/>
      <c r="AG211" s="478"/>
      <c r="AH211" s="296"/>
      <c r="AI211" s="296"/>
      <c r="AJ211" s="296"/>
      <c r="AK211" s="296"/>
      <c r="AL211" s="296"/>
      <c r="AM211" s="296"/>
      <c r="AN211" s="296"/>
      <c r="AO211" s="296"/>
      <c r="AP211" s="296"/>
      <c r="AQ211" s="296"/>
      <c r="AR211" s="296"/>
      <c r="AS211" s="296"/>
      <c r="AT211" s="296"/>
    </row>
    <row r="212" spans="1:46" ht="16.5">
      <c r="A212" s="1">
        <v>2</v>
      </c>
      <c r="B212" s="340" t="s">
        <v>61</v>
      </c>
      <c r="C212" s="1040">
        <f>6*3+7*38.5</f>
        <v>287.5</v>
      </c>
      <c r="D212" s="1041"/>
      <c r="E212" s="1030">
        <f t="shared" si="121"/>
        <v>41.071428571428569</v>
      </c>
      <c r="F212" s="1031"/>
      <c r="G212" s="341"/>
      <c r="H212" s="341"/>
      <c r="I212" s="1032">
        <f t="shared" si="122"/>
        <v>5.1339285714285712</v>
      </c>
      <c r="J212" s="1033"/>
      <c r="K212" s="1034">
        <f t="shared" si="123"/>
        <v>1232.1428571428571</v>
      </c>
      <c r="L212" s="1034"/>
      <c r="M212" s="6"/>
      <c r="N212" s="1035">
        <f t="shared" si="124"/>
        <v>5.989583333333333</v>
      </c>
      <c r="O212" s="1035"/>
      <c r="P212" s="6"/>
      <c r="Q212" s="1036">
        <f t="shared" si="125"/>
        <v>9.7321428571429003E-2</v>
      </c>
      <c r="R212" s="1037"/>
      <c r="U212" s="342">
        <f t="shared" si="126"/>
        <v>0</v>
      </c>
      <c r="V212" s="343">
        <v>48</v>
      </c>
      <c r="W212" s="344">
        <f t="shared" si="127"/>
        <v>48</v>
      </c>
      <c r="X212" s="345" t="e">
        <f t="shared" si="128"/>
        <v>#VALUE!</v>
      </c>
      <c r="Z212" s="477"/>
      <c r="AA212" s="625"/>
      <c r="AB212" s="625"/>
      <c r="AC212" s="625"/>
      <c r="AD212" s="625"/>
      <c r="AE212" s="296"/>
      <c r="AF212" s="296"/>
      <c r="AG212" s="478"/>
      <c r="AH212" s="296"/>
      <c r="AI212" s="296"/>
      <c r="AJ212" s="296"/>
      <c r="AK212" s="296"/>
      <c r="AL212" s="296"/>
      <c r="AM212" s="296"/>
      <c r="AN212" s="296"/>
      <c r="AO212" s="296"/>
      <c r="AP212" s="296"/>
      <c r="AQ212" s="296"/>
      <c r="AR212" s="296"/>
      <c r="AS212" s="296"/>
      <c r="AT212" s="296"/>
    </row>
    <row r="213" spans="1:46" ht="16.5">
      <c r="A213" s="1">
        <v>4</v>
      </c>
      <c r="B213" s="359" t="s">
        <v>50</v>
      </c>
      <c r="C213" s="1028">
        <f>6*3+7*30.762</f>
        <v>233.334</v>
      </c>
      <c r="D213" s="1029"/>
      <c r="E213" s="1030">
        <f t="shared" si="121"/>
        <v>33.33342857142857</v>
      </c>
      <c r="F213" s="1031"/>
      <c r="G213" s="341"/>
      <c r="H213" s="341"/>
      <c r="I213" s="1032">
        <f t="shared" si="122"/>
        <v>4.1666785714285712</v>
      </c>
      <c r="J213" s="1033"/>
      <c r="K213" s="1034">
        <f t="shared" si="123"/>
        <v>1000.0028571428571</v>
      </c>
      <c r="L213" s="1034"/>
      <c r="M213" s="6"/>
      <c r="N213" s="1035">
        <f t="shared" si="124"/>
        <v>4.8611250000000004</v>
      </c>
      <c r="O213" s="1035"/>
      <c r="P213" s="6"/>
      <c r="Q213" s="1036">
        <f t="shared" si="125"/>
        <v>1.0645714285714289</v>
      </c>
      <c r="R213" s="1037"/>
      <c r="S213" s="1082">
        <f>20*30/180*117</f>
        <v>390</v>
      </c>
      <c r="T213" s="1083"/>
      <c r="U213" s="342">
        <f t="shared" si="126"/>
        <v>0</v>
      </c>
      <c r="V213" s="343">
        <v>48</v>
      </c>
      <c r="W213" s="344">
        <f t="shared" si="127"/>
        <v>48</v>
      </c>
      <c r="X213" s="345">
        <f t="shared" si="128"/>
        <v>0</v>
      </c>
      <c r="Z213" s="1084" t="s">
        <v>99</v>
      </c>
      <c r="AA213" s="1084"/>
      <c r="AB213" s="1084"/>
      <c r="AC213" s="1084"/>
      <c r="AD213" s="477" t="s">
        <v>100</v>
      </c>
      <c r="AE213" s="625"/>
      <c r="AF213" s="296"/>
      <c r="AG213" s="626"/>
      <c r="AH213" s="626"/>
      <c r="AI213" s="296"/>
      <c r="AJ213" s="296"/>
      <c r="AK213" s="624"/>
      <c r="AL213" s="624"/>
      <c r="AM213" s="624"/>
      <c r="AN213" s="624"/>
      <c r="AO213" s="624"/>
      <c r="AP213" s="624"/>
      <c r="AQ213" s="624"/>
      <c r="AR213" s="624"/>
      <c r="AS213" s="296"/>
      <c r="AT213" s="296"/>
    </row>
    <row r="214" spans="1:46" ht="16.5">
      <c r="A214" s="1">
        <v>5</v>
      </c>
      <c r="B214" s="340" t="s">
        <v>52</v>
      </c>
      <c r="C214" s="1028">
        <f>6*3+7*38.5</f>
        <v>287.5</v>
      </c>
      <c r="D214" s="1029"/>
      <c r="E214" s="1030">
        <f t="shared" si="121"/>
        <v>41.071428571428569</v>
      </c>
      <c r="F214" s="1031"/>
      <c r="G214" s="341"/>
      <c r="H214" s="341"/>
      <c r="I214" s="1032">
        <f t="shared" si="122"/>
        <v>5.1339285714285712</v>
      </c>
      <c r="J214" s="1033"/>
      <c r="K214" s="1034">
        <f t="shared" si="123"/>
        <v>1232.1428571428571</v>
      </c>
      <c r="L214" s="1034"/>
      <c r="M214" s="6"/>
      <c r="N214" s="1035">
        <f t="shared" si="124"/>
        <v>5.989583333333333</v>
      </c>
      <c r="O214" s="1035"/>
      <c r="P214" s="6"/>
      <c r="Q214" s="1036">
        <f t="shared" si="125"/>
        <v>9.7321428571429003E-2</v>
      </c>
      <c r="R214" s="1037"/>
      <c r="U214" s="342">
        <f t="shared" si="126"/>
        <v>0</v>
      </c>
      <c r="V214" s="343">
        <v>48</v>
      </c>
      <c r="W214" s="344">
        <f t="shared" si="127"/>
        <v>48</v>
      </c>
      <c r="X214" s="345">
        <f t="shared" si="128"/>
        <v>0</v>
      </c>
      <c r="Z214" s="625"/>
      <c r="AA214" s="625"/>
      <c r="AB214" s="625"/>
      <c r="AC214" s="625"/>
      <c r="AD214" s="625"/>
      <c r="AE214" s="296"/>
      <c r="AF214" s="296"/>
      <c r="AG214" s="479"/>
      <c r="AH214" s="479"/>
      <c r="AI214" s="626"/>
      <c r="AJ214" s="626"/>
      <c r="AK214" s="626"/>
      <c r="AL214" s="626"/>
      <c r="AM214" s="626"/>
      <c r="AN214" s="626"/>
      <c r="AO214" s="626"/>
      <c r="AP214" s="626"/>
      <c r="AQ214" s="626"/>
      <c r="AR214" s="626"/>
      <c r="AS214" s="296"/>
      <c r="AT214" s="296"/>
    </row>
    <row r="215" spans="1:46" ht="16.5">
      <c r="A215" s="1">
        <v>7</v>
      </c>
      <c r="B215" s="365" t="s">
        <v>53</v>
      </c>
      <c r="C215" s="1042">
        <f>6*3+7*(38.5)</f>
        <v>287.5</v>
      </c>
      <c r="D215" s="1043"/>
      <c r="E215" s="1030">
        <f t="shared" si="121"/>
        <v>41.071428571428569</v>
      </c>
      <c r="F215" s="1031"/>
      <c r="G215" s="1046"/>
      <c r="H215" s="1047"/>
      <c r="I215" s="1032">
        <f t="shared" si="122"/>
        <v>5.1339285714285712</v>
      </c>
      <c r="J215" s="1033"/>
      <c r="K215" s="1034">
        <f t="shared" si="123"/>
        <v>1232.1428571428571</v>
      </c>
      <c r="L215" s="1034"/>
      <c r="M215" s="6"/>
      <c r="N215" s="1035">
        <f t="shared" si="124"/>
        <v>5.989583333333333</v>
      </c>
      <c r="O215" s="1035"/>
      <c r="P215" s="6"/>
      <c r="Q215" s="1036">
        <f t="shared" si="125"/>
        <v>9.7321428571429003E-2</v>
      </c>
      <c r="R215" s="1037"/>
      <c r="U215" s="342">
        <f t="shared" si="126"/>
        <v>0</v>
      </c>
      <c r="V215" s="343">
        <v>48</v>
      </c>
      <c r="W215" s="344">
        <f t="shared" si="127"/>
        <v>48</v>
      </c>
      <c r="X215" s="345">
        <f t="shared" si="128"/>
        <v>0</v>
      </c>
      <c r="Z215" s="372"/>
      <c r="AA215" s="372"/>
      <c r="AB215" s="1085" t="s">
        <v>101</v>
      </c>
      <c r="AC215" s="1086"/>
      <c r="AD215" s="1086"/>
      <c r="AE215" s="1086"/>
      <c r="AF215" s="1086"/>
      <c r="AG215" s="1086"/>
      <c r="AH215" s="1086"/>
      <c r="AI215" s="1086"/>
      <c r="AJ215" s="1086"/>
      <c r="AK215" s="1086"/>
      <c r="AL215" s="370"/>
      <c r="AM215" s="626"/>
      <c r="AN215" s="626"/>
      <c r="AO215" s="626"/>
      <c r="AP215" s="626"/>
      <c r="AQ215" s="626"/>
      <c r="AR215" s="626"/>
      <c r="AS215" s="296"/>
      <c r="AT215" s="296"/>
    </row>
    <row r="216" spans="1:46" s="371" customFormat="1" ht="16.5">
      <c r="A216" s="366">
        <v>6</v>
      </c>
      <c r="B216" s="365" t="s">
        <v>102</v>
      </c>
      <c r="C216" s="1042">
        <f>6*3+7*(27)</f>
        <v>207</v>
      </c>
      <c r="D216" s="1043"/>
      <c r="E216" s="1030">
        <f t="shared" si="121"/>
        <v>29.571428571428573</v>
      </c>
      <c r="F216" s="1031"/>
      <c r="G216" s="1087"/>
      <c r="H216" s="1088"/>
      <c r="I216" s="1032">
        <f t="shared" si="122"/>
        <v>3.6964285714285716</v>
      </c>
      <c r="J216" s="1033"/>
      <c r="K216" s="1034">
        <f t="shared" si="123"/>
        <v>887.14285714285722</v>
      </c>
      <c r="L216" s="1034"/>
      <c r="M216" s="6"/>
      <c r="N216" s="1035">
        <f t="shared" si="124"/>
        <v>4.3125</v>
      </c>
      <c r="O216" s="1035"/>
      <c r="P216" s="6"/>
      <c r="Q216" s="1036">
        <f t="shared" si="125"/>
        <v>1.5348214285714286</v>
      </c>
      <c r="R216" s="1037"/>
      <c r="S216" s="1082">
        <f>20*30/180*117</f>
        <v>390</v>
      </c>
      <c r="T216" s="1083"/>
      <c r="U216" s="342">
        <f t="shared" si="126"/>
        <v>0</v>
      </c>
      <c r="V216" s="343">
        <v>48</v>
      </c>
      <c r="W216" s="344">
        <f t="shared" si="127"/>
        <v>48</v>
      </c>
      <c r="X216" s="345">
        <f t="shared" si="128"/>
        <v>0</v>
      </c>
      <c r="Y216" s="367"/>
      <c r="Z216" s="625"/>
      <c r="AA216" s="625"/>
      <c r="AB216" s="625"/>
      <c r="AC216" s="625"/>
      <c r="AD216" s="625"/>
      <c r="AE216" s="296"/>
      <c r="AF216" s="296"/>
      <c r="AG216" s="626"/>
      <c r="AH216" s="626"/>
      <c r="AI216" s="370"/>
      <c r="AJ216" s="370"/>
      <c r="AK216" s="370"/>
      <c r="AL216" s="370"/>
      <c r="AM216" s="626"/>
      <c r="AN216" s="626"/>
      <c r="AO216" s="626"/>
      <c r="AP216" s="626"/>
      <c r="AQ216" s="626"/>
      <c r="AR216" s="626"/>
      <c r="AS216" s="296"/>
      <c r="AT216" s="296"/>
    </row>
    <row r="217" spans="1:46" s="371" customFormat="1" ht="16.5">
      <c r="A217" s="1">
        <v>8</v>
      </c>
      <c r="B217" s="365" t="s">
        <v>87</v>
      </c>
      <c r="C217" s="1042">
        <f>6*3+7*(25.7619)</f>
        <v>198.33330000000001</v>
      </c>
      <c r="D217" s="1043"/>
      <c r="E217" s="1030">
        <f t="shared" si="121"/>
        <v>28.333328571428574</v>
      </c>
      <c r="F217" s="1031"/>
      <c r="G217" s="1044">
        <v>25.761900000000001</v>
      </c>
      <c r="H217" s="1045"/>
      <c r="I217" s="1032">
        <f t="shared" si="122"/>
        <v>3.5416660714285717</v>
      </c>
      <c r="J217" s="1033"/>
      <c r="K217" s="1034">
        <f t="shared" si="123"/>
        <v>849.99985714285719</v>
      </c>
      <c r="L217" s="1034"/>
      <c r="M217" s="6"/>
      <c r="N217" s="1035">
        <f t="shared" si="124"/>
        <v>4.1319437500000005</v>
      </c>
      <c r="O217" s="1035"/>
      <c r="P217" s="6"/>
      <c r="Q217" s="1036">
        <f t="shared" si="125"/>
        <v>1.6895839285714285</v>
      </c>
      <c r="R217" s="1037"/>
      <c r="S217" s="3"/>
      <c r="T217" s="3"/>
      <c r="U217" s="342">
        <f>+AE179+U179+K179+AO158+AE158+U158+K158</f>
        <v>0</v>
      </c>
      <c r="V217" s="343">
        <v>48</v>
      </c>
      <c r="W217" s="344">
        <f t="shared" si="127"/>
        <v>48</v>
      </c>
      <c r="X217" s="345">
        <f>+J158+T158+AD158+J179+T179+AD179</f>
        <v>0</v>
      </c>
      <c r="Y217" s="3"/>
      <c r="Z217" s="625"/>
      <c r="AA217" s="625"/>
      <c r="AB217" s="625"/>
      <c r="AC217" s="625"/>
      <c r="AD217" s="625"/>
      <c r="AE217" s="296"/>
      <c r="AF217" s="296"/>
      <c r="AG217" s="626"/>
      <c r="AH217" s="626"/>
      <c r="AI217" s="370"/>
      <c r="AJ217" s="370"/>
      <c r="AK217" s="370"/>
      <c r="AL217" s="370"/>
      <c r="AM217" s="626"/>
      <c r="AN217" s="626"/>
      <c r="AO217" s="626"/>
      <c r="AP217" s="626"/>
      <c r="AQ217" s="626"/>
      <c r="AR217" s="626"/>
      <c r="AS217" s="296"/>
      <c r="AT217" s="296"/>
    </row>
    <row r="218" spans="1:46" ht="16.5">
      <c r="B218" s="365" t="s">
        <v>54</v>
      </c>
      <c r="C218" s="1042"/>
      <c r="D218" s="1043"/>
      <c r="E218" s="1030"/>
      <c r="F218" s="1031"/>
      <c r="G218" s="1087"/>
      <c r="H218" s="1088"/>
      <c r="I218" s="1032"/>
      <c r="J218" s="1033"/>
      <c r="K218" s="1034">
        <f t="shared" si="123"/>
        <v>0</v>
      </c>
      <c r="L218" s="1034"/>
      <c r="M218" s="6"/>
      <c r="N218" s="1035">
        <f t="shared" si="124"/>
        <v>0</v>
      </c>
      <c r="O218" s="1035"/>
      <c r="P218" s="6"/>
      <c r="Q218" s="1036">
        <f t="shared" si="125"/>
        <v>5.2312500000000002</v>
      </c>
      <c r="R218" s="1037"/>
      <c r="U218" s="342">
        <f>+AE183+U183+K183+AO162+AE162+U162+K162</f>
        <v>0</v>
      </c>
      <c r="V218" s="343">
        <v>48</v>
      </c>
      <c r="W218" s="344">
        <f t="shared" si="127"/>
        <v>48</v>
      </c>
      <c r="X218" s="345" t="e">
        <f>+#REF!+#REF!+#REF!+#REF!+#REF!+#REF!</f>
        <v>#REF!</v>
      </c>
      <c r="Z218" s="372"/>
      <c r="AA218" s="372"/>
      <c r="AB218" s="625"/>
      <c r="AC218" s="625"/>
      <c r="AD218" s="625"/>
      <c r="AE218" s="296"/>
      <c r="AF218" s="296"/>
      <c r="AG218" s="626"/>
      <c r="AH218" s="626"/>
      <c r="AI218" s="626"/>
      <c r="AJ218" s="626"/>
      <c r="AK218" s="626"/>
      <c r="AL218" s="626"/>
      <c r="AM218" s="626"/>
      <c r="AN218" s="626"/>
      <c r="AO218" s="626"/>
      <c r="AP218" s="626"/>
      <c r="AQ218" s="626"/>
      <c r="AR218" s="626"/>
      <c r="AS218" s="296"/>
      <c r="AT218" s="296"/>
    </row>
    <row r="219" spans="1:46" ht="16.5">
      <c r="B219" s="365" t="s">
        <v>54</v>
      </c>
      <c r="C219" s="1028">
        <f>6*3+7*35</f>
        <v>263</v>
      </c>
      <c r="D219" s="1029"/>
      <c r="E219" s="1030">
        <f t="shared" ref="E219:E224" si="129">+C219/7</f>
        <v>37.571428571428569</v>
      </c>
      <c r="F219" s="1031"/>
      <c r="G219" s="341"/>
      <c r="H219" s="341"/>
      <c r="I219" s="1032">
        <f>+E219/8</f>
        <v>4.6964285714285712</v>
      </c>
      <c r="J219" s="1033"/>
      <c r="K219" s="1034">
        <f t="shared" si="123"/>
        <v>1127.1428571428571</v>
      </c>
      <c r="L219" s="1034"/>
      <c r="M219" s="374"/>
      <c r="N219" s="1035">
        <f t="shared" si="124"/>
        <v>5.479166666666667</v>
      </c>
      <c r="O219" s="1035"/>
      <c r="P219" s="6"/>
      <c r="Q219" s="1036">
        <f t="shared" si="125"/>
        <v>0.534821428571429</v>
      </c>
      <c r="R219" s="1037"/>
      <c r="U219" s="342">
        <f>+AE180+U180+K180+AO159+AE159+U159+K159</f>
        <v>0</v>
      </c>
      <c r="V219" s="343">
        <v>48</v>
      </c>
      <c r="W219" s="344">
        <f t="shared" si="127"/>
        <v>48</v>
      </c>
      <c r="X219" s="345">
        <f>+J159+T159+AD159+J180+T180+AD180</f>
        <v>0</v>
      </c>
      <c r="Z219" s="1084">
        <f>+K219/E219</f>
        <v>30</v>
      </c>
      <c r="AA219" s="1084"/>
      <c r="AB219" s="1084"/>
      <c r="AC219" s="1084"/>
      <c r="AD219" s="625"/>
      <c r="AE219" s="296"/>
      <c r="AF219" s="296"/>
      <c r="AG219" s="479"/>
      <c r="AH219" s="479"/>
      <c r="AI219" s="626"/>
      <c r="AJ219" s="626"/>
      <c r="AK219" s="626"/>
      <c r="AL219" s="626"/>
      <c r="AM219" s="626"/>
      <c r="AN219" s="626"/>
      <c r="AO219" s="626"/>
      <c r="AP219" s="626"/>
      <c r="AQ219" s="626"/>
      <c r="AR219" s="626"/>
      <c r="AS219" s="296"/>
      <c r="AT219" s="296"/>
    </row>
    <row r="220" spans="1:46" ht="16.5">
      <c r="A220" s="1">
        <v>3</v>
      </c>
      <c r="B220" s="340" t="s">
        <v>66</v>
      </c>
      <c r="C220" s="1028">
        <f>6*3+7*34.0952</f>
        <v>256.66639999999995</v>
      </c>
      <c r="D220" s="1029"/>
      <c r="E220" s="1030">
        <f t="shared" si="129"/>
        <v>36.666628571428568</v>
      </c>
      <c r="F220" s="1031"/>
      <c r="G220" s="1044">
        <f>(C220-18)/7</f>
        <v>34.095199999999991</v>
      </c>
      <c r="H220" s="1045"/>
      <c r="I220" s="1032">
        <f>+E220/8</f>
        <v>4.583328571428571</v>
      </c>
      <c r="J220" s="1089"/>
      <c r="K220" s="1090">
        <f t="shared" si="123"/>
        <v>1099.9988571428571</v>
      </c>
      <c r="L220" s="1091"/>
      <c r="M220" s="374"/>
      <c r="N220" s="1050">
        <f t="shared" si="124"/>
        <v>5.3472166666666663</v>
      </c>
      <c r="O220" s="1051"/>
      <c r="P220" s="6"/>
      <c r="Q220" s="1036">
        <f t="shared" si="125"/>
        <v>0.6479214285714292</v>
      </c>
      <c r="R220" s="1037"/>
      <c r="U220" s="342">
        <f>+AE181+U181+K181+AO160+AE160+U160+K160</f>
        <v>0</v>
      </c>
      <c r="V220" s="343">
        <v>48</v>
      </c>
      <c r="W220" s="344">
        <f t="shared" si="127"/>
        <v>48</v>
      </c>
      <c r="X220" s="345">
        <f>+J160+T160+AD160+J181+T181+AD181</f>
        <v>0</v>
      </c>
      <c r="Z220" s="481"/>
      <c r="AA220" s="482"/>
      <c r="AB220" s="477"/>
      <c r="AC220" s="625"/>
      <c r="AD220" s="625"/>
      <c r="AE220" s="296"/>
      <c r="AF220" s="296"/>
      <c r="AG220" s="626"/>
      <c r="AH220" s="626"/>
      <c r="AI220" s="370"/>
      <c r="AJ220" s="370"/>
      <c r="AK220" s="370"/>
      <c r="AL220" s="370"/>
      <c r="AM220" s="626"/>
      <c r="AN220" s="626"/>
      <c r="AO220" s="626"/>
      <c r="AP220" s="626"/>
      <c r="AQ220" s="626"/>
      <c r="AR220" s="626"/>
      <c r="AS220" s="296"/>
      <c r="AT220" s="296"/>
    </row>
    <row r="221" spans="1:46" ht="16.5">
      <c r="B221" s="483" t="s">
        <v>55</v>
      </c>
      <c r="C221" s="1104">
        <f>+G221*6</f>
        <v>169.99979999999999</v>
      </c>
      <c r="D221" s="1105"/>
      <c r="E221" s="1106">
        <f t="shared" si="129"/>
        <v>24.285685714285712</v>
      </c>
      <c r="F221" s="1107"/>
      <c r="G221" s="1108">
        <f>28.3333</f>
        <v>28.333300000000001</v>
      </c>
      <c r="H221" s="1109"/>
      <c r="I221" s="1106">
        <f>+G221/8</f>
        <v>3.5416625000000002</v>
      </c>
      <c r="J221" s="1107"/>
      <c r="K221" s="1110">
        <f>+G221*30</f>
        <v>849.99900000000002</v>
      </c>
      <c r="L221" s="1111"/>
      <c r="M221" s="6"/>
      <c r="N221" s="1050">
        <f t="shared" si="124"/>
        <v>4.1319395833333337</v>
      </c>
      <c r="O221" s="1051"/>
      <c r="P221" s="6"/>
      <c r="Q221" s="1048">
        <f t="shared" si="125"/>
        <v>1.6895875</v>
      </c>
      <c r="R221" s="1049"/>
      <c r="U221" s="342">
        <f>+AE183+U183+K183+AO162+AE162+U162+K162</f>
        <v>0</v>
      </c>
      <c r="V221" s="343">
        <v>48</v>
      </c>
      <c r="W221" s="344">
        <f t="shared" si="127"/>
        <v>48</v>
      </c>
      <c r="X221" s="345">
        <f>+J161+T161+AD161+J182+T182+AD182</f>
        <v>0</v>
      </c>
      <c r="Z221" s="481"/>
      <c r="AA221" s="482"/>
      <c r="AB221" s="477"/>
      <c r="AC221" s="625"/>
      <c r="AD221" s="625"/>
      <c r="AE221" s="296"/>
      <c r="AF221" s="296"/>
      <c r="AG221" s="370"/>
      <c r="AH221" s="370"/>
      <c r="AI221" s="626"/>
      <c r="AJ221" s="626"/>
      <c r="AK221" s="626"/>
      <c r="AL221" s="626"/>
      <c r="AM221" s="626"/>
      <c r="AN221" s="626"/>
      <c r="AO221" s="626"/>
      <c r="AP221" s="626"/>
      <c r="AQ221" s="626"/>
      <c r="AR221" s="626"/>
      <c r="AS221" s="296"/>
      <c r="AT221" s="296"/>
    </row>
    <row r="222" spans="1:46" ht="16.5">
      <c r="B222" s="483" t="s">
        <v>103</v>
      </c>
      <c r="C222" s="1104">
        <f>+G222*6</f>
        <v>199.99979999999999</v>
      </c>
      <c r="D222" s="1105"/>
      <c r="E222" s="1106">
        <f t="shared" si="129"/>
        <v>28.571400000000001</v>
      </c>
      <c r="F222" s="1107"/>
      <c r="G222" s="1108">
        <v>33.333300000000001</v>
      </c>
      <c r="H222" s="1109"/>
      <c r="I222" s="1106">
        <f>+G222/8</f>
        <v>4.1666625000000002</v>
      </c>
      <c r="J222" s="1107"/>
      <c r="K222" s="1110">
        <f>+G222*30</f>
        <v>999.99900000000002</v>
      </c>
      <c r="L222" s="1111"/>
      <c r="M222" s="6"/>
      <c r="N222" s="1050">
        <f t="shared" si="124"/>
        <v>4.8611062500000006</v>
      </c>
      <c r="O222" s="1051"/>
      <c r="P222" s="6"/>
      <c r="Q222" s="1048">
        <f t="shared" si="125"/>
        <v>1.0645875</v>
      </c>
      <c r="R222" s="1049"/>
      <c r="U222" s="342">
        <f>+AE184+U184+K184+AO163+AE163+U163+K163</f>
        <v>0</v>
      </c>
      <c r="V222" s="343">
        <v>48</v>
      </c>
      <c r="W222" s="344">
        <f t="shared" si="127"/>
        <v>48</v>
      </c>
      <c r="X222" s="345">
        <f>+J162+T162+AD162+J183+T183+AD183</f>
        <v>0</v>
      </c>
      <c r="Z222" s="372"/>
      <c r="AA222" s="372"/>
      <c r="AB222" s="625"/>
      <c r="AC222" s="625"/>
      <c r="AD222" s="625">
        <v>200</v>
      </c>
      <c r="AE222" s="296"/>
      <c r="AF222" s="1092">
        <f>+AD222/6</f>
        <v>33.333333333333336</v>
      </c>
      <c r="AG222" s="1092"/>
      <c r="AH222" s="1092"/>
      <c r="AI222" s="626"/>
      <c r="AJ222" s="626"/>
      <c r="AK222" s="626"/>
      <c r="AL222" s="626"/>
      <c r="AM222" s="626"/>
      <c r="AN222" s="626"/>
      <c r="AO222" s="626"/>
      <c r="AP222" s="626"/>
      <c r="AQ222" s="626"/>
      <c r="AR222" s="626"/>
      <c r="AS222" s="296"/>
      <c r="AT222" s="296"/>
    </row>
    <row r="223" spans="1:46" ht="16.5">
      <c r="A223" s="366"/>
      <c r="B223" s="483" t="s">
        <v>104</v>
      </c>
      <c r="C223" s="1093">
        <v>100</v>
      </c>
      <c r="D223" s="1094"/>
      <c r="E223" s="1095">
        <f t="shared" si="129"/>
        <v>14.285714285714286</v>
      </c>
      <c r="F223" s="1096"/>
      <c r="G223" s="1097">
        <f>+C223/6</f>
        <v>16.666666666666668</v>
      </c>
      <c r="H223" s="1098"/>
      <c r="I223" s="1099">
        <f>+E223/8/6*7</f>
        <v>2.0833333333333335</v>
      </c>
      <c r="J223" s="1100"/>
      <c r="K223" s="1101">
        <f>+G223*30</f>
        <v>500.00000000000006</v>
      </c>
      <c r="L223" s="1101"/>
      <c r="M223" s="6"/>
      <c r="N223" s="1035">
        <f t="shared" si="124"/>
        <v>2.4305555555555558</v>
      </c>
      <c r="O223" s="1035"/>
      <c r="P223" s="6"/>
      <c r="Q223" s="1102">
        <f t="shared" si="125"/>
        <v>3.1479166666666667</v>
      </c>
      <c r="R223" s="1103"/>
      <c r="U223" s="342">
        <f>+AE183+U183+K183+AO162+AE162+U162+K162</f>
        <v>0</v>
      </c>
      <c r="V223" s="343">
        <v>48</v>
      </c>
      <c r="W223" s="344">
        <f t="shared" si="127"/>
        <v>48</v>
      </c>
      <c r="X223" s="345">
        <f>+J162+T162+AD162+J183+T183+AD183</f>
        <v>0</v>
      </c>
      <c r="Y223" s="367"/>
      <c r="Z223" s="625"/>
      <c r="AA223" s="625"/>
      <c r="AB223" s="625"/>
      <c r="AC223" s="625"/>
      <c r="AG223" s="626"/>
      <c r="AH223" s="626"/>
      <c r="AI223" s="296"/>
      <c r="AJ223" s="296"/>
      <c r="AK223" s="624"/>
      <c r="AL223" s="624"/>
      <c r="AM223" s="624"/>
      <c r="AN223" s="624"/>
      <c r="AO223" s="624"/>
      <c r="AP223" s="624"/>
      <c r="AQ223" s="624"/>
      <c r="AR223" s="624"/>
      <c r="AS223" s="296"/>
      <c r="AT223" s="296"/>
    </row>
    <row r="224" spans="1:46" ht="16.5">
      <c r="B224" s="375" t="s">
        <v>65</v>
      </c>
      <c r="C224" s="1054">
        <f>6*3+7*(G224)</f>
        <v>548.33330000000001</v>
      </c>
      <c r="D224" s="1055"/>
      <c r="E224" s="1056">
        <f t="shared" si="129"/>
        <v>78.333328571428567</v>
      </c>
      <c r="F224" s="1057"/>
      <c r="G224" s="1058">
        <v>75.761899999999997</v>
      </c>
      <c r="H224" s="1059"/>
      <c r="I224" s="1060">
        <f>+E224/8</f>
        <v>9.7916660714285708</v>
      </c>
      <c r="J224" s="1061"/>
      <c r="K224" s="1062">
        <f>+E224*30</f>
        <v>2349.9998571428569</v>
      </c>
      <c r="L224" s="1063"/>
      <c r="M224" s="6"/>
      <c r="N224" s="1035">
        <f t="shared" si="124"/>
        <v>11.423610416666666</v>
      </c>
      <c r="O224" s="1035"/>
      <c r="P224" s="6"/>
      <c r="Q224" s="1048">
        <f t="shared" si="125"/>
        <v>-4.5604160714285706</v>
      </c>
      <c r="R224" s="1049"/>
      <c r="U224" s="342">
        <f>+AE187+U187+K187+AO166+AE166+U166+K166</f>
        <v>0</v>
      </c>
      <c r="V224" s="343">
        <v>48</v>
      </c>
      <c r="W224" s="344">
        <f t="shared" si="127"/>
        <v>48</v>
      </c>
      <c r="X224" s="345">
        <f>+J166+T166+AD166+J187+T187+AD187</f>
        <v>0</v>
      </c>
      <c r="Z224" s="372"/>
      <c r="AA224" s="372"/>
      <c r="AB224" s="625"/>
      <c r="AC224" s="625"/>
      <c r="AD224" s="625"/>
      <c r="AE224" s="296"/>
      <c r="AF224" s="296"/>
      <c r="AG224" s="626"/>
      <c r="AH224" s="626"/>
      <c r="AI224" s="626"/>
      <c r="AJ224" s="626"/>
      <c r="AK224" s="626"/>
      <c r="AL224" s="626"/>
      <c r="AM224" s="626"/>
      <c r="AN224" s="626"/>
      <c r="AO224" s="626"/>
      <c r="AP224" s="626"/>
      <c r="AQ224" s="296"/>
      <c r="AR224" s="296"/>
      <c r="AS224" s="296"/>
      <c r="AT224" s="296"/>
    </row>
    <row r="225" spans="3:37">
      <c r="AE225" s="376"/>
      <c r="AF225" s="376"/>
      <c r="AJ225" s="376"/>
      <c r="AK225" s="376"/>
    </row>
    <row r="226" spans="3:37" ht="15.75" thickBot="1">
      <c r="AE226" s="376"/>
      <c r="AF226" s="376"/>
      <c r="AJ226" s="376"/>
      <c r="AK226" s="376"/>
    </row>
    <row r="227" spans="3:37">
      <c r="C227" s="484"/>
      <c r="D227" s="485"/>
      <c r="E227" s="486"/>
      <c r="F227" s="487"/>
      <c r="G227" s="485"/>
      <c r="H227" s="485"/>
      <c r="I227" s="487"/>
      <c r="J227" s="485"/>
      <c r="K227" s="488"/>
      <c r="L227" s="488"/>
      <c r="M227" s="485"/>
      <c r="N227" s="485"/>
      <c r="O227" s="485"/>
      <c r="P227" s="485"/>
      <c r="Q227" s="485"/>
      <c r="R227" s="485"/>
      <c r="S227" s="485"/>
      <c r="T227" s="485"/>
      <c r="U227" s="485"/>
      <c r="V227" s="485"/>
      <c r="W227" s="485"/>
      <c r="X227" s="485"/>
      <c r="Y227" s="485"/>
      <c r="Z227" s="485"/>
      <c r="AA227" s="489"/>
      <c r="AB227" s="489"/>
      <c r="AC227" s="489"/>
      <c r="AD227" s="489"/>
      <c r="AE227" s="490"/>
      <c r="AF227" s="490"/>
      <c r="AG227" s="491"/>
      <c r="AJ227" s="376"/>
      <c r="AK227" s="376"/>
    </row>
    <row r="228" spans="3:37" ht="18">
      <c r="C228" s="492"/>
      <c r="D228" s="333"/>
      <c r="E228" s="493" t="s">
        <v>105</v>
      </c>
      <c r="F228" s="411"/>
      <c r="G228" s="333"/>
      <c r="H228" s="333"/>
      <c r="I228" s="411"/>
      <c r="J228" s="333"/>
      <c r="K228" s="405"/>
      <c r="L228" s="405"/>
      <c r="M228" s="333"/>
      <c r="N228" s="333"/>
      <c r="O228" s="333"/>
      <c r="P228" s="333"/>
      <c r="Q228" s="333"/>
      <c r="R228" s="333"/>
      <c r="S228" s="333"/>
      <c r="T228" s="333"/>
      <c r="U228" s="333"/>
      <c r="V228" s="333"/>
      <c r="W228" s="333"/>
      <c r="X228" s="333"/>
      <c r="Y228" s="333"/>
      <c r="Z228" s="333"/>
      <c r="AA228" s="167"/>
      <c r="AB228" s="167"/>
      <c r="AC228" s="167"/>
      <c r="AD228" s="167"/>
      <c r="AE228" s="376"/>
      <c r="AF228" s="376"/>
      <c r="AG228" s="494"/>
      <c r="AJ228" s="376"/>
      <c r="AK228" s="376"/>
    </row>
    <row r="229" spans="3:37">
      <c r="C229" s="492"/>
      <c r="D229" s="333"/>
      <c r="E229" s="410"/>
      <c r="F229" s="411"/>
      <c r="G229" s="333"/>
      <c r="H229" s="333"/>
      <c r="I229" s="411"/>
      <c r="J229" s="333"/>
      <c r="K229" s="405"/>
      <c r="L229" s="405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1112" t="s">
        <v>106</v>
      </c>
      <c r="AB229" s="1113"/>
      <c r="AC229" s="1114"/>
      <c r="AD229" s="1115" t="s">
        <v>107</v>
      </c>
      <c r="AE229" s="1116"/>
      <c r="AF229" s="1117"/>
      <c r="AG229" s="494"/>
      <c r="AH229" s="167"/>
      <c r="AI229" s="167"/>
      <c r="AJ229" s="376"/>
      <c r="AK229" s="376"/>
    </row>
    <row r="230" spans="3:37" ht="16.5" thickBot="1">
      <c r="C230" s="492"/>
      <c r="D230" s="1118" t="s">
        <v>108</v>
      </c>
      <c r="E230" s="1118"/>
      <c r="F230" s="1118"/>
      <c r="G230" s="1118"/>
      <c r="H230" s="1118"/>
      <c r="I230" s="1119" t="s">
        <v>109</v>
      </c>
      <c r="J230" s="1119"/>
      <c r="K230" s="1119"/>
      <c r="L230" s="1120" t="s">
        <v>110</v>
      </c>
      <c r="M230" s="1120"/>
      <c r="N230" s="1120"/>
      <c r="O230" s="1120" t="s">
        <v>111</v>
      </c>
      <c r="P230" s="1120"/>
      <c r="Q230" s="1120"/>
      <c r="R230" s="1121" t="s">
        <v>112</v>
      </c>
      <c r="S230" s="1121"/>
      <c r="T230" s="1121"/>
      <c r="U230" s="1120" t="s">
        <v>113</v>
      </c>
      <c r="V230" s="1120"/>
      <c r="W230" s="1122"/>
      <c r="X230" s="1123" t="s">
        <v>114</v>
      </c>
      <c r="Y230" s="1124"/>
      <c r="Z230" s="1125"/>
      <c r="AA230" s="1126" t="s">
        <v>115</v>
      </c>
      <c r="AB230" s="1126"/>
      <c r="AC230" s="1127"/>
      <c r="AD230" s="1128" t="s">
        <v>116</v>
      </c>
      <c r="AE230" s="1129"/>
      <c r="AF230" s="1130"/>
      <c r="AG230" s="494"/>
      <c r="AH230" s="167"/>
      <c r="AI230" s="167"/>
      <c r="AJ230" s="376"/>
      <c r="AK230" s="376"/>
    </row>
    <row r="231" spans="3:37" ht="19.5" thickTop="1">
      <c r="C231" s="495">
        <v>1</v>
      </c>
      <c r="D231" s="1131" t="s">
        <v>50</v>
      </c>
      <c r="E231" s="1131"/>
      <c r="F231" s="1131"/>
      <c r="G231" s="1131"/>
      <c r="H231" s="1131"/>
      <c r="I231" s="1132">
        <v>30.762</v>
      </c>
      <c r="J231" s="1132"/>
      <c r="K231" s="1132"/>
      <c r="L231" s="1133">
        <v>1</v>
      </c>
      <c r="M231" s="1133"/>
      <c r="N231" s="1133"/>
      <c r="O231" s="1133">
        <v>2</v>
      </c>
      <c r="P231" s="1133"/>
      <c r="Q231" s="1133"/>
      <c r="R231" s="1134">
        <f t="shared" ref="R231:R238" si="130">+I231+L231+O231</f>
        <v>33.762</v>
      </c>
      <c r="S231" s="1134"/>
      <c r="T231" s="1134"/>
      <c r="U231" s="1135">
        <f t="shared" ref="U231:U238" si="131">+I231*7+(L231+O231)*6</f>
        <v>233.334</v>
      </c>
      <c r="V231" s="1135"/>
      <c r="W231" s="1136"/>
      <c r="X231" s="1137">
        <f t="shared" ref="X231:X238" si="132">+U231/7*30</f>
        <v>1000.0028571428571</v>
      </c>
      <c r="Y231" s="1138"/>
      <c r="Z231" s="1139"/>
      <c r="AA231" s="1140">
        <v>31</v>
      </c>
      <c r="AB231" s="1141"/>
      <c r="AC231" s="1141"/>
      <c r="AD231" s="1142">
        <f>+AA231-I231</f>
        <v>0.23799999999999955</v>
      </c>
      <c r="AE231" s="1142"/>
      <c r="AF231" s="1142"/>
      <c r="AG231" s="494"/>
      <c r="AH231" s="167"/>
      <c r="AI231" s="1143">
        <f>+AD231+I231</f>
        <v>31</v>
      </c>
      <c r="AJ231" s="1143"/>
      <c r="AK231" s="1143"/>
    </row>
    <row r="232" spans="3:37" ht="18.75">
      <c r="C232" s="495">
        <v>2</v>
      </c>
      <c r="D232" s="1144" t="s">
        <v>117</v>
      </c>
      <c r="E232" s="1144"/>
      <c r="F232" s="1144"/>
      <c r="G232" s="1144"/>
      <c r="H232" s="1144"/>
      <c r="I232" s="1145">
        <v>25.762</v>
      </c>
      <c r="J232" s="1145"/>
      <c r="K232" s="1145"/>
      <c r="L232" s="1146">
        <v>1</v>
      </c>
      <c r="M232" s="1146"/>
      <c r="N232" s="1146"/>
      <c r="O232" s="1146">
        <v>2</v>
      </c>
      <c r="P232" s="1146"/>
      <c r="Q232" s="1146"/>
      <c r="R232" s="1147">
        <f t="shared" si="130"/>
        <v>28.762</v>
      </c>
      <c r="S232" s="1147"/>
      <c r="T232" s="1147"/>
      <c r="U232" s="1148">
        <f t="shared" si="131"/>
        <v>198.334</v>
      </c>
      <c r="V232" s="1148"/>
      <c r="W232" s="1149"/>
      <c r="X232" s="1150">
        <f t="shared" si="132"/>
        <v>850.00285714285724</v>
      </c>
      <c r="Y232" s="1151"/>
      <c r="Z232" s="1152"/>
      <c r="AA232" s="1153">
        <v>31</v>
      </c>
      <c r="AB232" s="1154"/>
      <c r="AC232" s="1154"/>
      <c r="AD232" s="1143">
        <f>+AA232-I232</f>
        <v>5.2379999999999995</v>
      </c>
      <c r="AE232" s="1143"/>
      <c r="AF232" s="1143"/>
      <c r="AG232" s="494"/>
      <c r="AH232" s="167"/>
      <c r="AI232" s="1142">
        <f>+AD232+I232</f>
        <v>31</v>
      </c>
      <c r="AJ232" s="1142"/>
      <c r="AK232" s="1142"/>
    </row>
    <row r="233" spans="3:37" ht="18.75">
      <c r="C233" s="495">
        <v>3</v>
      </c>
      <c r="D233" s="1144" t="s">
        <v>118</v>
      </c>
      <c r="E233" s="1144"/>
      <c r="F233" s="1144"/>
      <c r="G233" s="1144"/>
      <c r="H233" s="1144"/>
      <c r="I233" s="1145">
        <v>38.5</v>
      </c>
      <c r="J233" s="1145"/>
      <c r="K233" s="1145"/>
      <c r="L233" s="1146">
        <v>1</v>
      </c>
      <c r="M233" s="1146"/>
      <c r="N233" s="1146"/>
      <c r="O233" s="1146">
        <v>2</v>
      </c>
      <c r="P233" s="1146"/>
      <c r="Q233" s="1146"/>
      <c r="R233" s="1147">
        <f t="shared" si="130"/>
        <v>41.5</v>
      </c>
      <c r="S233" s="1147"/>
      <c r="T233" s="1147"/>
      <c r="U233" s="1148">
        <f t="shared" si="131"/>
        <v>287.5</v>
      </c>
      <c r="V233" s="1148"/>
      <c r="W233" s="1149"/>
      <c r="X233" s="1150">
        <f t="shared" si="132"/>
        <v>1232.1428571428571</v>
      </c>
      <c r="Y233" s="1151"/>
      <c r="Z233" s="1152"/>
      <c r="AA233" s="1153">
        <v>31</v>
      </c>
      <c r="AB233" s="1154"/>
      <c r="AC233" s="1154"/>
      <c r="AD233" s="1143">
        <v>0</v>
      </c>
      <c r="AE233" s="1143"/>
      <c r="AF233" s="1143"/>
      <c r="AG233" s="494"/>
      <c r="AH233" s="167"/>
      <c r="AI233" s="167"/>
      <c r="AJ233" s="376"/>
      <c r="AK233" s="376"/>
    </row>
    <row r="234" spans="3:37" ht="18.75">
      <c r="C234" s="495">
        <v>4</v>
      </c>
      <c r="D234" s="1144" t="s">
        <v>119</v>
      </c>
      <c r="E234" s="1144"/>
      <c r="F234" s="1144"/>
      <c r="G234" s="1144"/>
      <c r="H234" s="1144"/>
      <c r="I234" s="1145">
        <v>38.5</v>
      </c>
      <c r="J234" s="1145"/>
      <c r="K234" s="1145"/>
      <c r="L234" s="1146">
        <v>1</v>
      </c>
      <c r="M234" s="1146"/>
      <c r="N234" s="1146"/>
      <c r="O234" s="1146">
        <v>2</v>
      </c>
      <c r="P234" s="1146"/>
      <c r="Q234" s="1146"/>
      <c r="R234" s="1147">
        <f t="shared" si="130"/>
        <v>41.5</v>
      </c>
      <c r="S234" s="1147"/>
      <c r="T234" s="1147"/>
      <c r="U234" s="1148">
        <f t="shared" si="131"/>
        <v>287.5</v>
      </c>
      <c r="V234" s="1148"/>
      <c r="W234" s="1149"/>
      <c r="X234" s="1150">
        <f t="shared" si="132"/>
        <v>1232.1428571428571</v>
      </c>
      <c r="Y234" s="1151"/>
      <c r="Z234" s="1152"/>
      <c r="AA234" s="1153">
        <v>31</v>
      </c>
      <c r="AB234" s="1154"/>
      <c r="AC234" s="1154"/>
      <c r="AD234" s="1143">
        <v>0</v>
      </c>
      <c r="AE234" s="1143"/>
      <c r="AF234" s="1143"/>
      <c r="AG234" s="494"/>
      <c r="AH234" s="167"/>
      <c r="AI234" s="167"/>
      <c r="AJ234" s="376"/>
      <c r="AK234" s="376"/>
    </row>
    <row r="235" spans="3:37" ht="18.75">
      <c r="C235" s="495">
        <v>5</v>
      </c>
      <c r="D235" s="1144" t="s">
        <v>120</v>
      </c>
      <c r="E235" s="1144"/>
      <c r="F235" s="1144"/>
      <c r="G235" s="1144"/>
      <c r="H235" s="1144"/>
      <c r="I235" s="1145">
        <v>38.5</v>
      </c>
      <c r="J235" s="1145"/>
      <c r="K235" s="1145"/>
      <c r="L235" s="1146">
        <v>1</v>
      </c>
      <c r="M235" s="1146"/>
      <c r="N235" s="1146"/>
      <c r="O235" s="1146">
        <v>2</v>
      </c>
      <c r="P235" s="1146"/>
      <c r="Q235" s="1146"/>
      <c r="R235" s="1147">
        <f t="shared" si="130"/>
        <v>41.5</v>
      </c>
      <c r="S235" s="1147"/>
      <c r="T235" s="1147"/>
      <c r="U235" s="1148">
        <f t="shared" si="131"/>
        <v>287.5</v>
      </c>
      <c r="V235" s="1148"/>
      <c r="W235" s="1149"/>
      <c r="X235" s="1150">
        <f t="shared" si="132"/>
        <v>1232.1428571428571</v>
      </c>
      <c r="Y235" s="1151"/>
      <c r="Z235" s="1152"/>
      <c r="AA235" s="1153">
        <v>31</v>
      </c>
      <c r="AB235" s="1154"/>
      <c r="AC235" s="1154"/>
      <c r="AD235" s="1143">
        <v>0</v>
      </c>
      <c r="AE235" s="1143"/>
      <c r="AF235" s="1143"/>
      <c r="AG235" s="494"/>
      <c r="AH235" s="167"/>
      <c r="AI235" s="167"/>
      <c r="AJ235" s="376"/>
      <c r="AK235" s="376"/>
    </row>
    <row r="236" spans="3:37" ht="18.75">
      <c r="C236" s="495">
        <v>6</v>
      </c>
      <c r="D236" s="1144" t="s">
        <v>121</v>
      </c>
      <c r="E236" s="1144"/>
      <c r="F236" s="1144"/>
      <c r="G236" s="1144"/>
      <c r="H236" s="1144"/>
      <c r="I236" s="1145">
        <v>33.799999999999997</v>
      </c>
      <c r="J236" s="1145"/>
      <c r="K236" s="1145"/>
      <c r="L236" s="1146">
        <v>1</v>
      </c>
      <c r="M236" s="1146"/>
      <c r="N236" s="1146"/>
      <c r="O236" s="1146">
        <v>2</v>
      </c>
      <c r="P236" s="1146"/>
      <c r="Q236" s="1146"/>
      <c r="R236" s="1147">
        <f t="shared" si="130"/>
        <v>36.799999999999997</v>
      </c>
      <c r="S236" s="1147"/>
      <c r="T236" s="1147"/>
      <c r="U236" s="1148">
        <f t="shared" si="131"/>
        <v>254.59999999999997</v>
      </c>
      <c r="V236" s="1148"/>
      <c r="W236" s="1149"/>
      <c r="X236" s="1150">
        <f t="shared" si="132"/>
        <v>1091.1428571428569</v>
      </c>
      <c r="Y236" s="1151"/>
      <c r="Z236" s="1152"/>
      <c r="AA236" s="1153">
        <v>31</v>
      </c>
      <c r="AB236" s="1154"/>
      <c r="AC236" s="1154"/>
      <c r="AD236" s="1143">
        <v>0</v>
      </c>
      <c r="AE236" s="1143"/>
      <c r="AF236" s="1143"/>
      <c r="AG236" s="494"/>
      <c r="AH236" s="167"/>
      <c r="AI236" s="167"/>
      <c r="AJ236" s="376"/>
      <c r="AK236" s="376"/>
    </row>
    <row r="237" spans="3:37" ht="18.75">
      <c r="C237" s="495">
        <v>7</v>
      </c>
      <c r="D237" s="1144" t="s">
        <v>122</v>
      </c>
      <c r="E237" s="1144"/>
      <c r="F237" s="1144"/>
      <c r="G237" s="1144"/>
      <c r="H237" s="1144"/>
      <c r="I237" s="1145">
        <v>38.5</v>
      </c>
      <c r="J237" s="1145"/>
      <c r="K237" s="1145"/>
      <c r="L237" s="1146">
        <v>1</v>
      </c>
      <c r="M237" s="1146"/>
      <c r="N237" s="1146"/>
      <c r="O237" s="1146">
        <v>2</v>
      </c>
      <c r="P237" s="1146"/>
      <c r="Q237" s="1146"/>
      <c r="R237" s="1147">
        <f t="shared" si="130"/>
        <v>41.5</v>
      </c>
      <c r="S237" s="1147"/>
      <c r="T237" s="1147"/>
      <c r="U237" s="1148">
        <f t="shared" si="131"/>
        <v>287.5</v>
      </c>
      <c r="V237" s="1148"/>
      <c r="W237" s="1149"/>
      <c r="X237" s="1150">
        <f t="shared" si="132"/>
        <v>1232.1428571428571</v>
      </c>
      <c r="Y237" s="1151"/>
      <c r="Z237" s="1152"/>
      <c r="AA237" s="1153">
        <v>31</v>
      </c>
      <c r="AB237" s="1154"/>
      <c r="AC237" s="1154"/>
      <c r="AD237" s="1143">
        <v>0</v>
      </c>
      <c r="AE237" s="1143"/>
      <c r="AF237" s="1143"/>
      <c r="AG237" s="494"/>
      <c r="AH237" s="167"/>
      <c r="AI237" s="167"/>
      <c r="AJ237" s="376"/>
      <c r="AK237" s="376"/>
    </row>
    <row r="238" spans="3:37" ht="18.75">
      <c r="C238" s="495">
        <v>8</v>
      </c>
      <c r="D238" s="1144" t="s">
        <v>66</v>
      </c>
      <c r="E238" s="1144"/>
      <c r="F238" s="1144"/>
      <c r="G238" s="1144"/>
      <c r="H238" s="1144"/>
      <c r="I238" s="1145">
        <v>34.095199999999998</v>
      </c>
      <c r="J238" s="1145"/>
      <c r="K238" s="1145"/>
      <c r="L238" s="1146">
        <v>1</v>
      </c>
      <c r="M238" s="1146"/>
      <c r="N238" s="1146"/>
      <c r="O238" s="1146">
        <v>2</v>
      </c>
      <c r="P238" s="1146"/>
      <c r="Q238" s="1146"/>
      <c r="R238" s="1147">
        <f t="shared" si="130"/>
        <v>37.095199999999998</v>
      </c>
      <c r="S238" s="1147"/>
      <c r="T238" s="1147"/>
      <c r="U238" s="1148">
        <f t="shared" si="131"/>
        <v>256.66639999999995</v>
      </c>
      <c r="V238" s="1148"/>
      <c r="W238" s="1149"/>
      <c r="X238" s="1150">
        <f t="shared" si="132"/>
        <v>1099.9988571428571</v>
      </c>
      <c r="Y238" s="1151"/>
      <c r="Z238" s="1152"/>
      <c r="AA238" s="1153">
        <v>31</v>
      </c>
      <c r="AB238" s="1154"/>
      <c r="AC238" s="1154"/>
      <c r="AD238" s="1143">
        <v>0</v>
      </c>
      <c r="AE238" s="1143"/>
      <c r="AF238" s="1143"/>
      <c r="AG238" s="494"/>
      <c r="AH238" s="167"/>
      <c r="AI238" s="167"/>
      <c r="AJ238" s="376"/>
      <c r="AK238" s="376"/>
    </row>
    <row r="239" spans="3:37" ht="17.25">
      <c r="C239" s="495">
        <v>9</v>
      </c>
      <c r="D239" s="1144"/>
      <c r="E239" s="1144"/>
      <c r="F239" s="1144"/>
      <c r="G239" s="1144"/>
      <c r="H239" s="1144"/>
      <c r="I239" s="1165"/>
      <c r="J239" s="1165"/>
      <c r="K239" s="1165"/>
      <c r="L239" s="1146"/>
      <c r="M239" s="1146"/>
      <c r="N239" s="1146"/>
      <c r="O239" s="1146"/>
      <c r="P239" s="1146"/>
      <c r="Q239" s="1146"/>
      <c r="R239" s="1160"/>
      <c r="S239" s="1160"/>
      <c r="T239" s="1160"/>
      <c r="U239" s="1148"/>
      <c r="V239" s="1148"/>
      <c r="W239" s="1149"/>
      <c r="X239" s="1150"/>
      <c r="Y239" s="1151"/>
      <c r="Z239" s="1152"/>
      <c r="AA239" s="1153"/>
      <c r="AB239" s="1154"/>
      <c r="AC239" s="1154"/>
      <c r="AD239" s="1143"/>
      <c r="AE239" s="1143"/>
      <c r="AF239" s="1143"/>
      <c r="AG239" s="494"/>
      <c r="AH239" s="167"/>
      <c r="AI239" s="167"/>
      <c r="AJ239" s="376"/>
      <c r="AK239" s="376"/>
    </row>
    <row r="240" spans="3:37" ht="17.25">
      <c r="C240" s="492"/>
      <c r="D240" s="409"/>
      <c r="E240" s="410"/>
      <c r="F240" s="411"/>
      <c r="G240" s="333"/>
      <c r="H240" s="333"/>
      <c r="I240" s="411"/>
      <c r="J240" s="333"/>
      <c r="K240" s="405"/>
      <c r="L240" s="405"/>
      <c r="M240" s="333"/>
      <c r="N240" s="333"/>
      <c r="O240" s="333"/>
      <c r="P240" s="333"/>
      <c r="Q240" s="333"/>
      <c r="R240" s="333"/>
      <c r="S240" s="1160" t="s">
        <v>23</v>
      </c>
      <c r="T240" s="1160"/>
      <c r="U240" s="1160"/>
      <c r="V240" s="333"/>
      <c r="W240" s="333"/>
      <c r="X240" s="1161">
        <f>SUM(X231:Z239)</f>
        <v>8969.718857142856</v>
      </c>
      <c r="Y240" s="1162"/>
      <c r="Z240" s="1163"/>
      <c r="AA240" s="496"/>
      <c r="AB240" s="496"/>
      <c r="AC240" s="496"/>
      <c r="AD240" s="1164">
        <f>SUM(AD231:AF239)</f>
        <v>5.4759999999999991</v>
      </c>
      <c r="AE240" s="1164"/>
      <c r="AF240" s="1164"/>
      <c r="AG240" s="494"/>
      <c r="AH240" s="167"/>
      <c r="AI240" s="167"/>
      <c r="AJ240" s="376"/>
      <c r="AK240" s="376"/>
    </row>
    <row r="241" spans="2:46" ht="15.75" thickBot="1">
      <c r="C241" s="492"/>
      <c r="D241" s="1155">
        <v>28.333300000000001</v>
      </c>
      <c r="E241" s="1155"/>
      <c r="F241" s="1155"/>
      <c r="G241" s="497" t="s">
        <v>123</v>
      </c>
      <c r="H241" s="333"/>
      <c r="I241" s="411"/>
      <c r="J241" s="333"/>
      <c r="K241" s="405"/>
      <c r="L241" s="405"/>
      <c r="M241" s="333"/>
      <c r="N241" s="333"/>
      <c r="O241" s="333"/>
      <c r="P241" s="333"/>
      <c r="Q241" s="333"/>
      <c r="R241" s="333"/>
      <c r="S241" s="333"/>
      <c r="T241" s="333"/>
      <c r="U241" s="333"/>
      <c r="V241" s="333"/>
      <c r="W241" s="333"/>
      <c r="X241" s="333"/>
      <c r="Y241" s="333"/>
      <c r="Z241" s="333"/>
      <c r="AA241" s="167"/>
      <c r="AB241" s="167"/>
      <c r="AC241" s="167"/>
      <c r="AD241" s="167"/>
      <c r="AE241" s="376"/>
      <c r="AF241" s="376"/>
      <c r="AG241" s="494"/>
      <c r="AH241" s="167"/>
      <c r="AI241" s="167"/>
      <c r="AJ241" s="376"/>
      <c r="AK241" s="376"/>
    </row>
    <row r="242" spans="2:46" ht="15.75" thickBot="1">
      <c r="C242" s="492"/>
      <c r="D242" s="1155">
        <v>31</v>
      </c>
      <c r="E242" s="1155"/>
      <c r="F242" s="1155"/>
      <c r="G242" s="497" t="s">
        <v>124</v>
      </c>
      <c r="H242" s="333"/>
      <c r="I242" s="411"/>
      <c r="J242" s="333"/>
      <c r="K242" s="405"/>
      <c r="L242" s="405"/>
      <c r="M242" s="1155">
        <f>+D242-D241</f>
        <v>2.6666999999999987</v>
      </c>
      <c r="N242" s="1155"/>
      <c r="O242" s="1155"/>
      <c r="P242" s="498" t="s">
        <v>125</v>
      </c>
      <c r="Q242" s="333"/>
      <c r="R242" s="333"/>
      <c r="S242" s="333"/>
      <c r="T242" s="499"/>
      <c r="U242" s="333"/>
      <c r="V242" s="333"/>
      <c r="W242" s="499" t="s">
        <v>126</v>
      </c>
      <c r="X242" s="333"/>
      <c r="Y242" s="333"/>
      <c r="Z242" s="333"/>
      <c r="AA242" s="167"/>
      <c r="AB242" s="167"/>
      <c r="AC242" s="167"/>
      <c r="AD242" s="1156">
        <f>+AD240</f>
        <v>5.4759999999999991</v>
      </c>
      <c r="AE242" s="1157"/>
      <c r="AF242" s="1158"/>
      <c r="AG242" s="494"/>
      <c r="AH242" s="167"/>
      <c r="AI242" s="167"/>
      <c r="AJ242" s="376"/>
      <c r="AK242" s="376"/>
    </row>
    <row r="243" spans="2:46" ht="15.75" thickBot="1">
      <c r="C243" s="500"/>
      <c r="D243" s="501"/>
      <c r="E243" s="502"/>
      <c r="F243" s="503"/>
      <c r="G243" s="501"/>
      <c r="H243" s="501"/>
      <c r="I243" s="503"/>
      <c r="J243" s="501"/>
      <c r="K243" s="504"/>
      <c r="L243" s="504"/>
      <c r="M243" s="501"/>
      <c r="N243" s="501"/>
      <c r="O243" s="501"/>
      <c r="P243" s="501"/>
      <c r="Q243" s="501"/>
      <c r="R243" s="501"/>
      <c r="S243" s="501"/>
      <c r="T243" s="501"/>
      <c r="U243" s="501"/>
      <c r="V243" s="501"/>
      <c r="W243" s="501"/>
      <c r="X243" s="501"/>
      <c r="Y243" s="501"/>
      <c r="Z243" s="501"/>
      <c r="AA243" s="505"/>
      <c r="AB243" s="505"/>
      <c r="AC243" s="505"/>
      <c r="AD243" s="506"/>
      <c r="AE243" s="506"/>
      <c r="AF243" s="506"/>
      <c r="AG243" s="507"/>
      <c r="AH243" s="167"/>
      <c r="AI243" s="167"/>
      <c r="AJ243" s="376"/>
      <c r="AK243" s="376"/>
    </row>
    <row r="244" spans="2:46">
      <c r="AG244" s="267"/>
      <c r="AH244" s="267"/>
      <c r="AI244" s="267"/>
      <c r="AJ244" s="267"/>
      <c r="AK244" s="267"/>
      <c r="AL244" s="267"/>
      <c r="AM244" s="267"/>
      <c r="AN244" s="267"/>
      <c r="AO244" s="267"/>
    </row>
    <row r="245" spans="2:46" ht="15.75" thickBot="1">
      <c r="AG245" s="267"/>
      <c r="AH245" s="267"/>
      <c r="AI245" s="267"/>
      <c r="AJ245" s="267"/>
      <c r="AK245" s="267"/>
      <c r="AL245" s="267"/>
      <c r="AM245" s="267"/>
      <c r="AN245" s="267"/>
      <c r="AO245" s="267"/>
    </row>
    <row r="246" spans="2:46" ht="16.5" thickBot="1">
      <c r="B246" s="508">
        <v>850</v>
      </c>
      <c r="C246" s="509" t="s">
        <v>67</v>
      </c>
      <c r="D246" s="510"/>
      <c r="E246" s="511" t="s">
        <v>49</v>
      </c>
      <c r="F246" s="512"/>
      <c r="G246" s="510"/>
      <c r="H246" s="510"/>
      <c r="I246" s="512"/>
      <c r="J246" s="510"/>
      <c r="K246" s="512"/>
      <c r="L246" s="512"/>
      <c r="M246" s="510"/>
      <c r="N246" s="510"/>
      <c r="O246" s="510"/>
      <c r="P246" s="510"/>
      <c r="Q246" s="510"/>
      <c r="R246" s="510"/>
      <c r="S246" s="510"/>
      <c r="T246" s="510"/>
      <c r="U246" s="510"/>
      <c r="V246" s="510"/>
      <c r="W246" s="510"/>
      <c r="X246" s="510"/>
      <c r="Y246" s="510"/>
      <c r="Z246" s="510"/>
      <c r="AA246" s="513"/>
      <c r="AB246" s="513"/>
      <c r="AC246" s="514"/>
      <c r="AD246" s="296"/>
      <c r="AE246" s="296"/>
      <c r="AF246" s="296"/>
      <c r="AG246" s="296"/>
      <c r="AH246" s="296"/>
      <c r="AI246" s="296"/>
      <c r="AJ246" s="296"/>
      <c r="AK246" s="296"/>
      <c r="AL246" s="296"/>
      <c r="AM246" s="296"/>
      <c r="AN246" s="296"/>
      <c r="AO246" s="296"/>
      <c r="AP246" s="267"/>
      <c r="AQ246" s="267"/>
      <c r="AR246" s="267"/>
      <c r="AS246" s="267"/>
      <c r="AT246" s="267"/>
    </row>
    <row r="247" spans="2:46" ht="15.75">
      <c r="B247" s="515">
        <f>+B246/30*7</f>
        <v>198.33333333333331</v>
      </c>
      <c r="C247" s="516" t="s">
        <v>68</v>
      </c>
      <c r="D247" s="517"/>
      <c r="E247" s="518"/>
      <c r="F247" s="519"/>
      <c r="G247" s="518"/>
      <c r="H247" s="518"/>
      <c r="I247" s="519"/>
      <c r="J247" s="518"/>
      <c r="K247" s="519"/>
      <c r="L247" s="519"/>
      <c r="M247" s="518"/>
      <c r="N247" s="518"/>
      <c r="O247" s="1159" t="s">
        <v>127</v>
      </c>
      <c r="P247" s="1159"/>
      <c r="Q247" s="1159"/>
      <c r="R247" s="1159"/>
      <c r="S247" s="1159"/>
      <c r="T247" s="1159"/>
      <c r="U247" s="1159"/>
      <c r="V247" s="1159"/>
      <c r="W247" s="1159"/>
      <c r="X247" s="1159"/>
      <c r="Y247" s="1159"/>
      <c r="Z247" s="1159"/>
      <c r="AA247" s="520"/>
      <c r="AB247" s="520"/>
      <c r="AC247" s="521"/>
      <c r="AD247" s="296"/>
      <c r="AE247" s="626"/>
      <c r="AF247" s="626"/>
      <c r="AG247" s="296"/>
      <c r="AH247" s="296"/>
      <c r="AI247" s="296"/>
      <c r="AJ247" s="626"/>
      <c r="AK247" s="626"/>
      <c r="AL247" s="296"/>
      <c r="AM247" s="296"/>
      <c r="AN247" s="296"/>
      <c r="AO247" s="296"/>
      <c r="AP247" s="267"/>
      <c r="AQ247" s="267"/>
      <c r="AR247" s="267"/>
      <c r="AS247" s="267"/>
      <c r="AT247" s="267"/>
    </row>
    <row r="248" spans="2:46">
      <c r="B248" s="515">
        <f>+B247-18</f>
        <v>180.33333333333331</v>
      </c>
      <c r="C248" s="516" t="s">
        <v>70</v>
      </c>
      <c r="D248" s="518"/>
      <c r="E248" s="518"/>
      <c r="F248" s="519"/>
      <c r="G248" s="518"/>
      <c r="H248" s="518"/>
      <c r="I248" s="519"/>
      <c r="J248" s="518"/>
      <c r="K248" s="519"/>
      <c r="L248" s="519"/>
      <c r="M248" s="518"/>
      <c r="N248" s="518"/>
      <c r="O248" s="1159">
        <f>+B246</f>
        <v>850</v>
      </c>
      <c r="P248" s="1159"/>
      <c r="Q248" s="1159" t="s">
        <v>71</v>
      </c>
      <c r="R248" s="1159"/>
      <c r="S248" s="1159"/>
      <c r="T248" s="1159"/>
      <c r="U248" s="1159"/>
      <c r="V248" s="1159"/>
      <c r="W248" s="1159"/>
      <c r="X248" s="1159"/>
      <c r="Y248" s="1159"/>
      <c r="Z248" s="1159"/>
      <c r="AA248" s="520" t="s">
        <v>72</v>
      </c>
      <c r="AB248" s="520"/>
      <c r="AC248" s="521"/>
      <c r="AD248" s="296"/>
      <c r="AE248" s="626"/>
      <c r="AF248" s="626"/>
      <c r="AG248" s="296"/>
      <c r="AH248" s="296"/>
      <c r="AI248" s="296"/>
      <c r="AJ248" s="626"/>
      <c r="AK248" s="626"/>
      <c r="AL248" s="296"/>
      <c r="AM248" s="296"/>
      <c r="AN248" s="296"/>
      <c r="AO248" s="296"/>
      <c r="AP248" s="267"/>
      <c r="AQ248" s="267"/>
      <c r="AR248" s="267"/>
      <c r="AS248" s="267"/>
      <c r="AT248" s="267"/>
    </row>
    <row r="249" spans="2:46">
      <c r="B249" s="522">
        <f>+B248/7</f>
        <v>25.761904761904759</v>
      </c>
      <c r="C249" s="523" t="s">
        <v>73</v>
      </c>
      <c r="D249" s="524"/>
      <c r="E249" s="518"/>
      <c r="F249" s="519"/>
      <c r="G249" s="518"/>
      <c r="H249" s="518"/>
      <c r="I249" s="519"/>
      <c r="J249" s="518"/>
      <c r="K249" s="519"/>
      <c r="L249" s="519"/>
      <c r="M249" s="518"/>
      <c r="N249" s="518"/>
      <c r="O249" s="1159">
        <f>+O248/30*7</f>
        <v>198.33333333333331</v>
      </c>
      <c r="P249" s="1159"/>
      <c r="Q249" s="1159" t="s">
        <v>74</v>
      </c>
      <c r="R249" s="1159"/>
      <c r="S249" s="1159"/>
      <c r="T249" s="1159"/>
      <c r="U249" s="1159"/>
      <c r="V249" s="1159"/>
      <c r="W249" s="1159"/>
      <c r="X249" s="1159"/>
      <c r="Y249" s="1159"/>
      <c r="Z249" s="1159"/>
      <c r="AA249" s="1166">
        <f>+O249*0.87</f>
        <v>172.54999999999998</v>
      </c>
      <c r="AB249" s="1166"/>
      <c r="AC249" s="521"/>
      <c r="AD249" s="296"/>
      <c r="AE249" s="384"/>
      <c r="AF249" s="384"/>
      <c r="AG249" s="296"/>
      <c r="AH249" s="296"/>
      <c r="AI249" s="296"/>
      <c r="AJ249" s="384"/>
      <c r="AK249" s="384"/>
      <c r="AL249" s="385"/>
      <c r="AM249" s="385"/>
      <c r="AN249" s="385"/>
      <c r="AO249" s="385"/>
      <c r="AP249" s="386"/>
      <c r="AQ249" s="386"/>
      <c r="AR249" s="267"/>
      <c r="AS249" s="267"/>
      <c r="AT249" s="267"/>
    </row>
    <row r="250" spans="2:46">
      <c r="B250" s="525"/>
      <c r="C250" s="518"/>
      <c r="D250" s="518"/>
      <c r="E250" s="518"/>
      <c r="F250" s="519"/>
      <c r="G250" s="518"/>
      <c r="H250" s="518"/>
      <c r="I250" s="519"/>
      <c r="J250" s="518"/>
      <c r="K250" s="519"/>
      <c r="L250" s="519"/>
      <c r="M250" s="518"/>
      <c r="N250" s="518"/>
      <c r="O250" s="1159">
        <f>+O249/7</f>
        <v>28.333333333333332</v>
      </c>
      <c r="P250" s="1159"/>
      <c r="Q250" s="1159" t="s">
        <v>75</v>
      </c>
      <c r="R250" s="1159"/>
      <c r="S250" s="1159"/>
      <c r="T250" s="1159"/>
      <c r="U250" s="1159"/>
      <c r="V250" s="1159"/>
      <c r="W250" s="1159"/>
      <c r="X250" s="1159"/>
      <c r="Y250" s="1159"/>
      <c r="Z250" s="1159"/>
      <c r="AA250" s="520"/>
      <c r="AB250" s="520"/>
      <c r="AC250" s="521"/>
      <c r="AD250" s="296"/>
      <c r="AE250" s="626"/>
      <c r="AF250" s="626"/>
      <c r="AG250" s="296"/>
      <c r="AH250" s="296"/>
      <c r="AI250" s="296"/>
      <c r="AJ250" s="626"/>
      <c r="AK250" s="626"/>
      <c r="AL250" s="387"/>
      <c r="AM250" s="387"/>
      <c r="AN250" s="385"/>
      <c r="AO250" s="385"/>
      <c r="AP250" s="386"/>
      <c r="AQ250" s="386"/>
      <c r="AR250" s="267"/>
      <c r="AS250" s="267"/>
      <c r="AT250" s="267"/>
    </row>
    <row r="251" spans="2:46" ht="15.75">
      <c r="B251" s="526">
        <f>+B249</f>
        <v>25.761904761904759</v>
      </c>
      <c r="C251" s="527" t="s">
        <v>128</v>
      </c>
      <c r="D251" s="528"/>
      <c r="E251" s="528"/>
      <c r="F251" s="528"/>
      <c r="G251" s="518"/>
      <c r="H251" s="518"/>
      <c r="I251" s="519"/>
      <c r="J251" s="518"/>
      <c r="K251" s="519"/>
      <c r="L251" s="519"/>
      <c r="M251" s="518"/>
      <c r="N251" s="518"/>
      <c r="O251" s="1159">
        <f>(O249-18)/7</f>
        <v>25.761904761904759</v>
      </c>
      <c r="P251" s="1159"/>
      <c r="Q251" s="1159" t="s">
        <v>77</v>
      </c>
      <c r="R251" s="1159"/>
      <c r="S251" s="1159"/>
      <c r="T251" s="1159"/>
      <c r="U251" s="1159"/>
      <c r="V251" s="1159"/>
      <c r="W251" s="1159"/>
      <c r="X251" s="1159"/>
      <c r="Y251" s="1159"/>
      <c r="Z251" s="1159"/>
      <c r="AA251" s="520"/>
      <c r="AB251" s="520"/>
      <c r="AC251" s="521"/>
      <c r="AD251" s="296"/>
      <c r="AE251" s="391"/>
      <c r="AF251" s="391"/>
      <c r="AG251" s="392"/>
      <c r="AH251" s="392"/>
      <c r="AI251" s="392"/>
      <c r="AJ251" s="391"/>
      <c r="AK251" s="391"/>
      <c r="AL251" s="385"/>
      <c r="AM251" s="385"/>
      <c r="AN251" s="385"/>
      <c r="AO251" s="385"/>
      <c r="AP251" s="386"/>
      <c r="AQ251" s="386"/>
      <c r="AR251" s="267"/>
      <c r="AS251" s="267"/>
      <c r="AT251" s="267"/>
    </row>
    <row r="252" spans="2:46">
      <c r="B252" s="515">
        <v>3</v>
      </c>
      <c r="C252" s="516" t="s">
        <v>78</v>
      </c>
      <c r="D252" s="518"/>
      <c r="E252" s="518"/>
      <c r="F252" s="519"/>
      <c r="G252" s="518"/>
      <c r="H252" s="518"/>
      <c r="I252" s="519"/>
      <c r="J252" s="518"/>
      <c r="K252" s="519"/>
      <c r="L252" s="519"/>
      <c r="M252" s="518"/>
      <c r="N252" s="518"/>
      <c r="O252" s="1159">
        <v>3</v>
      </c>
      <c r="P252" s="1159"/>
      <c r="Q252" s="1159" t="s">
        <v>79</v>
      </c>
      <c r="R252" s="1159"/>
      <c r="S252" s="1159"/>
      <c r="T252" s="1159"/>
      <c r="U252" s="1159"/>
      <c r="V252" s="1159"/>
      <c r="W252" s="1159"/>
      <c r="X252" s="1159"/>
      <c r="Y252" s="1159"/>
      <c r="Z252" s="1159"/>
      <c r="AA252" s="520"/>
      <c r="AB252" s="520"/>
      <c r="AC252" s="521"/>
      <c r="AD252" s="296"/>
      <c r="AE252" s="296"/>
      <c r="AF252" s="996">
        <v>993814365</v>
      </c>
      <c r="AG252" s="996"/>
      <c r="AH252" s="996"/>
      <c r="AI252" s="996"/>
      <c r="AJ252" s="996"/>
      <c r="AK252" s="296"/>
      <c r="AL252" s="385"/>
      <c r="AM252" s="385"/>
      <c r="AN252" s="385"/>
      <c r="AO252" s="385"/>
      <c r="AP252" s="386"/>
      <c r="AQ252" s="386"/>
      <c r="AR252" s="267"/>
      <c r="AS252" s="267"/>
      <c r="AT252" s="267"/>
    </row>
    <row r="253" spans="2:46">
      <c r="B253" s="522">
        <f>+B252+B251</f>
        <v>28.761904761904759</v>
      </c>
      <c r="C253" s="523" t="s">
        <v>80</v>
      </c>
      <c r="D253" s="529"/>
      <c r="E253" s="529"/>
      <c r="F253" s="530"/>
      <c r="G253" s="529"/>
      <c r="H253" s="529"/>
      <c r="I253" s="530"/>
      <c r="J253" s="529"/>
      <c r="K253" s="530"/>
      <c r="L253" s="530"/>
      <c r="M253" s="524"/>
      <c r="N253" s="518"/>
      <c r="O253" s="1159">
        <f>+O252+O251</f>
        <v>28.761904761904759</v>
      </c>
      <c r="P253" s="1159"/>
      <c r="Q253" s="518"/>
      <c r="R253" s="518"/>
      <c r="S253" s="518"/>
      <c r="T253" s="518"/>
      <c r="U253" s="518"/>
      <c r="V253" s="518"/>
      <c r="W253" s="518"/>
      <c r="X253" s="518"/>
      <c r="Y253" s="518"/>
      <c r="Z253" s="518"/>
      <c r="AA253" s="520"/>
      <c r="AB253" s="520"/>
      <c r="AC253" s="521"/>
      <c r="AD253" s="296"/>
      <c r="AE253" s="626"/>
      <c r="AF253" s="626"/>
      <c r="AG253" s="296"/>
      <c r="AH253" s="296"/>
      <c r="AI253" s="296"/>
      <c r="AJ253" s="626"/>
      <c r="AK253" s="626"/>
      <c r="AL253" s="387"/>
      <c r="AM253" s="387"/>
      <c r="AN253" s="387"/>
      <c r="AO253" s="387"/>
      <c r="AP253" s="397"/>
      <c r="AQ253" s="267"/>
      <c r="AR253" s="267"/>
      <c r="AS253" s="267"/>
      <c r="AT253" s="267"/>
    </row>
    <row r="254" spans="2:46">
      <c r="B254" s="515"/>
      <c r="C254" s="518"/>
      <c r="D254" s="518"/>
      <c r="E254" s="518"/>
      <c r="F254" s="519"/>
      <c r="G254" s="518"/>
      <c r="H254" s="518"/>
      <c r="I254" s="519"/>
      <c r="J254" s="518"/>
      <c r="K254" s="519"/>
      <c r="L254" s="519"/>
      <c r="M254" s="518"/>
      <c r="N254" s="518"/>
      <c r="O254" s="518"/>
      <c r="P254" s="518"/>
      <c r="Q254" s="518"/>
      <c r="R254" s="518"/>
      <c r="S254" s="518"/>
      <c r="T254" s="518"/>
      <c r="U254" s="518"/>
      <c r="V254" s="518"/>
      <c r="W254" s="518"/>
      <c r="X254" s="518"/>
      <c r="Y254" s="518"/>
      <c r="Z254" s="518"/>
      <c r="AA254" s="520"/>
      <c r="AB254" s="520"/>
      <c r="AC254" s="521"/>
      <c r="AD254" s="296"/>
      <c r="AE254" s="398"/>
      <c r="AF254" s="398"/>
      <c r="AG254" s="398"/>
      <c r="AH254" s="296"/>
      <c r="AI254" s="296"/>
      <c r="AJ254" s="398"/>
      <c r="AK254" s="398"/>
      <c r="AL254" s="385"/>
      <c r="AM254" s="296"/>
      <c r="AN254" s="296"/>
      <c r="AO254" s="296"/>
      <c r="AP254" s="267"/>
      <c r="AQ254" s="267"/>
      <c r="AR254" s="267"/>
      <c r="AS254" s="267"/>
      <c r="AT254" s="267"/>
    </row>
    <row r="255" spans="2:46">
      <c r="B255" s="515">
        <f>+B253*6</f>
        <v>172.57142857142856</v>
      </c>
      <c r="C255" s="516" t="s">
        <v>81</v>
      </c>
      <c r="D255" s="518"/>
      <c r="E255" s="518"/>
      <c r="F255" s="519"/>
      <c r="G255" s="518"/>
      <c r="H255" s="518"/>
      <c r="I255" s="519"/>
      <c r="J255" s="518"/>
      <c r="K255" s="519"/>
      <c r="L255" s="519"/>
      <c r="M255" s="518"/>
      <c r="N255" s="518"/>
      <c r="O255" s="1159" t="s">
        <v>129</v>
      </c>
      <c r="P255" s="1159"/>
      <c r="Q255" s="1159"/>
      <c r="R255" s="1159"/>
      <c r="S255" s="1159"/>
      <c r="T255" s="1159"/>
      <c r="U255" s="1159"/>
      <c r="V255" s="1159"/>
      <c r="W255" s="1159"/>
      <c r="X255" s="1159"/>
      <c r="Y255" s="1159"/>
      <c r="Z255" s="1159"/>
      <c r="AA255" s="520"/>
      <c r="AB255" s="520"/>
      <c r="AC255" s="521"/>
      <c r="AD255" s="296"/>
      <c r="AE255" s="296"/>
      <c r="AF255" s="296"/>
      <c r="AG255" s="296"/>
      <c r="AH255" s="296"/>
      <c r="AI255" s="385"/>
      <c r="AJ255" s="385"/>
      <c r="AK255" s="387"/>
      <c r="AL255" s="624"/>
      <c r="AM255" s="626"/>
      <c r="AN255" s="624"/>
      <c r="AO255" s="296"/>
      <c r="AP255" s="267"/>
      <c r="AQ255" s="267"/>
      <c r="AR255" s="267"/>
      <c r="AS255" s="267"/>
      <c r="AT255" s="267"/>
    </row>
    <row r="256" spans="2:46">
      <c r="B256" s="531">
        <f>+B251</f>
        <v>25.761904761904759</v>
      </c>
      <c r="C256" s="532" t="s">
        <v>83</v>
      </c>
      <c r="D256" s="533"/>
      <c r="E256" s="533"/>
      <c r="F256" s="534"/>
      <c r="G256" s="533"/>
      <c r="H256" s="533"/>
      <c r="I256" s="534"/>
      <c r="J256" s="533"/>
      <c r="K256" s="534"/>
      <c r="L256" s="519"/>
      <c r="M256" s="518"/>
      <c r="N256" s="518"/>
      <c r="O256" s="1159">
        <f>+O248*1.1</f>
        <v>935.00000000000011</v>
      </c>
      <c r="P256" s="1159"/>
      <c r="Q256" s="1159" t="s">
        <v>71</v>
      </c>
      <c r="R256" s="1159"/>
      <c r="S256" s="1159"/>
      <c r="T256" s="1159"/>
      <c r="U256" s="1159"/>
      <c r="V256" s="1159"/>
      <c r="W256" s="1159"/>
      <c r="X256" s="1159"/>
      <c r="Y256" s="1159"/>
      <c r="Z256" s="1159"/>
      <c r="AA256" s="520" t="s">
        <v>84</v>
      </c>
      <c r="AB256" s="520"/>
      <c r="AC256" s="521"/>
      <c r="AG256" s="267"/>
      <c r="AH256" s="267"/>
      <c r="AI256" s="386"/>
      <c r="AJ256" s="386"/>
      <c r="AK256" s="386"/>
      <c r="AL256" s="267"/>
      <c r="AM256" s="267"/>
      <c r="AN256" s="267"/>
      <c r="AO256" s="267"/>
    </row>
    <row r="257" spans="2:41">
      <c r="B257" s="522">
        <f>+B256+B255</f>
        <v>198.33333333333331</v>
      </c>
      <c r="C257" s="523" t="s">
        <v>85</v>
      </c>
      <c r="D257" s="529"/>
      <c r="E257" s="529"/>
      <c r="F257" s="530"/>
      <c r="G257" s="529"/>
      <c r="H257" s="529"/>
      <c r="I257" s="530"/>
      <c r="J257" s="529"/>
      <c r="K257" s="535"/>
      <c r="L257" s="519"/>
      <c r="M257" s="518"/>
      <c r="N257" s="518"/>
      <c r="O257" s="1159">
        <f>+O256/30*7</f>
        <v>218.16666666666669</v>
      </c>
      <c r="P257" s="1159"/>
      <c r="Q257" s="1159" t="s">
        <v>74</v>
      </c>
      <c r="R257" s="1159"/>
      <c r="S257" s="1159"/>
      <c r="T257" s="1159"/>
      <c r="U257" s="1159"/>
      <c r="V257" s="1159"/>
      <c r="W257" s="1159"/>
      <c r="X257" s="1159"/>
      <c r="Y257" s="1159"/>
      <c r="Z257" s="1159"/>
      <c r="AA257" s="1166">
        <f>+O257*0.87</f>
        <v>189.80500000000001</v>
      </c>
      <c r="AB257" s="1166"/>
      <c r="AC257" s="521"/>
      <c r="AG257" s="267"/>
      <c r="AH257" s="267"/>
      <c r="AI257" s="386"/>
      <c r="AJ257" s="386"/>
      <c r="AK257" s="407"/>
      <c r="AL257" s="267"/>
      <c r="AM257" s="267"/>
      <c r="AN257" s="267"/>
      <c r="AO257" s="267"/>
    </row>
    <row r="258" spans="2:41">
      <c r="B258" s="515"/>
      <c r="C258" s="516"/>
      <c r="D258" s="518"/>
      <c r="E258" s="518"/>
      <c r="F258" s="519"/>
      <c r="G258" s="518"/>
      <c r="H258" s="518"/>
      <c r="I258" s="519"/>
      <c r="J258" s="518"/>
      <c r="K258" s="519"/>
      <c r="L258" s="519"/>
      <c r="M258" s="518"/>
      <c r="N258" s="518"/>
      <c r="O258" s="1159">
        <f>+O257/7</f>
        <v>31.166666666666668</v>
      </c>
      <c r="P258" s="1159"/>
      <c r="Q258" s="1159" t="s">
        <v>75</v>
      </c>
      <c r="R258" s="1159"/>
      <c r="S258" s="1159"/>
      <c r="T258" s="1159"/>
      <c r="U258" s="1159"/>
      <c r="V258" s="1159"/>
      <c r="W258" s="1159"/>
      <c r="X258" s="1159"/>
      <c r="Y258" s="1159"/>
      <c r="Z258" s="1159"/>
      <c r="AA258" s="520"/>
      <c r="AB258" s="520"/>
      <c r="AC258" s="521"/>
      <c r="AG258" s="267"/>
      <c r="AH258" s="267"/>
      <c r="AI258" s="412"/>
      <c r="AJ258" s="413"/>
      <c r="AK258" s="407"/>
      <c r="AL258" s="267"/>
      <c r="AM258" s="267"/>
      <c r="AN258" s="267"/>
      <c r="AO258" s="267"/>
    </row>
    <row r="259" spans="2:41">
      <c r="B259" s="536">
        <f>+B257/7</f>
        <v>28.333333333333332</v>
      </c>
      <c r="C259" s="537" t="s">
        <v>86</v>
      </c>
      <c r="D259" s="518"/>
      <c r="E259" s="518"/>
      <c r="F259" s="519"/>
      <c r="G259" s="518"/>
      <c r="H259" s="518"/>
      <c r="I259" s="519"/>
      <c r="J259" s="518"/>
      <c r="K259" s="519"/>
      <c r="L259" s="519"/>
      <c r="M259" s="518"/>
      <c r="N259" s="518"/>
      <c r="O259" s="1159">
        <f>(O257-18)/7</f>
        <v>28.595238095238098</v>
      </c>
      <c r="P259" s="1159"/>
      <c r="Q259" s="1159" t="s">
        <v>77</v>
      </c>
      <c r="R259" s="1159"/>
      <c r="S259" s="1159"/>
      <c r="T259" s="1159"/>
      <c r="U259" s="1159"/>
      <c r="V259" s="1159"/>
      <c r="W259" s="1159"/>
      <c r="X259" s="1159"/>
      <c r="Y259" s="1159"/>
      <c r="Z259" s="1159"/>
      <c r="AA259" s="520"/>
      <c r="AB259" s="520"/>
      <c r="AC259" s="521"/>
      <c r="AG259" s="267"/>
      <c r="AH259" s="267"/>
      <c r="AI259" s="267"/>
      <c r="AJ259" s="267"/>
      <c r="AK259" s="407"/>
      <c r="AL259" s="267"/>
      <c r="AM259" s="267"/>
      <c r="AN259" s="267"/>
      <c r="AO259" s="267"/>
    </row>
    <row r="260" spans="2:41">
      <c r="B260" s="515"/>
      <c r="C260" s="516"/>
      <c r="D260" s="518"/>
      <c r="E260" s="518"/>
      <c r="F260" s="519"/>
      <c r="G260" s="518"/>
      <c r="H260" s="518"/>
      <c r="I260" s="519"/>
      <c r="J260" s="518"/>
      <c r="K260" s="519"/>
      <c r="L260" s="519"/>
      <c r="M260" s="518"/>
      <c r="N260" s="518"/>
      <c r="O260" s="1159">
        <v>3</v>
      </c>
      <c r="P260" s="1159"/>
      <c r="Q260" s="1159" t="s">
        <v>79</v>
      </c>
      <c r="R260" s="1159"/>
      <c r="S260" s="1159"/>
      <c r="T260" s="1159"/>
      <c r="U260" s="1159"/>
      <c r="V260" s="1159"/>
      <c r="W260" s="1159"/>
      <c r="X260" s="1159"/>
      <c r="Y260" s="1159"/>
      <c r="Z260" s="1159"/>
      <c r="AA260" s="520"/>
      <c r="AB260" s="520"/>
      <c r="AC260" s="521"/>
      <c r="AG260" s="267"/>
      <c r="AH260" s="267"/>
      <c r="AI260" s="267"/>
      <c r="AJ260" s="267"/>
      <c r="AK260" s="267"/>
      <c r="AL260" s="267"/>
      <c r="AM260" s="267"/>
      <c r="AN260" s="267"/>
      <c r="AO260" s="267"/>
    </row>
    <row r="261" spans="2:41" ht="15.75" thickBot="1">
      <c r="B261" s="538"/>
      <c r="C261" s="539"/>
      <c r="D261" s="540"/>
      <c r="E261" s="540"/>
      <c r="F261" s="541"/>
      <c r="G261" s="540"/>
      <c r="H261" s="540"/>
      <c r="I261" s="541"/>
      <c r="J261" s="540"/>
      <c r="K261" s="541"/>
      <c r="L261" s="541"/>
      <c r="M261" s="540"/>
      <c r="N261" s="540"/>
      <c r="O261" s="1167">
        <f>+O260+O259</f>
        <v>31.595238095238098</v>
      </c>
      <c r="P261" s="1167"/>
      <c r="Q261" s="540"/>
      <c r="R261" s="540"/>
      <c r="S261" s="540"/>
      <c r="T261" s="540"/>
      <c r="U261" s="540"/>
      <c r="V261" s="540"/>
      <c r="W261" s="540"/>
      <c r="X261" s="540"/>
      <c r="Y261" s="540"/>
      <c r="Z261" s="540"/>
      <c r="AA261" s="542"/>
      <c r="AB261" s="542"/>
      <c r="AC261" s="543"/>
      <c r="AG261" s="267"/>
      <c r="AH261" s="267"/>
      <c r="AI261" s="267"/>
      <c r="AJ261" s="267"/>
      <c r="AK261" s="267"/>
      <c r="AL261" s="267"/>
      <c r="AM261" s="267"/>
      <c r="AN261" s="267"/>
      <c r="AO261" s="267"/>
    </row>
    <row r="262" spans="2:41">
      <c r="B262" s="168"/>
      <c r="AG262" s="267"/>
      <c r="AH262" s="267"/>
      <c r="AI262" s="267"/>
      <c r="AJ262" s="267"/>
      <c r="AK262" s="267"/>
      <c r="AL262" s="267"/>
      <c r="AM262" s="267"/>
      <c r="AN262" s="267"/>
      <c r="AO262" s="267"/>
    </row>
    <row r="263" spans="2:41" ht="15.75" thickBot="1">
      <c r="AE263" s="376"/>
      <c r="AF263" s="376"/>
      <c r="AJ263" s="376"/>
      <c r="AK263" s="376"/>
    </row>
    <row r="264" spans="2:41">
      <c r="C264" s="484"/>
      <c r="D264" s="485"/>
      <c r="E264" s="486"/>
      <c r="F264" s="487"/>
      <c r="G264" s="485"/>
      <c r="H264" s="485"/>
      <c r="I264" s="487"/>
      <c r="J264" s="485"/>
      <c r="K264" s="488"/>
      <c r="L264" s="488"/>
      <c r="M264" s="485"/>
      <c r="N264" s="485"/>
      <c r="O264" s="485"/>
      <c r="P264" s="485"/>
      <c r="Q264" s="485"/>
      <c r="R264" s="485"/>
      <c r="S264" s="485"/>
      <c r="T264" s="485"/>
      <c r="U264" s="485"/>
      <c r="V264" s="485"/>
      <c r="W264" s="485"/>
      <c r="X264" s="485"/>
      <c r="Y264" s="485"/>
      <c r="Z264" s="485"/>
      <c r="AA264" s="489"/>
      <c r="AB264" s="489"/>
      <c r="AC264" s="489"/>
      <c r="AD264" s="489"/>
      <c r="AE264" s="490"/>
      <c r="AF264" s="490"/>
      <c r="AG264" s="491"/>
      <c r="AJ264" s="376"/>
      <c r="AK264" s="376"/>
    </row>
    <row r="265" spans="2:41" ht="18">
      <c r="C265" s="492"/>
      <c r="D265" s="333"/>
      <c r="E265" s="493" t="s">
        <v>130</v>
      </c>
      <c r="F265" s="411"/>
      <c r="G265" s="333"/>
      <c r="H265" s="333"/>
      <c r="I265" s="411"/>
      <c r="J265" s="333"/>
      <c r="K265" s="405"/>
      <c r="L265" s="405"/>
      <c r="M265" s="333"/>
      <c r="N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  <c r="Z265" s="333"/>
      <c r="AA265" s="167"/>
      <c r="AB265" s="167"/>
      <c r="AC265" s="167"/>
      <c r="AD265" s="167"/>
      <c r="AE265" s="376"/>
      <c r="AF265" s="376"/>
      <c r="AG265" s="494"/>
      <c r="AJ265" s="376"/>
      <c r="AK265" s="376"/>
    </row>
    <row r="266" spans="2:41">
      <c r="C266" s="492"/>
      <c r="D266" s="333"/>
      <c r="E266" s="410"/>
      <c r="F266" s="411"/>
      <c r="G266" s="333"/>
      <c r="H266" s="333"/>
      <c r="I266" s="411"/>
      <c r="J266" s="333"/>
      <c r="K266" s="405"/>
      <c r="L266" s="405"/>
      <c r="M266" s="333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  <c r="AA266" s="1168" t="s">
        <v>106</v>
      </c>
      <c r="AB266" s="1169"/>
      <c r="AC266" s="1170"/>
      <c r="AD266" s="1115" t="s">
        <v>131</v>
      </c>
      <c r="AE266" s="1116"/>
      <c r="AF266" s="1117"/>
      <c r="AG266" s="494"/>
      <c r="AH266" s="167"/>
      <c r="AI266" s="167"/>
      <c r="AJ266" s="376"/>
      <c r="AK266" s="376"/>
    </row>
    <row r="267" spans="2:41" ht="16.5" thickBot="1">
      <c r="C267" s="492"/>
      <c r="D267" s="1118" t="s">
        <v>108</v>
      </c>
      <c r="E267" s="1118"/>
      <c r="F267" s="1118"/>
      <c r="G267" s="1118"/>
      <c r="H267" s="1118"/>
      <c r="I267" s="1119" t="s">
        <v>109</v>
      </c>
      <c r="J267" s="1119"/>
      <c r="K267" s="1119"/>
      <c r="L267" s="1120" t="s">
        <v>110</v>
      </c>
      <c r="M267" s="1120"/>
      <c r="N267" s="1120"/>
      <c r="O267" s="1120" t="s">
        <v>111</v>
      </c>
      <c r="P267" s="1120"/>
      <c r="Q267" s="1120"/>
      <c r="R267" s="1171" t="s">
        <v>132</v>
      </c>
      <c r="S267" s="1171"/>
      <c r="T267" s="1171"/>
      <c r="U267" s="1120" t="s">
        <v>113</v>
      </c>
      <c r="V267" s="1120"/>
      <c r="W267" s="1122"/>
      <c r="X267" s="1123" t="s">
        <v>114</v>
      </c>
      <c r="Y267" s="1124"/>
      <c r="Z267" s="1125"/>
      <c r="AA267" s="1172" t="s">
        <v>133</v>
      </c>
      <c r="AB267" s="1172"/>
      <c r="AC267" s="1173"/>
      <c r="AD267" s="1128" t="s">
        <v>133</v>
      </c>
      <c r="AE267" s="1129"/>
      <c r="AF267" s="1130"/>
      <c r="AG267" s="494"/>
      <c r="AH267" s="167"/>
      <c r="AI267" s="167"/>
      <c r="AJ267" s="376"/>
      <c r="AK267" s="376"/>
    </row>
    <row r="268" spans="2:41" ht="19.5" thickTop="1">
      <c r="C268" s="495">
        <v>1</v>
      </c>
      <c r="D268" s="1131" t="s">
        <v>119</v>
      </c>
      <c r="E268" s="1131"/>
      <c r="F268" s="1131"/>
      <c r="G268" s="1131"/>
      <c r="H268" s="1131"/>
      <c r="I268" s="1174">
        <v>38.5</v>
      </c>
      <c r="J268" s="1174"/>
      <c r="K268" s="1174"/>
      <c r="L268" s="1133">
        <v>1</v>
      </c>
      <c r="M268" s="1133"/>
      <c r="N268" s="1133"/>
      <c r="O268" s="1133">
        <v>2</v>
      </c>
      <c r="P268" s="1133"/>
      <c r="Q268" s="1133"/>
      <c r="R268" s="1175">
        <f t="shared" ref="R268:R274" si="133">+I268+L268+O268</f>
        <v>41.5</v>
      </c>
      <c r="S268" s="1175"/>
      <c r="T268" s="1175"/>
      <c r="U268" s="1135">
        <f t="shared" ref="U268:U274" si="134">+I268*7+(L268+O268)*6</f>
        <v>287.5</v>
      </c>
      <c r="V268" s="1135"/>
      <c r="W268" s="1136"/>
      <c r="X268" s="1137">
        <f t="shared" ref="X268:X274" si="135">+U268/7*30</f>
        <v>1232.1428571428571</v>
      </c>
      <c r="Y268" s="1138"/>
      <c r="Z268" s="1139"/>
      <c r="AA268" s="1176">
        <v>37.571399999999997</v>
      </c>
      <c r="AB268" s="1177"/>
      <c r="AC268" s="1177"/>
      <c r="AD268" s="1178">
        <f t="shared" ref="AD268:AD274" si="136">+AA268*30</f>
        <v>1127.1419999999998</v>
      </c>
      <c r="AE268" s="1178"/>
      <c r="AF268" s="1178"/>
      <c r="AG268" s="494"/>
      <c r="AH268" s="167" t="s">
        <v>134</v>
      </c>
      <c r="AI268" s="1149" t="s">
        <v>135</v>
      </c>
      <c r="AJ268" s="1179"/>
      <c r="AK268" s="1179"/>
      <c r="AL268" s="1179"/>
      <c r="AM268" s="1180"/>
    </row>
    <row r="269" spans="2:41" ht="17.25">
      <c r="C269" s="495">
        <v>2</v>
      </c>
      <c r="D269" s="1144" t="s">
        <v>120</v>
      </c>
      <c r="E269" s="1144"/>
      <c r="F269" s="1144"/>
      <c r="G269" s="1144"/>
      <c r="H269" s="1144"/>
      <c r="I269" s="1165">
        <v>38.5</v>
      </c>
      <c r="J269" s="1165"/>
      <c r="K269" s="1165"/>
      <c r="L269" s="1146">
        <v>1</v>
      </c>
      <c r="M269" s="1146"/>
      <c r="N269" s="1146"/>
      <c r="O269" s="1146">
        <v>2</v>
      </c>
      <c r="P269" s="1146"/>
      <c r="Q269" s="1146"/>
      <c r="R269" s="1160">
        <f t="shared" si="133"/>
        <v>41.5</v>
      </c>
      <c r="S269" s="1160"/>
      <c r="T269" s="1160"/>
      <c r="U269" s="1148">
        <f t="shared" si="134"/>
        <v>287.5</v>
      </c>
      <c r="V269" s="1148"/>
      <c r="W269" s="1149"/>
      <c r="X269" s="1150">
        <f t="shared" si="135"/>
        <v>1232.1428571428571</v>
      </c>
      <c r="Y269" s="1151"/>
      <c r="Z269" s="1152"/>
      <c r="AA269" s="1181">
        <v>35.571399999999997</v>
      </c>
      <c r="AB269" s="1182"/>
      <c r="AC269" s="1182"/>
      <c r="AD269" s="1183">
        <f t="shared" si="136"/>
        <v>1067.1419999999998</v>
      </c>
      <c r="AE269" s="1183"/>
      <c r="AF269" s="1183"/>
      <c r="AG269" s="494"/>
      <c r="AH269" s="167"/>
      <c r="AI269" s="167"/>
      <c r="AJ269" s="376"/>
      <c r="AK269" s="376"/>
    </row>
    <row r="270" spans="2:41" ht="17.25">
      <c r="C270" s="495">
        <v>3</v>
      </c>
      <c r="D270" s="1144" t="s">
        <v>118</v>
      </c>
      <c r="E270" s="1144"/>
      <c r="F270" s="1144"/>
      <c r="G270" s="1144"/>
      <c r="H270" s="1144"/>
      <c r="I270" s="1165">
        <v>38.5</v>
      </c>
      <c r="J270" s="1165"/>
      <c r="K270" s="1165"/>
      <c r="L270" s="1146">
        <v>1</v>
      </c>
      <c r="M270" s="1146"/>
      <c r="N270" s="1146"/>
      <c r="O270" s="1146">
        <v>2</v>
      </c>
      <c r="P270" s="1146"/>
      <c r="Q270" s="1146"/>
      <c r="R270" s="1160">
        <f t="shared" si="133"/>
        <v>41.5</v>
      </c>
      <c r="S270" s="1160"/>
      <c r="T270" s="1160"/>
      <c r="U270" s="1148">
        <f t="shared" si="134"/>
        <v>287.5</v>
      </c>
      <c r="V270" s="1148"/>
      <c r="W270" s="1149"/>
      <c r="X270" s="1150">
        <f t="shared" si="135"/>
        <v>1232.1428571428571</v>
      </c>
      <c r="Y270" s="1151"/>
      <c r="Z270" s="1152"/>
      <c r="AA270" s="1181">
        <v>32.571399999999997</v>
      </c>
      <c r="AB270" s="1182"/>
      <c r="AC270" s="1182"/>
      <c r="AD270" s="1183">
        <f t="shared" si="136"/>
        <v>977.14199999999994</v>
      </c>
      <c r="AE270" s="1183"/>
      <c r="AF270" s="1183"/>
      <c r="AG270" s="494"/>
      <c r="AH270" s="167"/>
      <c r="AI270" s="167"/>
      <c r="AJ270" s="376"/>
      <c r="AK270" s="376"/>
    </row>
    <row r="271" spans="2:41" ht="17.25">
      <c r="C271" s="495">
        <v>4</v>
      </c>
      <c r="D271" s="1144" t="s">
        <v>136</v>
      </c>
      <c r="E271" s="1144"/>
      <c r="F271" s="1144"/>
      <c r="G271" s="1144"/>
      <c r="H271" s="1144"/>
      <c r="I271" s="1165">
        <v>35</v>
      </c>
      <c r="J271" s="1165"/>
      <c r="K271" s="1165"/>
      <c r="L271" s="1146">
        <v>1</v>
      </c>
      <c r="M271" s="1146"/>
      <c r="N271" s="1146"/>
      <c r="O271" s="1146">
        <v>2</v>
      </c>
      <c r="P271" s="1146"/>
      <c r="Q271" s="1146"/>
      <c r="R271" s="1160">
        <f t="shared" si="133"/>
        <v>38</v>
      </c>
      <c r="S271" s="1160"/>
      <c r="T271" s="1160"/>
      <c r="U271" s="1148">
        <f t="shared" si="134"/>
        <v>263</v>
      </c>
      <c r="V271" s="1148"/>
      <c r="W271" s="1149"/>
      <c r="X271" s="1150">
        <f t="shared" si="135"/>
        <v>1127.1428571428571</v>
      </c>
      <c r="Y271" s="1151"/>
      <c r="Z271" s="1152"/>
      <c r="AA271" s="1181">
        <v>35.321399999999997</v>
      </c>
      <c r="AB271" s="1182"/>
      <c r="AC271" s="1182"/>
      <c r="AD271" s="1183">
        <f t="shared" si="136"/>
        <v>1059.6419999999998</v>
      </c>
      <c r="AE271" s="1183"/>
      <c r="AF271" s="1183"/>
      <c r="AG271" s="494"/>
      <c r="AH271" s="167"/>
      <c r="AI271" s="167"/>
      <c r="AJ271" s="376"/>
      <c r="AK271" s="376"/>
    </row>
    <row r="272" spans="2:41" ht="17.25">
      <c r="C272" s="495">
        <v>5</v>
      </c>
      <c r="D272" s="1144" t="s">
        <v>137</v>
      </c>
      <c r="E272" s="1144"/>
      <c r="F272" s="1144"/>
      <c r="G272" s="1144"/>
      <c r="H272" s="1144"/>
      <c r="I272" s="1165">
        <v>33.799999999999997</v>
      </c>
      <c r="J272" s="1165"/>
      <c r="K272" s="1165"/>
      <c r="L272" s="1146">
        <v>1</v>
      </c>
      <c r="M272" s="1146"/>
      <c r="N272" s="1146"/>
      <c r="O272" s="1146">
        <v>2</v>
      </c>
      <c r="P272" s="1146"/>
      <c r="Q272" s="1146"/>
      <c r="R272" s="1160">
        <f t="shared" si="133"/>
        <v>36.799999999999997</v>
      </c>
      <c r="S272" s="1160"/>
      <c r="T272" s="1160"/>
      <c r="U272" s="1148">
        <f t="shared" si="134"/>
        <v>254.59999999999997</v>
      </c>
      <c r="V272" s="1148"/>
      <c r="W272" s="1149"/>
      <c r="X272" s="1150">
        <f t="shared" si="135"/>
        <v>1091.1428571428569</v>
      </c>
      <c r="Y272" s="1151"/>
      <c r="Z272" s="1152"/>
      <c r="AA272" s="1181">
        <v>31.571400000000001</v>
      </c>
      <c r="AB272" s="1182"/>
      <c r="AC272" s="1182"/>
      <c r="AD272" s="1183">
        <f t="shared" si="136"/>
        <v>947.14200000000005</v>
      </c>
      <c r="AE272" s="1183"/>
      <c r="AF272" s="1183"/>
      <c r="AG272" s="494"/>
      <c r="AH272" s="167"/>
      <c r="AI272" s="167"/>
      <c r="AJ272" s="376"/>
      <c r="AK272" s="376"/>
    </row>
    <row r="273" spans="3:41" ht="17.25">
      <c r="C273" s="495">
        <v>6</v>
      </c>
      <c r="D273" s="1144" t="s">
        <v>138</v>
      </c>
      <c r="E273" s="1144"/>
      <c r="F273" s="1144"/>
      <c r="G273" s="1144"/>
      <c r="H273" s="1144"/>
      <c r="I273" s="1165">
        <v>33.799999999999997</v>
      </c>
      <c r="J273" s="1165"/>
      <c r="K273" s="1165"/>
      <c r="L273" s="1146">
        <v>1</v>
      </c>
      <c r="M273" s="1146"/>
      <c r="N273" s="1146"/>
      <c r="O273" s="1146">
        <v>2</v>
      </c>
      <c r="P273" s="1146"/>
      <c r="Q273" s="1146"/>
      <c r="R273" s="1160">
        <f t="shared" si="133"/>
        <v>36.799999999999997</v>
      </c>
      <c r="S273" s="1160"/>
      <c r="T273" s="1160"/>
      <c r="U273" s="1148">
        <f t="shared" si="134"/>
        <v>254.59999999999997</v>
      </c>
      <c r="V273" s="1148"/>
      <c r="W273" s="1149"/>
      <c r="X273" s="1150">
        <f t="shared" si="135"/>
        <v>1091.1428571428569</v>
      </c>
      <c r="Y273" s="1151"/>
      <c r="Z273" s="1152"/>
      <c r="AA273" s="1181">
        <v>33.333300000000001</v>
      </c>
      <c r="AB273" s="1182"/>
      <c r="AC273" s="1182"/>
      <c r="AD273" s="1183">
        <f t="shared" si="136"/>
        <v>999.99900000000002</v>
      </c>
      <c r="AE273" s="1183"/>
      <c r="AF273" s="1183"/>
      <c r="AG273" s="494"/>
      <c r="AH273" s="167"/>
      <c r="AI273" s="167"/>
      <c r="AJ273" s="376"/>
      <c r="AK273" s="376"/>
    </row>
    <row r="274" spans="3:41" ht="17.25">
      <c r="C274" s="495">
        <v>7</v>
      </c>
      <c r="D274" s="1144" t="s">
        <v>139</v>
      </c>
      <c r="E274" s="1144"/>
      <c r="F274" s="1144"/>
      <c r="G274" s="1144"/>
      <c r="H274" s="1144"/>
      <c r="I274" s="1165">
        <v>26</v>
      </c>
      <c r="J274" s="1165"/>
      <c r="K274" s="1165"/>
      <c r="L274" s="1146">
        <v>1</v>
      </c>
      <c r="M274" s="1146"/>
      <c r="N274" s="1146"/>
      <c r="O274" s="1146">
        <v>2</v>
      </c>
      <c r="P274" s="1146"/>
      <c r="Q274" s="1146"/>
      <c r="R274" s="1160">
        <f t="shared" si="133"/>
        <v>29</v>
      </c>
      <c r="S274" s="1160"/>
      <c r="T274" s="1160"/>
      <c r="U274" s="1148">
        <f t="shared" si="134"/>
        <v>200</v>
      </c>
      <c r="V274" s="1148"/>
      <c r="W274" s="1149"/>
      <c r="X274" s="1150">
        <f t="shared" si="135"/>
        <v>857.14285714285722</v>
      </c>
      <c r="Y274" s="1151"/>
      <c r="Z274" s="1152"/>
      <c r="AA274" s="1181">
        <v>25</v>
      </c>
      <c r="AB274" s="1182"/>
      <c r="AC274" s="1182"/>
      <c r="AD274" s="1183">
        <f t="shared" si="136"/>
        <v>750</v>
      </c>
      <c r="AE274" s="1183"/>
      <c r="AF274" s="1183"/>
      <c r="AG274" s="494"/>
      <c r="AH274" s="167"/>
      <c r="AI274" s="167"/>
      <c r="AJ274" s="376"/>
      <c r="AK274" s="376"/>
    </row>
    <row r="275" spans="3:41" ht="17.25">
      <c r="C275" s="492"/>
      <c r="D275" s="409"/>
      <c r="E275" s="410"/>
      <c r="F275" s="411"/>
      <c r="G275" s="333"/>
      <c r="H275" s="333"/>
      <c r="I275" s="411"/>
      <c r="J275" s="333"/>
      <c r="K275" s="405"/>
      <c r="L275" s="405"/>
      <c r="M275" s="333"/>
      <c r="N275" s="333"/>
      <c r="O275" s="333"/>
      <c r="P275" s="333"/>
      <c r="Q275" s="333"/>
      <c r="R275" s="333"/>
      <c r="S275" s="1160" t="s">
        <v>23</v>
      </c>
      <c r="T275" s="1160"/>
      <c r="U275" s="1160"/>
      <c r="V275" s="333"/>
      <c r="W275" s="333"/>
      <c r="X275" s="1161">
        <f>SUM(X268:Z274)</f>
        <v>7862.9999999999991</v>
      </c>
      <c r="Y275" s="1162"/>
      <c r="Z275" s="1163"/>
      <c r="AA275" s="496"/>
      <c r="AB275" s="496"/>
      <c r="AC275" s="496"/>
      <c r="AD275" s="1184">
        <f>SUM(AD268:AF274)</f>
        <v>6928.2089999999989</v>
      </c>
      <c r="AE275" s="1184"/>
      <c r="AF275" s="1184"/>
      <c r="AG275" s="494"/>
      <c r="AH275" s="167"/>
      <c r="AI275" s="167"/>
      <c r="AJ275" s="376"/>
      <c r="AK275" s="376"/>
    </row>
    <row r="276" spans="3:41" ht="15.75" thickBot="1">
      <c r="C276" s="492"/>
      <c r="D276" s="333"/>
      <c r="E276" s="410"/>
      <c r="F276" s="411"/>
      <c r="G276" s="333"/>
      <c r="H276" s="333"/>
      <c r="I276" s="411"/>
      <c r="J276" s="333"/>
      <c r="K276" s="405"/>
      <c r="L276" s="405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  <c r="AA276" s="167"/>
      <c r="AB276" s="167"/>
      <c r="AC276" s="167"/>
      <c r="AD276" s="167"/>
      <c r="AE276" s="376"/>
      <c r="AF276" s="376"/>
      <c r="AG276" s="494"/>
      <c r="AH276" s="167"/>
      <c r="AI276" s="167"/>
      <c r="AJ276" s="376"/>
      <c r="AK276" s="376"/>
    </row>
    <row r="277" spans="3:41" ht="15.75" thickBot="1">
      <c r="C277" s="492"/>
      <c r="D277" s="333"/>
      <c r="E277" s="410"/>
      <c r="F277" s="411"/>
      <c r="G277" s="333"/>
      <c r="H277" s="333"/>
      <c r="I277" s="411"/>
      <c r="J277" s="333"/>
      <c r="K277" s="405"/>
      <c r="L277" s="1185" t="s">
        <v>140</v>
      </c>
      <c r="M277" s="1185"/>
      <c r="N277" s="1185"/>
      <c r="O277" s="333"/>
      <c r="P277" s="333"/>
      <c r="Q277" s="333"/>
      <c r="R277" s="333"/>
      <c r="S277" s="333"/>
      <c r="T277" s="499" t="s">
        <v>141</v>
      </c>
      <c r="U277" s="333"/>
      <c r="V277" s="333"/>
      <c r="W277" s="333"/>
      <c r="X277" s="333"/>
      <c r="Y277" s="333"/>
      <c r="Z277" s="333"/>
      <c r="AA277" s="167"/>
      <c r="AB277" s="167"/>
      <c r="AC277" s="167"/>
      <c r="AD277" s="1156">
        <f>+X275-AD275+0.01</f>
        <v>934.80100000000016</v>
      </c>
      <c r="AE277" s="1157"/>
      <c r="AF277" s="1158"/>
      <c r="AG277" s="494"/>
      <c r="AH277" s="167"/>
      <c r="AI277" s="167"/>
      <c r="AJ277" s="376"/>
      <c r="AK277" s="376"/>
    </row>
    <row r="278" spans="3:41" ht="15.75" thickBot="1">
      <c r="C278" s="500"/>
      <c r="D278" s="501"/>
      <c r="E278" s="502"/>
      <c r="F278" s="503"/>
      <c r="G278" s="501"/>
      <c r="H278" s="501"/>
      <c r="I278" s="503"/>
      <c r="J278" s="501"/>
      <c r="K278" s="504"/>
      <c r="L278" s="504"/>
      <c r="M278" s="501"/>
      <c r="N278" s="501"/>
      <c r="O278" s="501"/>
      <c r="P278" s="501"/>
      <c r="Q278" s="501"/>
      <c r="R278" s="501"/>
      <c r="S278" s="501"/>
      <c r="T278" s="501"/>
      <c r="U278" s="501"/>
      <c r="V278" s="501"/>
      <c r="W278" s="501"/>
      <c r="X278" s="501"/>
      <c r="Y278" s="501"/>
      <c r="Z278" s="501"/>
      <c r="AA278" s="505"/>
      <c r="AB278" s="505"/>
      <c r="AC278" s="505"/>
      <c r="AD278" s="506"/>
      <c r="AE278" s="506"/>
      <c r="AF278" s="506"/>
      <c r="AG278" s="507"/>
      <c r="AH278" s="167"/>
      <c r="AI278" s="167"/>
      <c r="AJ278" s="376"/>
      <c r="AK278" s="376"/>
    </row>
    <row r="279" spans="3:41">
      <c r="AG279" s="267"/>
      <c r="AH279" s="267"/>
      <c r="AI279" s="267"/>
      <c r="AJ279" s="267"/>
      <c r="AK279" s="267"/>
      <c r="AL279" s="267"/>
      <c r="AM279" s="267"/>
      <c r="AN279" s="267"/>
      <c r="AO279" s="267"/>
    </row>
    <row r="280" spans="3:41">
      <c r="AG280" s="267"/>
      <c r="AH280" s="267"/>
      <c r="AI280" s="267"/>
      <c r="AJ280" s="267"/>
      <c r="AK280" s="267"/>
      <c r="AL280" s="267"/>
      <c r="AM280" s="267"/>
      <c r="AN280" s="267"/>
      <c r="AO280" s="267"/>
    </row>
    <row r="281" spans="3:41">
      <c r="AG281" s="267"/>
      <c r="AH281" s="267"/>
      <c r="AI281" s="267"/>
      <c r="AJ281" s="267"/>
      <c r="AK281" s="267"/>
      <c r="AL281" s="267"/>
      <c r="AM281" s="267"/>
      <c r="AN281" s="267"/>
      <c r="AO281" s="267"/>
    </row>
  </sheetData>
  <mergeCells count="848">
    <mergeCell ref="AP24:AQ24"/>
    <mergeCell ref="AR24:AS24"/>
    <mergeCell ref="AR46:AS46"/>
    <mergeCell ref="AW46:AX46"/>
    <mergeCell ref="D272:H272"/>
    <mergeCell ref="I272:K272"/>
    <mergeCell ref="L272:N272"/>
    <mergeCell ref="O272:Q272"/>
    <mergeCell ref="R272:T272"/>
    <mergeCell ref="U272:W272"/>
    <mergeCell ref="X272:Z272"/>
    <mergeCell ref="AA272:AC272"/>
    <mergeCell ref="AD272:AF272"/>
    <mergeCell ref="K88:L88"/>
    <mergeCell ref="N88:O88"/>
    <mergeCell ref="Q88:R88"/>
    <mergeCell ref="X269:Z269"/>
    <mergeCell ref="AA269:AC269"/>
    <mergeCell ref="AD269:AF269"/>
    <mergeCell ref="D270:H270"/>
    <mergeCell ref="I270:K270"/>
    <mergeCell ref="X268:Z268"/>
    <mergeCell ref="D268:H268"/>
    <mergeCell ref="I268:K268"/>
    <mergeCell ref="S275:U275"/>
    <mergeCell ref="X275:Z275"/>
    <mergeCell ref="AD275:AF275"/>
    <mergeCell ref="AD271:AF271"/>
    <mergeCell ref="AA270:AC270"/>
    <mergeCell ref="AD270:AF270"/>
    <mergeCell ref="L277:N277"/>
    <mergeCell ref="AD277:AF277"/>
    <mergeCell ref="X273:Z273"/>
    <mergeCell ref="AA273:AC273"/>
    <mergeCell ref="AD273:AF273"/>
    <mergeCell ref="L271:N271"/>
    <mergeCell ref="O271:Q271"/>
    <mergeCell ref="R271:T271"/>
    <mergeCell ref="U271:W271"/>
    <mergeCell ref="X271:Z271"/>
    <mergeCell ref="AA271:AC271"/>
    <mergeCell ref="L270:N270"/>
    <mergeCell ref="O270:Q270"/>
    <mergeCell ref="R270:T270"/>
    <mergeCell ref="U270:W270"/>
    <mergeCell ref="X270:Z270"/>
    <mergeCell ref="X274:Z274"/>
    <mergeCell ref="D273:H273"/>
    <mergeCell ref="I273:K273"/>
    <mergeCell ref="L273:N273"/>
    <mergeCell ref="O273:Q273"/>
    <mergeCell ref="R273:T273"/>
    <mergeCell ref="U273:W273"/>
    <mergeCell ref="AA274:AC274"/>
    <mergeCell ref="AD274:AF274"/>
    <mergeCell ref="D269:H269"/>
    <mergeCell ref="I269:K269"/>
    <mergeCell ref="L269:N269"/>
    <mergeCell ref="O269:Q269"/>
    <mergeCell ref="R269:T269"/>
    <mergeCell ref="U269:W269"/>
    <mergeCell ref="D274:H274"/>
    <mergeCell ref="I274:K274"/>
    <mergeCell ref="L274:N274"/>
    <mergeCell ref="O274:Q274"/>
    <mergeCell ref="R274:T274"/>
    <mergeCell ref="U274:W274"/>
    <mergeCell ref="D271:H271"/>
    <mergeCell ref="I271:K271"/>
    <mergeCell ref="L268:N268"/>
    <mergeCell ref="O268:Q268"/>
    <mergeCell ref="R268:T268"/>
    <mergeCell ref="U268:W268"/>
    <mergeCell ref="AA268:AC268"/>
    <mergeCell ref="AD268:AF268"/>
    <mergeCell ref="AI268:AM268"/>
    <mergeCell ref="O260:P260"/>
    <mergeCell ref="Q260:Z260"/>
    <mergeCell ref="O261:P261"/>
    <mergeCell ref="AA266:AC266"/>
    <mergeCell ref="AD266:AF266"/>
    <mergeCell ref="D267:H267"/>
    <mergeCell ref="I267:K267"/>
    <mergeCell ref="L267:N267"/>
    <mergeCell ref="O267:Q267"/>
    <mergeCell ref="R267:T267"/>
    <mergeCell ref="U267:W267"/>
    <mergeCell ref="X267:Z267"/>
    <mergeCell ref="AA267:AC267"/>
    <mergeCell ref="AD267:AF267"/>
    <mergeCell ref="O257:P257"/>
    <mergeCell ref="Q257:Z257"/>
    <mergeCell ref="AA257:AB257"/>
    <mergeCell ref="O258:P258"/>
    <mergeCell ref="Q258:Z258"/>
    <mergeCell ref="O259:P259"/>
    <mergeCell ref="Q259:Z259"/>
    <mergeCell ref="O252:P252"/>
    <mergeCell ref="Q252:Z252"/>
    <mergeCell ref="AF252:AJ252"/>
    <mergeCell ref="O253:P253"/>
    <mergeCell ref="O255:Z255"/>
    <mergeCell ref="O256:P256"/>
    <mergeCell ref="Q256:Z256"/>
    <mergeCell ref="O249:P249"/>
    <mergeCell ref="Q249:Z249"/>
    <mergeCell ref="AA249:AB249"/>
    <mergeCell ref="O250:P250"/>
    <mergeCell ref="Q250:Z250"/>
    <mergeCell ref="O251:P251"/>
    <mergeCell ref="Q251:Z251"/>
    <mergeCell ref="D241:F241"/>
    <mergeCell ref="D242:F242"/>
    <mergeCell ref="M242:O242"/>
    <mergeCell ref="AD242:AF242"/>
    <mergeCell ref="O247:Z247"/>
    <mergeCell ref="O248:P248"/>
    <mergeCell ref="Q248:Z248"/>
    <mergeCell ref="X239:Z239"/>
    <mergeCell ref="AA239:AC239"/>
    <mergeCell ref="AD239:AF239"/>
    <mergeCell ref="S240:U240"/>
    <mergeCell ref="X240:Z240"/>
    <mergeCell ref="AD240:AF240"/>
    <mergeCell ref="D239:H239"/>
    <mergeCell ref="I239:K239"/>
    <mergeCell ref="L239:N239"/>
    <mergeCell ref="O239:Q239"/>
    <mergeCell ref="R239:T239"/>
    <mergeCell ref="U239:W239"/>
    <mergeCell ref="D238:H238"/>
    <mergeCell ref="I238:K238"/>
    <mergeCell ref="L238:N238"/>
    <mergeCell ref="O238:Q238"/>
    <mergeCell ref="R238:T238"/>
    <mergeCell ref="U238:W238"/>
    <mergeCell ref="X238:Z238"/>
    <mergeCell ref="AA238:AC238"/>
    <mergeCell ref="AD238:AF238"/>
    <mergeCell ref="D237:H237"/>
    <mergeCell ref="I237:K237"/>
    <mergeCell ref="L237:N237"/>
    <mergeCell ref="O237:Q237"/>
    <mergeCell ref="R237:T237"/>
    <mergeCell ref="U237:W237"/>
    <mergeCell ref="X237:Z237"/>
    <mergeCell ref="AA237:AC237"/>
    <mergeCell ref="AD237:AF237"/>
    <mergeCell ref="X235:Z235"/>
    <mergeCell ref="AA235:AC235"/>
    <mergeCell ref="AD235:AF235"/>
    <mergeCell ref="D236:H236"/>
    <mergeCell ref="I236:K236"/>
    <mergeCell ref="L236:N236"/>
    <mergeCell ref="O236:Q236"/>
    <mergeCell ref="R236:T236"/>
    <mergeCell ref="U236:W236"/>
    <mergeCell ref="X236:Z236"/>
    <mergeCell ref="D235:H235"/>
    <mergeCell ref="I235:K235"/>
    <mergeCell ref="L235:N235"/>
    <mergeCell ref="O235:Q235"/>
    <mergeCell ref="R235:T235"/>
    <mergeCell ref="U235:W235"/>
    <mergeCell ref="AA236:AC236"/>
    <mergeCell ref="AD236:AF236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AD234:AF234"/>
    <mergeCell ref="D233:H233"/>
    <mergeCell ref="I233:K233"/>
    <mergeCell ref="L233:N233"/>
    <mergeCell ref="O233:Q233"/>
    <mergeCell ref="R233:T233"/>
    <mergeCell ref="U233:W233"/>
    <mergeCell ref="X233:Z233"/>
    <mergeCell ref="AA233:AC233"/>
    <mergeCell ref="AD233:AF233"/>
    <mergeCell ref="AI231:AK231"/>
    <mergeCell ref="D232:H232"/>
    <mergeCell ref="I232:K232"/>
    <mergeCell ref="L232:N232"/>
    <mergeCell ref="O232:Q232"/>
    <mergeCell ref="R232:T232"/>
    <mergeCell ref="U232:W232"/>
    <mergeCell ref="X232:Z232"/>
    <mergeCell ref="AA232:AC232"/>
    <mergeCell ref="AD232:AF232"/>
    <mergeCell ref="AI232:AK232"/>
    <mergeCell ref="D231:H231"/>
    <mergeCell ref="I231:K231"/>
    <mergeCell ref="L231:N231"/>
    <mergeCell ref="O231:Q231"/>
    <mergeCell ref="R231:T231"/>
    <mergeCell ref="U231:W231"/>
    <mergeCell ref="X231:Z231"/>
    <mergeCell ref="AA231:AC231"/>
    <mergeCell ref="AD231:AF231"/>
    <mergeCell ref="Q224:R224"/>
    <mergeCell ref="AA229:AC229"/>
    <mergeCell ref="AD229:AF229"/>
    <mergeCell ref="D230:H230"/>
    <mergeCell ref="I230:K230"/>
    <mergeCell ref="L230:N230"/>
    <mergeCell ref="O230:Q230"/>
    <mergeCell ref="R230:T230"/>
    <mergeCell ref="U230:W230"/>
    <mergeCell ref="X230:Z230"/>
    <mergeCell ref="C224:D224"/>
    <mergeCell ref="E224:F224"/>
    <mergeCell ref="G224:H224"/>
    <mergeCell ref="I224:J224"/>
    <mergeCell ref="K224:L224"/>
    <mergeCell ref="N224:O224"/>
    <mergeCell ref="AA230:AC230"/>
    <mergeCell ref="AD230:AF230"/>
    <mergeCell ref="AF222:AH222"/>
    <mergeCell ref="C223:D223"/>
    <mergeCell ref="E223:F223"/>
    <mergeCell ref="G223:H223"/>
    <mergeCell ref="I223:J223"/>
    <mergeCell ref="K223:L223"/>
    <mergeCell ref="N223:O223"/>
    <mergeCell ref="Q223:R223"/>
    <mergeCell ref="Q221:R221"/>
    <mergeCell ref="C222:D222"/>
    <mergeCell ref="E222:F222"/>
    <mergeCell ref="G222:H222"/>
    <mergeCell ref="I222:J222"/>
    <mergeCell ref="K222:L222"/>
    <mergeCell ref="N222:O222"/>
    <mergeCell ref="Q222:R222"/>
    <mergeCell ref="C221:D221"/>
    <mergeCell ref="E221:F221"/>
    <mergeCell ref="G221:H221"/>
    <mergeCell ref="I221:J221"/>
    <mergeCell ref="K221:L221"/>
    <mergeCell ref="N221:O221"/>
    <mergeCell ref="Z219:AC219"/>
    <mergeCell ref="C220:D220"/>
    <mergeCell ref="E220:F220"/>
    <mergeCell ref="G220:H220"/>
    <mergeCell ref="I220:J220"/>
    <mergeCell ref="K220:L220"/>
    <mergeCell ref="N220:O220"/>
    <mergeCell ref="Q220:R220"/>
    <mergeCell ref="C219:D219"/>
    <mergeCell ref="E219:F219"/>
    <mergeCell ref="I219:J219"/>
    <mergeCell ref="K219:L219"/>
    <mergeCell ref="N219:O219"/>
    <mergeCell ref="Q219:R219"/>
    <mergeCell ref="Q217:R217"/>
    <mergeCell ref="C218:D218"/>
    <mergeCell ref="E218:F218"/>
    <mergeCell ref="G218:H218"/>
    <mergeCell ref="I218:J218"/>
    <mergeCell ref="K218:L218"/>
    <mergeCell ref="N218:O218"/>
    <mergeCell ref="Q218:R218"/>
    <mergeCell ref="C217:D217"/>
    <mergeCell ref="E217:F217"/>
    <mergeCell ref="G217:H217"/>
    <mergeCell ref="I217:J217"/>
    <mergeCell ref="K217:L217"/>
    <mergeCell ref="N217:O217"/>
    <mergeCell ref="Q215:R215"/>
    <mergeCell ref="AB215:AK215"/>
    <mergeCell ref="C216:D216"/>
    <mergeCell ref="E216:F216"/>
    <mergeCell ref="G216:H216"/>
    <mergeCell ref="I216:J216"/>
    <mergeCell ref="K216:L216"/>
    <mergeCell ref="N216:O216"/>
    <mergeCell ref="Q216:R216"/>
    <mergeCell ref="S216:T216"/>
    <mergeCell ref="C215:D215"/>
    <mergeCell ref="E215:F215"/>
    <mergeCell ref="G215:H215"/>
    <mergeCell ref="I215:J215"/>
    <mergeCell ref="K215:L215"/>
    <mergeCell ref="N215:O215"/>
    <mergeCell ref="S213:T213"/>
    <mergeCell ref="Z213:AC213"/>
    <mergeCell ref="C214:D214"/>
    <mergeCell ref="E214:F214"/>
    <mergeCell ref="I214:J214"/>
    <mergeCell ref="K214:L214"/>
    <mergeCell ref="N214:O214"/>
    <mergeCell ref="Q214:R214"/>
    <mergeCell ref="C213:D213"/>
    <mergeCell ref="E213:F213"/>
    <mergeCell ref="I213:J213"/>
    <mergeCell ref="K213:L213"/>
    <mergeCell ref="N213:O213"/>
    <mergeCell ref="Q213:R213"/>
    <mergeCell ref="C212:D212"/>
    <mergeCell ref="E212:F212"/>
    <mergeCell ref="I212:J212"/>
    <mergeCell ref="K212:L212"/>
    <mergeCell ref="N212:O212"/>
    <mergeCell ref="Q212:R212"/>
    <mergeCell ref="C211:D211"/>
    <mergeCell ref="E211:F211"/>
    <mergeCell ref="I211:J211"/>
    <mergeCell ref="K211:L211"/>
    <mergeCell ref="N211:O211"/>
    <mergeCell ref="Q211:R211"/>
    <mergeCell ref="C210:D210"/>
    <mergeCell ref="E210:F210"/>
    <mergeCell ref="I210:J210"/>
    <mergeCell ref="K210:L210"/>
    <mergeCell ref="N210:O210"/>
    <mergeCell ref="Q210:R210"/>
    <mergeCell ref="Q207:R207"/>
    <mergeCell ref="C208:D208"/>
    <mergeCell ref="E208:F208"/>
    <mergeCell ref="I208:J208"/>
    <mergeCell ref="K208:L208"/>
    <mergeCell ref="N208:O208"/>
    <mergeCell ref="Q208:R208"/>
    <mergeCell ref="O201:P201"/>
    <mergeCell ref="C204:D206"/>
    <mergeCell ref="E204:F206"/>
    <mergeCell ref="G204:H208"/>
    <mergeCell ref="I204:J206"/>
    <mergeCell ref="K204:L206"/>
    <mergeCell ref="N204:O206"/>
    <mergeCell ref="AA197:AB197"/>
    <mergeCell ref="O198:P198"/>
    <mergeCell ref="Q198:Z198"/>
    <mergeCell ref="O199:P199"/>
    <mergeCell ref="Q199:Z199"/>
    <mergeCell ref="O200:P200"/>
    <mergeCell ref="Q200:Z200"/>
    <mergeCell ref="Q204:R206"/>
    <mergeCell ref="U204:U209"/>
    <mergeCell ref="V204:V209"/>
    <mergeCell ref="W204:W209"/>
    <mergeCell ref="X204:X209"/>
    <mergeCell ref="C207:D207"/>
    <mergeCell ref="E207:F207"/>
    <mergeCell ref="I207:J207"/>
    <mergeCell ref="K207:L207"/>
    <mergeCell ref="N207:O207"/>
    <mergeCell ref="O193:P193"/>
    <mergeCell ref="O195:Z195"/>
    <mergeCell ref="O196:P196"/>
    <mergeCell ref="Q196:Z196"/>
    <mergeCell ref="O197:P197"/>
    <mergeCell ref="Q197:Z197"/>
    <mergeCell ref="AA189:AB189"/>
    <mergeCell ref="O190:P190"/>
    <mergeCell ref="Q190:Z190"/>
    <mergeCell ref="O191:P191"/>
    <mergeCell ref="Q191:Z191"/>
    <mergeCell ref="O192:P192"/>
    <mergeCell ref="Q192:Z192"/>
    <mergeCell ref="O182:P182"/>
    <mergeCell ref="O187:Z187"/>
    <mergeCell ref="O188:P188"/>
    <mergeCell ref="Q188:Z188"/>
    <mergeCell ref="O189:P189"/>
    <mergeCell ref="Q189:Z189"/>
    <mergeCell ref="O179:P179"/>
    <mergeCell ref="Q179:Z179"/>
    <mergeCell ref="O180:P180"/>
    <mergeCell ref="Q180:Z180"/>
    <mergeCell ref="O181:P181"/>
    <mergeCell ref="Q181:Z181"/>
    <mergeCell ref="O176:Z176"/>
    <mergeCell ref="O177:P177"/>
    <mergeCell ref="Q177:Z177"/>
    <mergeCell ref="O178:P178"/>
    <mergeCell ref="Q178:Z178"/>
    <mergeCell ref="AA178:AB178"/>
    <mergeCell ref="O173:P173"/>
    <mergeCell ref="Q173:Z173"/>
    <mergeCell ref="AG173:AH173"/>
    <mergeCell ref="AJ173:AK173"/>
    <mergeCell ref="O174:P174"/>
    <mergeCell ref="AK174:AL174"/>
    <mergeCell ref="O171:P171"/>
    <mergeCell ref="Q171:Z171"/>
    <mergeCell ref="AG171:AH171"/>
    <mergeCell ref="AJ171:AK171"/>
    <mergeCell ref="O172:P172"/>
    <mergeCell ref="Q172:Z172"/>
    <mergeCell ref="AG172:AH172"/>
    <mergeCell ref="AJ172:AK172"/>
    <mergeCell ref="AG169:AH169"/>
    <mergeCell ref="AJ169:AK169"/>
    <mergeCell ref="O170:P170"/>
    <mergeCell ref="Q170:Z170"/>
    <mergeCell ref="AA170:AB170"/>
    <mergeCell ref="AG170:AH170"/>
    <mergeCell ref="AJ170:AK170"/>
    <mergeCell ref="O161:P161"/>
    <mergeCell ref="Q161:Z161"/>
    <mergeCell ref="O162:P162"/>
    <mergeCell ref="H166:N166"/>
    <mergeCell ref="O168:Z168"/>
    <mergeCell ref="O169:P169"/>
    <mergeCell ref="Q169:Z169"/>
    <mergeCell ref="O158:P158"/>
    <mergeCell ref="Q158:Z158"/>
    <mergeCell ref="AA158:AB158"/>
    <mergeCell ref="O159:P159"/>
    <mergeCell ref="Q159:Z159"/>
    <mergeCell ref="O160:P160"/>
    <mergeCell ref="Q160:Z160"/>
    <mergeCell ref="O153:P153"/>
    <mergeCell ref="Q153:Z153"/>
    <mergeCell ref="AF153:AJ153"/>
    <mergeCell ref="O154:P154"/>
    <mergeCell ref="O156:Z156"/>
    <mergeCell ref="O157:P157"/>
    <mergeCell ref="Q157:Z157"/>
    <mergeCell ref="O150:P150"/>
    <mergeCell ref="Q150:Z150"/>
    <mergeCell ref="AA150:AB150"/>
    <mergeCell ref="O151:P151"/>
    <mergeCell ref="Q151:Z151"/>
    <mergeCell ref="O152:P152"/>
    <mergeCell ref="Q152:Z152"/>
    <mergeCell ref="O143:P143"/>
    <mergeCell ref="Q143:Z143"/>
    <mergeCell ref="O144:P144"/>
    <mergeCell ref="H146:N146"/>
    <mergeCell ref="O148:Z148"/>
    <mergeCell ref="O149:P149"/>
    <mergeCell ref="Q149:Z149"/>
    <mergeCell ref="O140:P140"/>
    <mergeCell ref="Q140:Z140"/>
    <mergeCell ref="AA140:AB140"/>
    <mergeCell ref="O141:P141"/>
    <mergeCell ref="Q141:Z141"/>
    <mergeCell ref="O142:P142"/>
    <mergeCell ref="Q142:Z142"/>
    <mergeCell ref="O135:P135"/>
    <mergeCell ref="Q135:Z135"/>
    <mergeCell ref="O136:P136"/>
    <mergeCell ref="O138:Z138"/>
    <mergeCell ref="O139:P139"/>
    <mergeCell ref="Q139:Z139"/>
    <mergeCell ref="O132:P132"/>
    <mergeCell ref="Q132:Z132"/>
    <mergeCell ref="AA132:AB132"/>
    <mergeCell ref="O133:P133"/>
    <mergeCell ref="Q133:Z133"/>
    <mergeCell ref="O134:P134"/>
    <mergeCell ref="Q134:Z134"/>
    <mergeCell ref="O124:P124"/>
    <mergeCell ref="Q124:Z124"/>
    <mergeCell ref="O125:P125"/>
    <mergeCell ref="H128:N128"/>
    <mergeCell ref="O130:Z130"/>
    <mergeCell ref="O131:P131"/>
    <mergeCell ref="Q131:Z131"/>
    <mergeCell ref="O121:P121"/>
    <mergeCell ref="Q121:Z121"/>
    <mergeCell ref="AA121:AB121"/>
    <mergeCell ref="O122:P122"/>
    <mergeCell ref="Q122:Z122"/>
    <mergeCell ref="O123:P123"/>
    <mergeCell ref="Q123:Z123"/>
    <mergeCell ref="O117:P117"/>
    <mergeCell ref="AE117:AG117"/>
    <mergeCell ref="AI117:AK117"/>
    <mergeCell ref="O119:Z119"/>
    <mergeCell ref="O120:P120"/>
    <mergeCell ref="Q120:Z120"/>
    <mergeCell ref="O115:P115"/>
    <mergeCell ref="Q115:Z115"/>
    <mergeCell ref="AE115:AG115"/>
    <mergeCell ref="AI115:AK115"/>
    <mergeCell ref="O116:P116"/>
    <mergeCell ref="Q116:Z116"/>
    <mergeCell ref="AE116:AG116"/>
    <mergeCell ref="AI116:AK116"/>
    <mergeCell ref="O114:P114"/>
    <mergeCell ref="Q114:Z114"/>
    <mergeCell ref="AE114:AG114"/>
    <mergeCell ref="AI114:AK114"/>
    <mergeCell ref="AL114:AN114"/>
    <mergeCell ref="AO114:AQ114"/>
    <mergeCell ref="AI112:AK112"/>
    <mergeCell ref="AL112:AN112"/>
    <mergeCell ref="AO112:AQ112"/>
    <mergeCell ref="O113:P113"/>
    <mergeCell ref="Q113:Z113"/>
    <mergeCell ref="AA113:AB113"/>
    <mergeCell ref="AE113:AG113"/>
    <mergeCell ref="AI113:AK113"/>
    <mergeCell ref="AL113:AN113"/>
    <mergeCell ref="AO113:AQ113"/>
    <mergeCell ref="O107:P107"/>
    <mergeCell ref="H109:N109"/>
    <mergeCell ref="O111:Z111"/>
    <mergeCell ref="O112:P112"/>
    <mergeCell ref="Q112:Z112"/>
    <mergeCell ref="AE112:AG112"/>
    <mergeCell ref="AA103:AB103"/>
    <mergeCell ref="O104:P104"/>
    <mergeCell ref="Q104:Z104"/>
    <mergeCell ref="O105:P105"/>
    <mergeCell ref="Q105:Z105"/>
    <mergeCell ref="O106:P106"/>
    <mergeCell ref="Q106:Z106"/>
    <mergeCell ref="O99:P99"/>
    <mergeCell ref="O101:Z101"/>
    <mergeCell ref="O102:P102"/>
    <mergeCell ref="Q102:Z102"/>
    <mergeCell ref="O103:P103"/>
    <mergeCell ref="Q103:Z103"/>
    <mergeCell ref="AA95:AB95"/>
    <mergeCell ref="O96:P96"/>
    <mergeCell ref="Q96:Z96"/>
    <mergeCell ref="O97:P97"/>
    <mergeCell ref="Q97:Z97"/>
    <mergeCell ref="O98:P98"/>
    <mergeCell ref="Q98:Z98"/>
    <mergeCell ref="H91:N91"/>
    <mergeCell ref="O93:Z93"/>
    <mergeCell ref="O94:P94"/>
    <mergeCell ref="Q94:Z94"/>
    <mergeCell ref="O95:P95"/>
    <mergeCell ref="Q95:Z95"/>
    <mergeCell ref="Q86:R86"/>
    <mergeCell ref="C89:D89"/>
    <mergeCell ref="E89:F89"/>
    <mergeCell ref="G89:H89"/>
    <mergeCell ref="I89:J89"/>
    <mergeCell ref="K89:L89"/>
    <mergeCell ref="N89:O89"/>
    <mergeCell ref="Q89:R89"/>
    <mergeCell ref="C88:D88"/>
    <mergeCell ref="E88:F88"/>
    <mergeCell ref="C86:D86"/>
    <mergeCell ref="E86:F86"/>
    <mergeCell ref="G86:H86"/>
    <mergeCell ref="I86:J86"/>
    <mergeCell ref="K86:L86"/>
    <mergeCell ref="N86:O86"/>
    <mergeCell ref="G88:H88"/>
    <mergeCell ref="I88:J88"/>
    <mergeCell ref="C85:D85"/>
    <mergeCell ref="E85:F85"/>
    <mergeCell ref="G85:H85"/>
    <mergeCell ref="I85:J85"/>
    <mergeCell ref="K85:L85"/>
    <mergeCell ref="N85:O85"/>
    <mergeCell ref="Q85:R85"/>
    <mergeCell ref="C82:D82"/>
    <mergeCell ref="E82:F82"/>
    <mergeCell ref="G82:H82"/>
    <mergeCell ref="I82:J82"/>
    <mergeCell ref="K82:L82"/>
    <mergeCell ref="N82:O82"/>
    <mergeCell ref="Q83:R83"/>
    <mergeCell ref="C84:D84"/>
    <mergeCell ref="E84:F84"/>
    <mergeCell ref="I84:J84"/>
    <mergeCell ref="K84:L84"/>
    <mergeCell ref="N84:O84"/>
    <mergeCell ref="Q84:R84"/>
    <mergeCell ref="C83:D83"/>
    <mergeCell ref="E83:F83"/>
    <mergeCell ref="G83:H83"/>
    <mergeCell ref="I83:J83"/>
    <mergeCell ref="K83:L83"/>
    <mergeCell ref="N83:O83"/>
    <mergeCell ref="Q80:R80"/>
    <mergeCell ref="Y80:Z80"/>
    <mergeCell ref="C81:D81"/>
    <mergeCell ref="E81:F81"/>
    <mergeCell ref="G81:H81"/>
    <mergeCell ref="I81:J81"/>
    <mergeCell ref="K81:L81"/>
    <mergeCell ref="N81:O81"/>
    <mergeCell ref="Q81:R81"/>
    <mergeCell ref="C80:D80"/>
    <mergeCell ref="E80:F80"/>
    <mergeCell ref="G80:H80"/>
    <mergeCell ref="I80:J80"/>
    <mergeCell ref="K80:L80"/>
    <mergeCell ref="N80:O80"/>
    <mergeCell ref="Q82:R82"/>
    <mergeCell ref="C79:D79"/>
    <mergeCell ref="E79:F79"/>
    <mergeCell ref="G79:H79"/>
    <mergeCell ref="I79:J79"/>
    <mergeCell ref="K79:L79"/>
    <mergeCell ref="N79:O79"/>
    <mergeCell ref="Q79:R79"/>
    <mergeCell ref="Y79:Z79"/>
    <mergeCell ref="C78:D78"/>
    <mergeCell ref="E78:F78"/>
    <mergeCell ref="G78:H78"/>
    <mergeCell ref="I78:J78"/>
    <mergeCell ref="K78:L78"/>
    <mergeCell ref="N78:O78"/>
    <mergeCell ref="Q78:R78"/>
    <mergeCell ref="C75:D75"/>
    <mergeCell ref="E75:F75"/>
    <mergeCell ref="I75:J75"/>
    <mergeCell ref="K75:L75"/>
    <mergeCell ref="N75:O75"/>
    <mergeCell ref="Q75:R75"/>
    <mergeCell ref="E70:F70"/>
    <mergeCell ref="I70:J70"/>
    <mergeCell ref="Y78:Z78"/>
    <mergeCell ref="Q76:R76"/>
    <mergeCell ref="C77:D77"/>
    <mergeCell ref="E77:F77"/>
    <mergeCell ref="G77:H77"/>
    <mergeCell ref="I77:J77"/>
    <mergeCell ref="K77:L77"/>
    <mergeCell ref="N77:O77"/>
    <mergeCell ref="Q77:R77"/>
    <mergeCell ref="C76:D76"/>
    <mergeCell ref="E76:F76"/>
    <mergeCell ref="G76:H76"/>
    <mergeCell ref="I76:J76"/>
    <mergeCell ref="K76:L76"/>
    <mergeCell ref="N76:O76"/>
    <mergeCell ref="Y73:Z73"/>
    <mergeCell ref="C74:D74"/>
    <mergeCell ref="E74:F74"/>
    <mergeCell ref="I74:J74"/>
    <mergeCell ref="K74:L74"/>
    <mergeCell ref="N74:O74"/>
    <mergeCell ref="Q74:R74"/>
    <mergeCell ref="Y74:Z74"/>
    <mergeCell ref="C73:D73"/>
    <mergeCell ref="E73:F73"/>
    <mergeCell ref="I73:J73"/>
    <mergeCell ref="K73:L73"/>
    <mergeCell ref="N73:O73"/>
    <mergeCell ref="Q73:R73"/>
    <mergeCell ref="K70:L70"/>
    <mergeCell ref="N70:O70"/>
    <mergeCell ref="Q70:R70"/>
    <mergeCell ref="AR62:AS62"/>
    <mergeCell ref="AW62:AX62"/>
    <mergeCell ref="AK63:AL63"/>
    <mergeCell ref="C67:D69"/>
    <mergeCell ref="E67:F69"/>
    <mergeCell ref="G67:H71"/>
    <mergeCell ref="I67:J69"/>
    <mergeCell ref="K67:L69"/>
    <mergeCell ref="N67:O69"/>
    <mergeCell ref="Q67:R69"/>
    <mergeCell ref="C71:D71"/>
    <mergeCell ref="E71:F71"/>
    <mergeCell ref="I71:J71"/>
    <mergeCell ref="K71:L71"/>
    <mergeCell ref="N71:O71"/>
    <mergeCell ref="Q71:R71"/>
    <mergeCell ref="U67:U72"/>
    <mergeCell ref="V67:V72"/>
    <mergeCell ref="W67:W72"/>
    <mergeCell ref="X67:X72"/>
    <mergeCell ref="C70:D70"/>
    <mergeCell ref="AP58:AQ58"/>
    <mergeCell ref="AR58:AS58"/>
    <mergeCell ref="C60:J61"/>
    <mergeCell ref="K60:L61"/>
    <mergeCell ref="M60:T61"/>
    <mergeCell ref="U60:V61"/>
    <mergeCell ref="W60:AD61"/>
    <mergeCell ref="AE60:AF61"/>
    <mergeCell ref="AR48:AS48"/>
    <mergeCell ref="AW49:AX50"/>
    <mergeCell ref="C56:J57"/>
    <mergeCell ref="K56:L57"/>
    <mergeCell ref="M56:T57"/>
    <mergeCell ref="U56:V57"/>
    <mergeCell ref="W56:AD57"/>
    <mergeCell ref="AE56:AF57"/>
    <mergeCell ref="AG56:AN57"/>
    <mergeCell ref="AO56:AO57"/>
    <mergeCell ref="AR42:AS42"/>
    <mergeCell ref="AW42:AX42"/>
    <mergeCell ref="AR45:AS45"/>
    <mergeCell ref="AW45:AX45"/>
    <mergeCell ref="AR47:AS47"/>
    <mergeCell ref="AW47:AX47"/>
    <mergeCell ref="AR41:AS41"/>
    <mergeCell ref="AW41:AX41"/>
    <mergeCell ref="AR43:AS43"/>
    <mergeCell ref="AW43:AX43"/>
    <mergeCell ref="AR44:AS44"/>
    <mergeCell ref="AW44:AX44"/>
    <mergeCell ref="AR38:AS38"/>
    <mergeCell ref="AW38:AX38"/>
    <mergeCell ref="AR39:AS39"/>
    <mergeCell ref="AW39:AX39"/>
    <mergeCell ref="AR40:AS40"/>
    <mergeCell ref="AW40:AX40"/>
    <mergeCell ref="AR36:AS36"/>
    <mergeCell ref="AW36:AX36"/>
    <mergeCell ref="AR37:AS37"/>
    <mergeCell ref="AW37:AX37"/>
    <mergeCell ref="AR35:AS35"/>
    <mergeCell ref="AW35:AX35"/>
    <mergeCell ref="Z29:Z32"/>
    <mergeCell ref="AA29:AB32"/>
    <mergeCell ref="AC29:AC32"/>
    <mergeCell ref="AD29:AD32"/>
    <mergeCell ref="AE29:AE32"/>
    <mergeCell ref="AF29:AF32"/>
    <mergeCell ref="AT27:AT32"/>
    <mergeCell ref="AW27:AX32"/>
    <mergeCell ref="AE27:AF28"/>
    <mergeCell ref="K29:K32"/>
    <mergeCell ref="L29:L32"/>
    <mergeCell ref="M29:N32"/>
    <mergeCell ref="O29:O32"/>
    <mergeCell ref="P29:P32"/>
    <mergeCell ref="Q29:R32"/>
    <mergeCell ref="AR33:AS33"/>
    <mergeCell ref="AW33:AX33"/>
    <mergeCell ref="AR34:AS34"/>
    <mergeCell ref="AW34:AX34"/>
    <mergeCell ref="AH27:AH32"/>
    <mergeCell ref="AI27:AI32"/>
    <mergeCell ref="AJ27:AJ32"/>
    <mergeCell ref="AK27:AK32"/>
    <mergeCell ref="AL27:AL32"/>
    <mergeCell ref="S29:S32"/>
    <mergeCell ref="T29:T32"/>
    <mergeCell ref="U29:U32"/>
    <mergeCell ref="V29:V32"/>
    <mergeCell ref="W29:X32"/>
    <mergeCell ref="Y29:Y32"/>
    <mergeCell ref="AP25:AQ25"/>
    <mergeCell ref="AR25:AS25"/>
    <mergeCell ref="BE26:BE27"/>
    <mergeCell ref="BF26:BF27"/>
    <mergeCell ref="B27:B32"/>
    <mergeCell ref="C27:J28"/>
    <mergeCell ref="K27:L28"/>
    <mergeCell ref="M27:T28"/>
    <mergeCell ref="U27:V28"/>
    <mergeCell ref="W27:AD28"/>
    <mergeCell ref="AZ27:BC27"/>
    <mergeCell ref="AZ28:BB29"/>
    <mergeCell ref="C29:D32"/>
    <mergeCell ref="E29:E32"/>
    <mergeCell ref="F29:F32"/>
    <mergeCell ref="G29:H32"/>
    <mergeCell ref="I29:I32"/>
    <mergeCell ref="J29:J32"/>
    <mergeCell ref="AM27:AM32"/>
    <mergeCell ref="AN27:AN32"/>
    <mergeCell ref="AO27:AO32"/>
    <mergeCell ref="AP27:AP32"/>
    <mergeCell ref="AQ27:AQ32"/>
    <mergeCell ref="AR27:AS32"/>
    <mergeCell ref="AP22:AQ22"/>
    <mergeCell ref="AR22:AS22"/>
    <mergeCell ref="AP20:AQ20"/>
    <mergeCell ref="AR20:AS20"/>
    <mergeCell ref="AP23:AQ23"/>
    <mergeCell ref="AR23:AS23"/>
    <mergeCell ref="AP18:AQ18"/>
    <mergeCell ref="AR18:AS18"/>
    <mergeCell ref="AP19:AQ19"/>
    <mergeCell ref="AR19:AS19"/>
    <mergeCell ref="AP21:AQ21"/>
    <mergeCell ref="AR21:AS21"/>
    <mergeCell ref="AP16:AQ16"/>
    <mergeCell ref="AR16:AS16"/>
    <mergeCell ref="AP17:AQ17"/>
    <mergeCell ref="AR17:AS17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</mergeCells>
  <conditionalFormatting sqref="AP203:AP206 AH62 AP62 AH33:AH50 AP33:AP50">
    <cfRule type="cellIs" dxfId="112" priority="16" stopIfTrue="1" operator="lessThanOrEqual">
      <formula>0</formula>
    </cfRule>
  </conditionalFormatting>
  <conditionalFormatting sqref="L291:L292 K262:L262 K291:K294 L294 K162:L163 K279:L282 K183:L183 K202:L244 L86:L145 K88:L88 K84:K145 K83:L83 K77:K82">
    <cfRule type="cellIs" dxfId="111" priority="15" stopIfTrue="1" operator="greaterThanOrEqual">
      <formula>$K$74</formula>
    </cfRule>
  </conditionalFormatting>
  <conditionalFormatting sqref="AR50:AT50 AR48:AT48 AP58:AT59 AR62:AS62 AS38 AS40 AR33:AS33 AT5 AR34:AR44 AP11:AT27 AR45:AS47">
    <cfRule type="cellIs" dxfId="110" priority="14" stopIfTrue="1" operator="lessThan">
      <formula>0</formula>
    </cfRule>
  </conditionalFormatting>
  <conditionalFormatting sqref="P203:P205 AJ58:AJ59 F62 Z62 F58:F60 P62:P68 P58:P60 Z58:Z60 F11:F26 AJ11:AJ27 P11:P27 Z11:Z27 Z33:Z50 P33:P55 F33:F50">
    <cfRule type="cellIs" dxfId="109" priority="13" stopIfTrue="1" operator="lessThanOrEqual">
      <formula>0</formula>
    </cfRule>
  </conditionalFormatting>
  <conditionalFormatting sqref="S203:S205 AM58:AM59 AC62 I62 AC58:AC60 S62:S68 S58:S60 I58:I60 AM11:AM27 I11:I26 S11:S27 AC11:AC27 AC33:AC50 S33:S55 I33:I50">
    <cfRule type="cellIs" dxfId="108" priority="12" stopIfTrue="1" operator="lessThanOrEqual">
      <formula>0</formula>
    </cfRule>
  </conditionalFormatting>
  <conditionalFormatting sqref="U203:V205 K58:L60 AO58:AO59 AE58:AE59 K62:L62 AE62:AF62 U62:V68 AE60:AF60 U58:V60 K48:L50 AE48:AF50 U48:V56 AF45:AF46 L45:L46 V45:V46 U43:V43 AE43:AF43 L39:L42 AF39:AF42 U33:V33 K26:L27 AE26:AF27 K33:L33 U26:V27 AE33:AF33 L23:L24 V23:V24 U34:U42 AE34:AE42 K16:L19 L20 V16:V20 K12:K15 K11:L11 U11:V11 V38:V42 K20:K25 U12:U25 AE11:AE25 AO11:AO27 U44:U47 AE44:AE47 K34:K47">
    <cfRule type="cellIs" dxfId="107" priority="11" stopIfTrue="1" operator="lessThanOrEqual">
      <formula>0</formula>
    </cfRule>
  </conditionalFormatting>
  <conditionalFormatting sqref="W213:X222 Z203:AA205 W224:X224 Z63:AA63 AA68:AB70 AA73:AB74 Z51:AA55 W75:X76 W78:X89">
    <cfRule type="cellIs" dxfId="106" priority="10" stopIfTrue="1" operator="lessThan">
      <formula>0</formula>
    </cfRule>
  </conditionalFormatting>
  <conditionalFormatting sqref="X203:X205 U224 U213:U222 X63:X68 X51 X53:X55 U75:U76 U78:U89">
    <cfRule type="cellIs" dxfId="105" priority="9" stopIfTrue="1" operator="greaterThan">
      <formula>48</formula>
    </cfRule>
  </conditionalFormatting>
  <conditionalFormatting sqref="C279:C283 C291:D294 C162:D162 D279:D290 C90:D145 C244:D244 C225:D225">
    <cfRule type="cellIs" dxfId="104" priority="8" stopIfTrue="1" operator="lessThan">
      <formula>$C$73</formula>
    </cfRule>
  </conditionalFormatting>
  <conditionalFormatting sqref="AI62:AO62 AI33:AO50">
    <cfRule type="cellIs" dxfId="103" priority="6" stopIfTrue="1" operator="equal">
      <formula>0</formula>
    </cfRule>
    <cfRule type="cellIs" dxfId="102" priority="7" stopIfTrue="1" operator="lessThan">
      <formula>0</formula>
    </cfRule>
  </conditionalFormatting>
  <conditionalFormatting sqref="AT62 AT33:AT47">
    <cfRule type="cellIs" dxfId="101" priority="4" stopIfTrue="1" operator="greaterThan">
      <formula>0</formula>
    </cfRule>
    <cfRule type="cellIs" dxfId="100" priority="5" stopIfTrue="1" operator="lessThan">
      <formula>1</formula>
    </cfRule>
  </conditionalFormatting>
  <conditionalFormatting sqref="K210:L220 K223:L223 K73:L88">
    <cfRule type="cellIs" dxfId="99" priority="3" stopIfTrue="1" operator="greaterThanOrEqual">
      <formula>$K$71</formula>
    </cfRule>
  </conditionalFormatting>
  <conditionalFormatting sqref="AF58:AF59 L12:L25 AF11:AF25 V12:V25 AF33:AF47 V33:V47 L33:L47">
    <cfRule type="cellIs" dxfId="98" priority="1" stopIfTrue="1" operator="equal">
      <formula>0</formula>
    </cfRule>
    <cfRule type="cellIs" dxfId="97" priority="2" stopIfTrue="1" operator="lessThan">
      <formula>0</formula>
    </cfRule>
  </conditionalFormatting>
  <hyperlinks>
    <hyperlink ref="AB215" r:id="rId1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F14:BA14 AK36 AF21:BA22 AF19 AJ19:BA19 AF17:BA17 AF23:BA23 AQ24:AT24 AF18:AO18 AQ18:BA18 AF15:AO15 AQ15:BA15 AC16 AF16:AM16 AO16:BA16" formula="1"/>
  </ignoredErrors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H280"/>
  <sheetViews>
    <sheetView zoomScale="90" zoomScaleNormal="90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L41" sqref="L41"/>
    </sheetView>
  </sheetViews>
  <sheetFormatPr baseColWidth="10" defaultRowHeight="15"/>
  <cols>
    <col min="1" max="1" width="2.28515625" style="1" customWidth="1"/>
    <col min="2" max="2" width="13.7109375" style="7" customWidth="1"/>
    <col min="3" max="4" width="4.28515625" style="3" customWidth="1"/>
    <col min="5" max="5" width="4.28515625" style="4" customWidth="1"/>
    <col min="6" max="6" width="4.28515625" style="5" customWidth="1"/>
    <col min="7" max="8" width="4.28515625" style="3" customWidth="1"/>
    <col min="9" max="9" width="4.28515625" style="5" customWidth="1"/>
    <col min="10" max="10" width="4.28515625" style="3" customWidth="1"/>
    <col min="11" max="12" width="4.28515625" style="6" customWidth="1"/>
    <col min="13" max="26" width="4.28515625" style="3" customWidth="1"/>
    <col min="27" max="39" width="4.28515625" style="7" customWidth="1"/>
    <col min="40" max="40" width="4.7109375" style="7" customWidth="1"/>
    <col min="41" max="41" width="4.28515625" style="7" customWidth="1"/>
    <col min="42" max="42" width="4.7109375" style="7" customWidth="1"/>
    <col min="43" max="43" width="0.5703125" style="7" customWidth="1"/>
    <col min="44" max="45" width="4.140625" style="7" customWidth="1"/>
    <col min="46" max="46" width="7.7109375" style="7" customWidth="1"/>
    <col min="47" max="47" width="0.85546875" style="7" customWidth="1"/>
    <col min="48" max="54" width="2.7109375" style="7" customWidth="1"/>
    <col min="55" max="55" width="0.85546875" style="7" customWidth="1"/>
    <col min="56" max="56" width="8.42578125" style="7" bestFit="1" customWidth="1"/>
    <col min="57" max="57" width="10.28515625" style="7" customWidth="1"/>
    <col min="58" max="59" width="11.42578125" style="7"/>
    <col min="60" max="62" width="12.7109375" style="7" customWidth="1"/>
    <col min="63" max="16384" width="11.42578125" style="7"/>
  </cols>
  <sheetData>
    <row r="1" spans="1:60" ht="6.95" customHeight="1">
      <c r="B1" s="2">
        <f>+W27</f>
        <v>43866</v>
      </c>
      <c r="C1" s="3" t="s">
        <v>0</v>
      </c>
      <c r="AN1" s="8"/>
      <c r="AO1" s="8"/>
      <c r="AR1" s="734">
        <f>+AR48+AT48</f>
        <v>192</v>
      </c>
      <c r="AS1" s="735"/>
      <c r="AT1" s="735"/>
      <c r="AU1" s="736"/>
    </row>
    <row r="2" spans="1:60" ht="6.95" customHeight="1">
      <c r="AJ2" s="8"/>
      <c r="AK2" s="8"/>
      <c r="AL2" s="8"/>
      <c r="AM2" s="8"/>
      <c r="AN2" s="8"/>
      <c r="AO2" s="8"/>
      <c r="AR2" s="737"/>
      <c r="AS2" s="738"/>
      <c r="AT2" s="738"/>
      <c r="AU2" s="739"/>
    </row>
    <row r="3" spans="1:60" s="10" customFormat="1" ht="20.100000000000001" customHeight="1">
      <c r="A3" s="1"/>
      <c r="B3" s="740">
        <f>+B1+1</f>
        <v>43867</v>
      </c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740"/>
      <c r="AB3" s="740"/>
      <c r="AC3" s="740"/>
      <c r="AD3" s="740"/>
      <c r="AE3" s="740"/>
      <c r="AF3" s="740"/>
      <c r="AG3" s="740"/>
      <c r="AH3" s="740"/>
      <c r="AI3" s="740"/>
      <c r="AJ3" s="740"/>
      <c r="AK3" s="740"/>
      <c r="AL3" s="740"/>
      <c r="AM3" s="740"/>
      <c r="AN3" s="740"/>
      <c r="AO3" s="740"/>
      <c r="AP3" s="9"/>
      <c r="AT3" s="11"/>
    </row>
    <row r="4" spans="1:60" ht="3" customHeight="1" thickBot="1">
      <c r="B4" s="12"/>
      <c r="C4" s="3">
        <v>0</v>
      </c>
    </row>
    <row r="5" spans="1:60" ht="9.9499999999999993" customHeight="1">
      <c r="B5" s="741" t="s">
        <v>1</v>
      </c>
      <c r="C5" s="744">
        <v>43860</v>
      </c>
      <c r="D5" s="744"/>
      <c r="E5" s="744"/>
      <c r="F5" s="744"/>
      <c r="G5" s="744"/>
      <c r="H5" s="744"/>
      <c r="I5" s="744"/>
      <c r="J5" s="744"/>
      <c r="K5" s="746"/>
      <c r="L5" s="747"/>
      <c r="M5" s="744">
        <f>1+C5</f>
        <v>43861</v>
      </c>
      <c r="N5" s="744"/>
      <c r="O5" s="744"/>
      <c r="P5" s="744"/>
      <c r="Q5" s="744"/>
      <c r="R5" s="744"/>
      <c r="S5" s="744"/>
      <c r="T5" s="744"/>
      <c r="U5" s="746"/>
      <c r="V5" s="747"/>
      <c r="W5" s="750">
        <f>1+M5</f>
        <v>43862</v>
      </c>
      <c r="X5" s="750"/>
      <c r="Y5" s="750"/>
      <c r="Z5" s="750"/>
      <c r="AA5" s="750"/>
      <c r="AB5" s="750"/>
      <c r="AC5" s="750"/>
      <c r="AD5" s="750"/>
      <c r="AE5" s="752"/>
      <c r="AF5" s="753"/>
      <c r="AG5" s="756">
        <f>1+W5</f>
        <v>43863</v>
      </c>
      <c r="AH5" s="757"/>
      <c r="AI5" s="757"/>
      <c r="AJ5" s="757"/>
      <c r="AK5" s="757"/>
      <c r="AL5" s="757"/>
      <c r="AM5" s="757"/>
      <c r="AN5" s="757"/>
      <c r="AO5" s="791" t="s">
        <v>2</v>
      </c>
      <c r="AP5" s="793" t="s">
        <v>3</v>
      </c>
      <c r="AQ5" s="794"/>
      <c r="AR5" s="794"/>
      <c r="AS5" s="795"/>
      <c r="AT5" s="802" t="s">
        <v>4</v>
      </c>
      <c r="AV5" s="779" t="s">
        <v>5</v>
      </c>
      <c r="AW5" s="779"/>
      <c r="AX5" s="779"/>
      <c r="AY5" s="779"/>
      <c r="AZ5" s="779"/>
      <c r="BA5" s="779"/>
      <c r="BB5" s="779"/>
      <c r="BC5" s="13"/>
      <c r="BD5" s="804" t="s">
        <v>6</v>
      </c>
      <c r="BE5" s="805" t="s">
        <v>7</v>
      </c>
      <c r="BF5" s="776" t="s">
        <v>8</v>
      </c>
    </row>
    <row r="6" spans="1:60" ht="9.9499999999999993" customHeight="1">
      <c r="B6" s="742"/>
      <c r="C6" s="745"/>
      <c r="D6" s="745"/>
      <c r="E6" s="745"/>
      <c r="F6" s="745"/>
      <c r="G6" s="745"/>
      <c r="H6" s="745"/>
      <c r="I6" s="745"/>
      <c r="J6" s="745"/>
      <c r="K6" s="748"/>
      <c r="L6" s="749"/>
      <c r="M6" s="745"/>
      <c r="N6" s="745"/>
      <c r="O6" s="745"/>
      <c r="P6" s="745"/>
      <c r="Q6" s="745"/>
      <c r="R6" s="745"/>
      <c r="S6" s="745"/>
      <c r="T6" s="745"/>
      <c r="U6" s="748"/>
      <c r="V6" s="749"/>
      <c r="W6" s="751"/>
      <c r="X6" s="751"/>
      <c r="Y6" s="751"/>
      <c r="Z6" s="751"/>
      <c r="AA6" s="751"/>
      <c r="AB6" s="751"/>
      <c r="AC6" s="751"/>
      <c r="AD6" s="751"/>
      <c r="AE6" s="754"/>
      <c r="AF6" s="755"/>
      <c r="AG6" s="758"/>
      <c r="AH6" s="759"/>
      <c r="AI6" s="759"/>
      <c r="AJ6" s="759"/>
      <c r="AK6" s="759"/>
      <c r="AL6" s="759"/>
      <c r="AM6" s="759"/>
      <c r="AN6" s="759"/>
      <c r="AO6" s="792"/>
      <c r="AP6" s="796"/>
      <c r="AQ6" s="797"/>
      <c r="AR6" s="797"/>
      <c r="AS6" s="798"/>
      <c r="AT6" s="803"/>
      <c r="AV6" s="779" t="s">
        <v>9</v>
      </c>
      <c r="AW6" s="779"/>
      <c r="AX6" s="779"/>
      <c r="AY6" s="779"/>
      <c r="AZ6" s="779"/>
      <c r="BA6" s="779"/>
      <c r="BB6" s="779"/>
      <c r="BC6" s="13"/>
      <c r="BD6" s="804"/>
      <c r="BE6" s="805"/>
      <c r="BF6" s="777"/>
    </row>
    <row r="7" spans="1:60" ht="15.2" customHeight="1">
      <c r="B7" s="742"/>
      <c r="C7" s="780" t="s">
        <v>10</v>
      </c>
      <c r="D7" s="781"/>
      <c r="E7" s="766" t="s">
        <v>11</v>
      </c>
      <c r="F7" s="769" t="s">
        <v>12</v>
      </c>
      <c r="G7" s="772" t="s">
        <v>10</v>
      </c>
      <c r="H7" s="761"/>
      <c r="I7" s="769" t="s">
        <v>12</v>
      </c>
      <c r="J7" s="773" t="s">
        <v>13</v>
      </c>
      <c r="K7" s="786" t="s">
        <v>14</v>
      </c>
      <c r="L7" s="789" t="s">
        <v>15</v>
      </c>
      <c r="M7" s="760" t="s">
        <v>10</v>
      </c>
      <c r="N7" s="761"/>
      <c r="O7" s="766" t="s">
        <v>11</v>
      </c>
      <c r="P7" s="769" t="s">
        <v>12</v>
      </c>
      <c r="Q7" s="772" t="s">
        <v>10</v>
      </c>
      <c r="R7" s="761"/>
      <c r="S7" s="769" t="s">
        <v>12</v>
      </c>
      <c r="T7" s="773" t="s">
        <v>13</v>
      </c>
      <c r="U7" s="786" t="s">
        <v>14</v>
      </c>
      <c r="V7" s="789" t="s">
        <v>15</v>
      </c>
      <c r="W7" s="814" t="s">
        <v>10</v>
      </c>
      <c r="X7" s="810"/>
      <c r="Y7" s="766" t="s">
        <v>11</v>
      </c>
      <c r="Z7" s="769" t="s">
        <v>12</v>
      </c>
      <c r="AA7" s="809" t="s">
        <v>10</v>
      </c>
      <c r="AB7" s="810"/>
      <c r="AC7" s="769" t="s">
        <v>12</v>
      </c>
      <c r="AD7" s="773" t="s">
        <v>13</v>
      </c>
      <c r="AE7" s="807" t="s">
        <v>14</v>
      </c>
      <c r="AF7" s="789" t="s">
        <v>15</v>
      </c>
      <c r="AG7" s="809" t="s">
        <v>10</v>
      </c>
      <c r="AH7" s="810"/>
      <c r="AI7" s="766" t="s">
        <v>11</v>
      </c>
      <c r="AJ7" s="825" t="s">
        <v>12</v>
      </c>
      <c r="AK7" s="809" t="s">
        <v>10</v>
      </c>
      <c r="AL7" s="810"/>
      <c r="AM7" s="769" t="s">
        <v>12</v>
      </c>
      <c r="AN7" s="828" t="s">
        <v>16</v>
      </c>
      <c r="AO7" s="830" t="s">
        <v>14</v>
      </c>
      <c r="AP7" s="796"/>
      <c r="AQ7" s="797"/>
      <c r="AR7" s="797"/>
      <c r="AS7" s="798"/>
      <c r="AT7" s="803"/>
      <c r="AV7" s="806">
        <f>+C5</f>
        <v>43860</v>
      </c>
      <c r="AW7" s="806">
        <f>+M5</f>
        <v>43861</v>
      </c>
      <c r="AX7" s="806">
        <f>+W5</f>
        <v>43862</v>
      </c>
      <c r="AY7" s="832">
        <f>+AG5</f>
        <v>43863</v>
      </c>
      <c r="AZ7" s="806">
        <f>+C27</f>
        <v>43864</v>
      </c>
      <c r="BA7" s="806">
        <f>+M27</f>
        <v>43865</v>
      </c>
      <c r="BB7" s="806">
        <f>+W27</f>
        <v>43866</v>
      </c>
      <c r="BC7" s="14"/>
      <c r="BD7" s="804"/>
      <c r="BE7" s="805"/>
      <c r="BF7" s="777"/>
    </row>
    <row r="8" spans="1:60" ht="15.2" customHeight="1">
      <c r="B8" s="742"/>
      <c r="C8" s="782"/>
      <c r="D8" s="783"/>
      <c r="E8" s="767"/>
      <c r="F8" s="770"/>
      <c r="G8" s="763"/>
      <c r="H8" s="763"/>
      <c r="I8" s="770"/>
      <c r="J8" s="774"/>
      <c r="K8" s="787"/>
      <c r="L8" s="789"/>
      <c r="M8" s="762"/>
      <c r="N8" s="763"/>
      <c r="O8" s="767"/>
      <c r="P8" s="770"/>
      <c r="Q8" s="763"/>
      <c r="R8" s="763"/>
      <c r="S8" s="770"/>
      <c r="T8" s="774"/>
      <c r="U8" s="787"/>
      <c r="V8" s="789"/>
      <c r="W8" s="815"/>
      <c r="X8" s="810"/>
      <c r="Y8" s="767"/>
      <c r="Z8" s="770"/>
      <c r="AA8" s="811"/>
      <c r="AB8" s="810"/>
      <c r="AC8" s="770"/>
      <c r="AD8" s="774"/>
      <c r="AE8" s="807"/>
      <c r="AF8" s="789"/>
      <c r="AG8" s="811"/>
      <c r="AH8" s="810"/>
      <c r="AI8" s="767"/>
      <c r="AJ8" s="826"/>
      <c r="AK8" s="811"/>
      <c r="AL8" s="810"/>
      <c r="AM8" s="770"/>
      <c r="AN8" s="828"/>
      <c r="AO8" s="830"/>
      <c r="AP8" s="796"/>
      <c r="AQ8" s="797"/>
      <c r="AR8" s="797"/>
      <c r="AS8" s="798"/>
      <c r="AT8" s="803"/>
      <c r="AV8" s="806"/>
      <c r="AW8" s="806"/>
      <c r="AX8" s="806"/>
      <c r="AY8" s="832"/>
      <c r="AZ8" s="806"/>
      <c r="BA8" s="806"/>
      <c r="BB8" s="806"/>
      <c r="BC8" s="14"/>
      <c r="BD8" s="804"/>
      <c r="BE8" s="805"/>
      <c r="BF8" s="777"/>
    </row>
    <row r="9" spans="1:60" ht="15.2" customHeight="1">
      <c r="B9" s="742"/>
      <c r="C9" s="782"/>
      <c r="D9" s="783"/>
      <c r="E9" s="767"/>
      <c r="F9" s="770"/>
      <c r="G9" s="763"/>
      <c r="H9" s="763"/>
      <c r="I9" s="770"/>
      <c r="J9" s="774"/>
      <c r="K9" s="787"/>
      <c r="L9" s="789"/>
      <c r="M9" s="762"/>
      <c r="N9" s="763"/>
      <c r="O9" s="767"/>
      <c r="P9" s="770"/>
      <c r="Q9" s="763"/>
      <c r="R9" s="763"/>
      <c r="S9" s="770"/>
      <c r="T9" s="774"/>
      <c r="U9" s="787"/>
      <c r="V9" s="789"/>
      <c r="W9" s="815"/>
      <c r="X9" s="810"/>
      <c r="Y9" s="767"/>
      <c r="Z9" s="770"/>
      <c r="AA9" s="811"/>
      <c r="AB9" s="810"/>
      <c r="AC9" s="770"/>
      <c r="AD9" s="774"/>
      <c r="AE9" s="807"/>
      <c r="AF9" s="789"/>
      <c r="AG9" s="811"/>
      <c r="AH9" s="810"/>
      <c r="AI9" s="767"/>
      <c r="AJ9" s="826"/>
      <c r="AK9" s="811"/>
      <c r="AL9" s="810"/>
      <c r="AM9" s="770"/>
      <c r="AN9" s="828"/>
      <c r="AO9" s="830"/>
      <c r="AP9" s="796"/>
      <c r="AQ9" s="797"/>
      <c r="AR9" s="797"/>
      <c r="AS9" s="798"/>
      <c r="AT9" s="803"/>
      <c r="AV9" s="806"/>
      <c r="AW9" s="806"/>
      <c r="AX9" s="806"/>
      <c r="AY9" s="832"/>
      <c r="AZ9" s="806"/>
      <c r="BA9" s="806"/>
      <c r="BB9" s="806"/>
      <c r="BC9" s="14"/>
      <c r="BD9" s="804"/>
      <c r="BE9" s="805"/>
      <c r="BF9" s="777"/>
    </row>
    <row r="10" spans="1:60" ht="15.2" customHeight="1" thickBot="1">
      <c r="B10" s="743"/>
      <c r="C10" s="784"/>
      <c r="D10" s="785"/>
      <c r="E10" s="768"/>
      <c r="F10" s="771"/>
      <c r="G10" s="765"/>
      <c r="H10" s="765"/>
      <c r="I10" s="771"/>
      <c r="J10" s="775"/>
      <c r="K10" s="788"/>
      <c r="L10" s="790"/>
      <c r="M10" s="764"/>
      <c r="N10" s="765"/>
      <c r="O10" s="768"/>
      <c r="P10" s="771"/>
      <c r="Q10" s="765"/>
      <c r="R10" s="765"/>
      <c r="S10" s="771"/>
      <c r="T10" s="775"/>
      <c r="U10" s="788"/>
      <c r="V10" s="790"/>
      <c r="W10" s="816"/>
      <c r="X10" s="813"/>
      <c r="Y10" s="768"/>
      <c r="Z10" s="771"/>
      <c r="AA10" s="812"/>
      <c r="AB10" s="813"/>
      <c r="AC10" s="771"/>
      <c r="AD10" s="775"/>
      <c r="AE10" s="808"/>
      <c r="AF10" s="790"/>
      <c r="AG10" s="812"/>
      <c r="AH10" s="813"/>
      <c r="AI10" s="768"/>
      <c r="AJ10" s="827"/>
      <c r="AK10" s="812"/>
      <c r="AL10" s="813"/>
      <c r="AM10" s="771"/>
      <c r="AN10" s="829"/>
      <c r="AO10" s="831"/>
      <c r="AP10" s="799"/>
      <c r="AQ10" s="800"/>
      <c r="AR10" s="800"/>
      <c r="AS10" s="801"/>
      <c r="AT10" s="15">
        <v>4</v>
      </c>
      <c r="AV10" s="806"/>
      <c r="AW10" s="806"/>
      <c r="AX10" s="806"/>
      <c r="AY10" s="832"/>
      <c r="AZ10" s="806"/>
      <c r="BA10" s="806"/>
      <c r="BB10" s="806"/>
      <c r="BC10" s="14"/>
      <c r="BD10" s="804"/>
      <c r="BE10" s="805"/>
      <c r="BF10" s="778"/>
    </row>
    <row r="11" spans="1:60" ht="14.1" customHeight="1">
      <c r="A11" s="1">
        <v>1</v>
      </c>
      <c r="B11" s="16" t="str">
        <f t="shared" ref="B11:B25" si="0">+B73</f>
        <v>Eduardo Segura D.</v>
      </c>
      <c r="C11" s="17">
        <v>7</v>
      </c>
      <c r="D11" s="18">
        <v>16</v>
      </c>
      <c r="E11" s="19">
        <v>1</v>
      </c>
      <c r="F11" s="20">
        <f t="shared" ref="F11:F21" si="1">+D11-C11-E11</f>
        <v>8</v>
      </c>
      <c r="G11" s="21"/>
      <c r="H11" s="22"/>
      <c r="I11" s="20">
        <f t="shared" ref="I11:I21" si="2">+H11-G11</f>
        <v>0</v>
      </c>
      <c r="J11" s="23"/>
      <c r="K11" s="24">
        <f t="shared" ref="K11:K21" si="3">+I11+F11-L11</f>
        <v>8</v>
      </c>
      <c r="L11" s="25">
        <f t="shared" ref="L11:L25" si="4">IF(C11&gt;0,(F11+I11)+IF(K$5&gt;0,F11,-8),0)+IF(U$5&gt;0,I11,0)</f>
        <v>0</v>
      </c>
      <c r="M11" s="26">
        <v>7</v>
      </c>
      <c r="N11" s="21">
        <v>16</v>
      </c>
      <c r="O11" s="23">
        <v>1</v>
      </c>
      <c r="P11" s="20">
        <f t="shared" ref="P11:P21" si="5">+N11-M11-O11</f>
        <v>8</v>
      </c>
      <c r="Q11" s="22"/>
      <c r="R11" s="22"/>
      <c r="S11" s="20">
        <f t="shared" ref="S11:S21" si="6">+R11-Q11</f>
        <v>0</v>
      </c>
      <c r="T11" s="23"/>
      <c r="U11" s="24">
        <f t="shared" ref="U11:U21" si="7">+S11+P11-V11</f>
        <v>8</v>
      </c>
      <c r="V11" s="25">
        <f t="shared" ref="V11:V21" si="8">IF(M11&gt;0,(P11+S11)+IF(U$5&gt;0,P11,-8),0)+IF(AE$5&gt;0,S11,0)</f>
        <v>0</v>
      </c>
      <c r="W11" s="26"/>
      <c r="X11" s="22"/>
      <c r="Y11" s="27"/>
      <c r="Z11" s="20">
        <f t="shared" ref="Z11:Z21" si="9">+X11-W11-Y11</f>
        <v>0</v>
      </c>
      <c r="AA11" s="22"/>
      <c r="AB11" s="28"/>
      <c r="AC11" s="20">
        <f t="shared" ref="AC11:AC21" si="10">+AB11-AA11</f>
        <v>0</v>
      </c>
      <c r="AD11" s="23"/>
      <c r="AE11" s="24">
        <f t="shared" ref="AE11:AE25" si="11">+AC11+Z11-IF(AE$5&gt;0,AF11/2,AF11)</f>
        <v>0</v>
      </c>
      <c r="AF11" s="25">
        <f>IF(W11&gt;0,IF(AE$5&gt;0,(Z11+AC11)*2,(Z11+AC11-8)),0)*IF(Z11&lt;9,IF(AE$5&gt;0,1,2),1)+IF(Z11&gt;8,AC11,0)</f>
        <v>0</v>
      </c>
      <c r="AG11" s="22"/>
      <c r="AH11" s="22"/>
      <c r="AI11" s="27"/>
      <c r="AJ11" s="29">
        <f t="shared" ref="AJ11:AJ25" si="12">+AH11-AG11-AI11</f>
        <v>0</v>
      </c>
      <c r="AK11" s="21"/>
      <c r="AL11" s="21"/>
      <c r="AM11" s="20">
        <f t="shared" ref="AM11:AM21" si="13">+AL11-AK11</f>
        <v>0</v>
      </c>
      <c r="AN11" s="30"/>
      <c r="AO11" s="31">
        <f t="shared" ref="AO11:AO21" si="14">(AJ11*2+AM11)</f>
        <v>0</v>
      </c>
      <c r="AP11" s="817">
        <f t="shared" ref="AP11:AP18" si="15">+L11+V11+AF11+AO11+L33+V33+AF33-AN11</f>
        <v>-1</v>
      </c>
      <c r="AQ11" s="818"/>
      <c r="AR11" s="819">
        <f t="shared" ref="AR11:AR21" si="16">ROUND(BD11*AP11,1)</f>
        <v>-4.5</v>
      </c>
      <c r="AS11" s="820"/>
      <c r="AT11" s="32">
        <f>IF(AT33&gt;0,AT33*$AT$10,0)</f>
        <v>20</v>
      </c>
      <c r="AV11" s="33">
        <f t="shared" ref="AV11:AV21" si="17">+L11</f>
        <v>0</v>
      </c>
      <c r="AW11" s="33">
        <f t="shared" ref="AW11:AW21" si="18">+V11</f>
        <v>0</v>
      </c>
      <c r="AX11" s="33">
        <f t="shared" ref="AX11:AX21" si="19">+AF11</f>
        <v>0</v>
      </c>
      <c r="AY11" s="34">
        <f t="shared" ref="AY11:AY21" si="20">+AO11</f>
        <v>0</v>
      </c>
      <c r="AZ11" s="33">
        <f>+L33</f>
        <v>-1</v>
      </c>
      <c r="BA11" s="33">
        <f>+V33</f>
        <v>0</v>
      </c>
      <c r="BB11" s="33">
        <f>+AF33</f>
        <v>0</v>
      </c>
      <c r="BC11" s="35"/>
      <c r="BD11" s="36">
        <f t="shared" ref="BD11:BD25" si="21">+I73</f>
        <v>4.5464285714285708</v>
      </c>
      <c r="BE11" s="37">
        <f t="shared" ref="BE11:BE21" si="22">+BD11*AP11</f>
        <v>-4.5464285714285708</v>
      </c>
      <c r="BF11" s="38">
        <f t="shared" ref="BF11:BF21" si="23">+BD11*AY11</f>
        <v>0</v>
      </c>
    </row>
    <row r="12" spans="1:60" ht="14.1" customHeight="1">
      <c r="A12" s="1">
        <v>2</v>
      </c>
      <c r="B12" s="63" t="str">
        <f t="shared" si="0"/>
        <v>Cesar Mendez M.</v>
      </c>
      <c r="C12" s="17">
        <v>18</v>
      </c>
      <c r="D12" s="18">
        <v>24</v>
      </c>
      <c r="E12" s="19">
        <v>1</v>
      </c>
      <c r="F12" s="40">
        <f t="shared" si="1"/>
        <v>5</v>
      </c>
      <c r="G12" s="18">
        <v>0</v>
      </c>
      <c r="H12" s="18">
        <v>7</v>
      </c>
      <c r="I12" s="40">
        <f t="shared" si="2"/>
        <v>7</v>
      </c>
      <c r="J12" s="19">
        <v>8</v>
      </c>
      <c r="K12" s="41">
        <f t="shared" si="3"/>
        <v>8</v>
      </c>
      <c r="L12" s="25">
        <f t="shared" si="4"/>
        <v>4</v>
      </c>
      <c r="M12" s="618">
        <v>7</v>
      </c>
      <c r="N12" s="18">
        <v>19</v>
      </c>
      <c r="O12" s="19">
        <v>1</v>
      </c>
      <c r="P12" s="40">
        <f t="shared" si="5"/>
        <v>11</v>
      </c>
      <c r="Q12" s="43"/>
      <c r="R12" s="43"/>
      <c r="S12" s="40">
        <f t="shared" si="6"/>
        <v>0</v>
      </c>
      <c r="T12" s="19"/>
      <c r="U12" s="41">
        <f t="shared" si="7"/>
        <v>8</v>
      </c>
      <c r="V12" s="25">
        <f t="shared" si="8"/>
        <v>3</v>
      </c>
      <c r="W12" s="18">
        <v>7</v>
      </c>
      <c r="X12" s="18">
        <v>16</v>
      </c>
      <c r="Y12" s="19">
        <v>1</v>
      </c>
      <c r="Z12" s="40">
        <f t="shared" si="9"/>
        <v>8</v>
      </c>
      <c r="AA12" s="44"/>
      <c r="AB12" s="28"/>
      <c r="AC12" s="40">
        <f t="shared" si="10"/>
        <v>0</v>
      </c>
      <c r="AD12" s="19"/>
      <c r="AE12" s="41">
        <f t="shared" si="11"/>
        <v>8</v>
      </c>
      <c r="AF12" s="25">
        <f>IF(W12&gt;0,IF(AE$5&gt;0,(Z12+AC12)*2,(Z12+AC12-8)),0)*IF(Z12&lt;9,IF(AE$5&gt;0,1,2),1)+IF(Z12&gt;8,AC12,0)</f>
        <v>0</v>
      </c>
      <c r="AG12" s="45">
        <v>8</v>
      </c>
      <c r="AH12" s="18">
        <v>16</v>
      </c>
      <c r="AI12" s="19">
        <v>1</v>
      </c>
      <c r="AJ12" s="46">
        <f>+AH12-AG12-AI12</f>
        <v>7</v>
      </c>
      <c r="AK12" s="18"/>
      <c r="AL12" s="18"/>
      <c r="AM12" s="40">
        <f t="shared" si="13"/>
        <v>0</v>
      </c>
      <c r="AN12" s="47"/>
      <c r="AO12" s="48">
        <f t="shared" si="14"/>
        <v>14</v>
      </c>
      <c r="AP12" s="821">
        <f t="shared" si="15"/>
        <v>24</v>
      </c>
      <c r="AQ12" s="822"/>
      <c r="AR12" s="823">
        <f t="shared" si="16"/>
        <v>123.2</v>
      </c>
      <c r="AS12" s="824"/>
      <c r="AT12" s="49">
        <f>IF(AT34&gt;0,AT34*$AT$10,0)</f>
        <v>28</v>
      </c>
      <c r="AV12" s="33">
        <f t="shared" si="17"/>
        <v>4</v>
      </c>
      <c r="AW12" s="33">
        <f t="shared" si="18"/>
        <v>3</v>
      </c>
      <c r="AX12" s="33">
        <f t="shared" si="19"/>
        <v>0</v>
      </c>
      <c r="AY12" s="34">
        <f t="shared" si="20"/>
        <v>14</v>
      </c>
      <c r="AZ12" s="33">
        <f>+L34</f>
        <v>1</v>
      </c>
      <c r="BA12" s="33">
        <f>+V34</f>
        <v>1</v>
      </c>
      <c r="BB12" s="33">
        <f>+AF34</f>
        <v>1</v>
      </c>
      <c r="BC12" s="35"/>
      <c r="BD12" s="36">
        <f t="shared" si="21"/>
        <v>5.1339285714285712</v>
      </c>
      <c r="BE12" s="37">
        <f t="shared" si="22"/>
        <v>123.21428571428571</v>
      </c>
      <c r="BF12" s="38">
        <f t="shared" si="23"/>
        <v>71.875</v>
      </c>
    </row>
    <row r="13" spans="1:60" ht="14.1" customHeight="1">
      <c r="A13" s="1">
        <v>4</v>
      </c>
      <c r="B13" s="63" t="str">
        <f t="shared" si="0"/>
        <v>Juan Manrique V.</v>
      </c>
      <c r="C13" s="17">
        <v>7</v>
      </c>
      <c r="D13" s="18">
        <v>17</v>
      </c>
      <c r="E13" s="19">
        <v>1</v>
      </c>
      <c r="F13" s="40">
        <f t="shared" si="1"/>
        <v>9</v>
      </c>
      <c r="G13" s="18"/>
      <c r="H13" s="43"/>
      <c r="I13" s="40">
        <f t="shared" si="2"/>
        <v>0</v>
      </c>
      <c r="J13" s="19"/>
      <c r="K13" s="41">
        <f t="shared" si="3"/>
        <v>8</v>
      </c>
      <c r="L13" s="25">
        <f t="shared" si="4"/>
        <v>1</v>
      </c>
      <c r="M13" s="618">
        <v>7</v>
      </c>
      <c r="N13" s="18">
        <v>16</v>
      </c>
      <c r="O13" s="19">
        <v>1</v>
      </c>
      <c r="P13" s="40">
        <f t="shared" si="5"/>
        <v>8</v>
      </c>
      <c r="Q13" s="43"/>
      <c r="R13" s="43"/>
      <c r="S13" s="40">
        <f t="shared" si="6"/>
        <v>0</v>
      </c>
      <c r="T13" s="19"/>
      <c r="U13" s="41">
        <f t="shared" si="7"/>
        <v>8</v>
      </c>
      <c r="V13" s="25">
        <f t="shared" si="8"/>
        <v>0</v>
      </c>
      <c r="W13" s="18">
        <v>8</v>
      </c>
      <c r="X13" s="18">
        <v>16</v>
      </c>
      <c r="Y13" s="19">
        <v>1</v>
      </c>
      <c r="Z13" s="40">
        <f t="shared" si="9"/>
        <v>7</v>
      </c>
      <c r="AA13" s="43"/>
      <c r="AB13" s="28">
        <v>0.5</v>
      </c>
      <c r="AC13" s="40">
        <f t="shared" si="10"/>
        <v>0.5</v>
      </c>
      <c r="AD13" s="19"/>
      <c r="AE13" s="41">
        <f t="shared" si="11"/>
        <v>8.5</v>
      </c>
      <c r="AF13" s="25">
        <f>IF(W13&gt;0,IF(AE$5&gt;0,(Z13+AC13)*2,(Z13+AC13-8)),0)*IF(Z13&lt;9,IF(AE$5&gt;0,1,2),1)+IF(Z13&gt;8,AC13,0)</f>
        <v>-1</v>
      </c>
      <c r="AG13" s="45"/>
      <c r="AH13" s="18"/>
      <c r="AI13" s="19"/>
      <c r="AJ13" s="46">
        <f t="shared" si="12"/>
        <v>0</v>
      </c>
      <c r="AK13" s="18"/>
      <c r="AL13" s="18"/>
      <c r="AM13" s="40">
        <f t="shared" si="13"/>
        <v>0</v>
      </c>
      <c r="AN13" s="47"/>
      <c r="AO13" s="48">
        <f t="shared" si="14"/>
        <v>0</v>
      </c>
      <c r="AP13" s="845">
        <f t="shared" si="15"/>
        <v>2</v>
      </c>
      <c r="AQ13" s="846"/>
      <c r="AR13" s="823">
        <f t="shared" si="16"/>
        <v>10.3</v>
      </c>
      <c r="AS13" s="824"/>
      <c r="AT13" s="49">
        <f>IF(AT35&gt;0,AT35*$AT$10,0)</f>
        <v>24</v>
      </c>
      <c r="AV13" s="33">
        <f t="shared" si="17"/>
        <v>1</v>
      </c>
      <c r="AW13" s="33">
        <f t="shared" si="18"/>
        <v>0</v>
      </c>
      <c r="AX13" s="33">
        <f t="shared" si="19"/>
        <v>-1</v>
      </c>
      <c r="AY13" s="34">
        <f t="shared" si="20"/>
        <v>0</v>
      </c>
      <c r="AZ13" s="33">
        <f>+L35</f>
        <v>2</v>
      </c>
      <c r="BA13" s="33">
        <f>+V35</f>
        <v>0</v>
      </c>
      <c r="BB13" s="33">
        <f>+AF35</f>
        <v>0</v>
      </c>
      <c r="BC13" s="35"/>
      <c r="BD13" s="36">
        <f t="shared" si="21"/>
        <v>5.1339285714285712</v>
      </c>
      <c r="BE13" s="60">
        <f t="shared" si="22"/>
        <v>10.267857142857142</v>
      </c>
      <c r="BF13" s="61">
        <f t="shared" si="23"/>
        <v>0</v>
      </c>
    </row>
    <row r="14" spans="1:60" s="69" customFormat="1" ht="14.1" customHeight="1">
      <c r="A14" s="62">
        <v>5</v>
      </c>
      <c r="B14" s="63" t="str">
        <f t="shared" si="0"/>
        <v xml:space="preserve"> Irving Huaringa B.</v>
      </c>
      <c r="C14" s="17">
        <v>8</v>
      </c>
      <c r="D14" s="18">
        <v>16</v>
      </c>
      <c r="E14" s="19">
        <v>1</v>
      </c>
      <c r="F14" s="40">
        <f t="shared" si="1"/>
        <v>7</v>
      </c>
      <c r="G14" s="18"/>
      <c r="H14" s="43"/>
      <c r="I14" s="40">
        <f t="shared" si="2"/>
        <v>0</v>
      </c>
      <c r="J14" s="19"/>
      <c r="K14" s="41">
        <f t="shared" si="3"/>
        <v>8</v>
      </c>
      <c r="L14" s="25">
        <f t="shared" si="4"/>
        <v>-1</v>
      </c>
      <c r="M14" s="18">
        <v>7</v>
      </c>
      <c r="N14" s="18">
        <v>16</v>
      </c>
      <c r="O14" s="19">
        <v>1</v>
      </c>
      <c r="P14" s="40">
        <f t="shared" si="5"/>
        <v>8</v>
      </c>
      <c r="Q14" s="43"/>
      <c r="R14" s="43"/>
      <c r="S14" s="40">
        <f t="shared" si="6"/>
        <v>0</v>
      </c>
      <c r="T14" s="19"/>
      <c r="U14" s="41">
        <f t="shared" si="7"/>
        <v>8</v>
      </c>
      <c r="V14" s="25">
        <f t="shared" si="8"/>
        <v>0</v>
      </c>
      <c r="W14" s="18">
        <v>8</v>
      </c>
      <c r="X14" s="43">
        <v>13</v>
      </c>
      <c r="Y14" s="54">
        <v>0</v>
      </c>
      <c r="Z14" s="53">
        <f t="shared" si="9"/>
        <v>5</v>
      </c>
      <c r="AA14" s="64"/>
      <c r="AB14" s="28"/>
      <c r="AC14" s="40">
        <f t="shared" si="10"/>
        <v>0</v>
      </c>
      <c r="AD14" s="19"/>
      <c r="AE14" s="41">
        <f t="shared" si="11"/>
        <v>5</v>
      </c>
      <c r="AF14" s="25">
        <f>IF(W14&gt;0,IF(AE$5&gt;0,(Z14+AC14)*2,(Z14+AC14-5)),0)*IF(Z14&lt;6,IF(AE$5&gt;0,1,2),1)+IF(Z14&gt;5,AC14,0)</f>
        <v>0</v>
      </c>
      <c r="AG14" s="45"/>
      <c r="AH14" s="18"/>
      <c r="AI14" s="19"/>
      <c r="AJ14" s="46">
        <f>+AH14-AG14-AI14</f>
        <v>0</v>
      </c>
      <c r="AK14" s="18"/>
      <c r="AL14" s="18"/>
      <c r="AM14" s="40">
        <f>+AL14-AK14</f>
        <v>0</v>
      </c>
      <c r="AN14" s="65"/>
      <c r="AO14" s="48">
        <f>(AJ14*2+AM14)</f>
        <v>0</v>
      </c>
      <c r="AP14" s="821">
        <f t="shared" si="15"/>
        <v>-3</v>
      </c>
      <c r="AQ14" s="822"/>
      <c r="AR14" s="823">
        <f>ROUND(BD14*AP14,1)</f>
        <v>-15.4</v>
      </c>
      <c r="AS14" s="824"/>
      <c r="AT14" s="49">
        <f>IF(AT36&gt;0,AT36*$AT$10,0)</f>
        <v>24</v>
      </c>
      <c r="AU14" s="7"/>
      <c r="AV14" s="33">
        <f>+L14</f>
        <v>-1</v>
      </c>
      <c r="AW14" s="33">
        <f>+V14</f>
        <v>0</v>
      </c>
      <c r="AX14" s="33">
        <f>+AF14</f>
        <v>0</v>
      </c>
      <c r="AY14" s="34">
        <f>+AO14</f>
        <v>0</v>
      </c>
      <c r="AZ14" s="33">
        <f>+L36</f>
        <v>-1</v>
      </c>
      <c r="BA14" s="33">
        <f>+V36</f>
        <v>0</v>
      </c>
      <c r="BB14" s="33">
        <f>+AF36</f>
        <v>-1</v>
      </c>
      <c r="BC14" s="66"/>
      <c r="BD14" s="36">
        <f t="shared" si="21"/>
        <v>5.1339285714285712</v>
      </c>
      <c r="BE14" s="67">
        <f>+BD14*AP14</f>
        <v>-15.401785714285714</v>
      </c>
      <c r="BF14" s="68">
        <f>+BD14*AY14</f>
        <v>0</v>
      </c>
    </row>
    <row r="15" spans="1:60" ht="14.1" customHeight="1">
      <c r="A15" s="1">
        <v>12</v>
      </c>
      <c r="B15" s="39" t="str">
        <f t="shared" si="0"/>
        <v>Pier Alejos A.</v>
      </c>
      <c r="C15" s="56">
        <v>7</v>
      </c>
      <c r="D15" s="43">
        <v>17</v>
      </c>
      <c r="E15" s="54">
        <v>1</v>
      </c>
      <c r="F15" s="53">
        <f>+D15-C15-E15</f>
        <v>9</v>
      </c>
      <c r="G15" s="43"/>
      <c r="H15" s="117"/>
      <c r="I15" s="53">
        <f>+H15-G15</f>
        <v>0</v>
      </c>
      <c r="J15" s="54"/>
      <c r="K15" s="55">
        <f>+I15+F15-L15</f>
        <v>8</v>
      </c>
      <c r="L15" s="135">
        <f>IF(C15&gt;0,(F15+I15)+IF(K$5&gt;0,F15,-8),0)+IF(U$5&gt;0,I15,0)</f>
        <v>1</v>
      </c>
      <c r="M15" s="136">
        <v>7</v>
      </c>
      <c r="N15" s="43">
        <v>16</v>
      </c>
      <c r="O15" s="54">
        <v>1</v>
      </c>
      <c r="P15" s="53">
        <f>+N15-M15-O15</f>
        <v>8</v>
      </c>
      <c r="Q15" s="43"/>
      <c r="R15" s="43"/>
      <c r="S15" s="53">
        <f>+R15-Q15</f>
        <v>0</v>
      </c>
      <c r="T15" s="54"/>
      <c r="U15" s="55">
        <f>+S15+P15-V15</f>
        <v>8</v>
      </c>
      <c r="V15" s="135">
        <f>IF(M15&gt;0,(P15+S15)+IF(U$5&gt;0,P15,-8),0)+IF(AE$5&gt;0,S15,0)</f>
        <v>0</v>
      </c>
      <c r="W15" s="43">
        <v>7</v>
      </c>
      <c r="X15" s="43">
        <v>16</v>
      </c>
      <c r="Y15" s="54">
        <v>1</v>
      </c>
      <c r="Z15" s="53">
        <f>+X15-W15-Y15</f>
        <v>8</v>
      </c>
      <c r="AA15" s="44"/>
      <c r="AB15" s="28"/>
      <c r="AC15" s="53">
        <f>+AB15-AA15</f>
        <v>0</v>
      </c>
      <c r="AD15" s="54"/>
      <c r="AE15" s="137">
        <f>+AC15+Z15-IF(AE$5&gt;0,AF15/2,AF15)</f>
        <v>8</v>
      </c>
      <c r="AF15" s="135">
        <f>IF(W15&gt;0,IF(AE$5&gt;0,(Z15+AC15)*2,(Z15+AC15-8)),0)*IF(Z15&lt;9,IF(AE$5&gt;0,1,2),1)+IF(Z15&gt;8,AC15,0)</f>
        <v>0</v>
      </c>
      <c r="AG15" s="138">
        <v>7</v>
      </c>
      <c r="AH15" s="43">
        <v>16</v>
      </c>
      <c r="AI15" s="54">
        <v>1</v>
      </c>
      <c r="AJ15" s="139">
        <f>+AH15-AG15-AI15</f>
        <v>8</v>
      </c>
      <c r="AK15" s="43"/>
      <c r="AL15" s="43"/>
      <c r="AM15" s="53">
        <f>+AL15-AK15</f>
        <v>0</v>
      </c>
      <c r="AN15" s="57">
        <v>-4</v>
      </c>
      <c r="AO15" s="140">
        <f>(AJ15*2+AM15)</f>
        <v>16</v>
      </c>
      <c r="AP15" s="821">
        <f t="shared" si="15"/>
        <v>22</v>
      </c>
      <c r="AQ15" s="822"/>
      <c r="AR15" s="823">
        <f>ROUND(BD15*AP15,1)</f>
        <v>85.3</v>
      </c>
      <c r="AS15" s="824"/>
      <c r="AT15" s="49">
        <f>IF(AT37&gt;0,AT37*$AT$10,0)</f>
        <v>24</v>
      </c>
      <c r="AV15" s="33">
        <f>+L15</f>
        <v>1</v>
      </c>
      <c r="AW15" s="33">
        <f>+V15</f>
        <v>0</v>
      </c>
      <c r="AX15" s="33">
        <f>+AF15</f>
        <v>0</v>
      </c>
      <c r="AY15" s="34">
        <f>+AO15</f>
        <v>16</v>
      </c>
      <c r="AZ15" s="33">
        <f>+L37</f>
        <v>1</v>
      </c>
      <c r="BA15" s="33">
        <f>+V37</f>
        <v>0</v>
      </c>
      <c r="BB15" s="33">
        <f>+AF37</f>
        <v>0</v>
      </c>
      <c r="BC15" s="35"/>
      <c r="BD15" s="36">
        <f t="shared" si="21"/>
        <v>3.8750035714285715</v>
      </c>
      <c r="BE15" s="37">
        <f>+BD15*AP15</f>
        <v>85.250078571428574</v>
      </c>
      <c r="BF15" s="38">
        <f>+BD15*AY15</f>
        <v>62.000057142857145</v>
      </c>
      <c r="BH15" s="141"/>
    </row>
    <row r="16" spans="1:60" s="84" customFormat="1" ht="14.1" customHeight="1">
      <c r="A16" s="70"/>
      <c r="B16" s="560" t="str">
        <f t="shared" si="0"/>
        <v>Eduardo Marmoles</v>
      </c>
      <c r="C16" s="72">
        <v>7</v>
      </c>
      <c r="D16" s="73">
        <v>17</v>
      </c>
      <c r="E16" s="74">
        <v>1</v>
      </c>
      <c r="F16" s="75">
        <f t="shared" si="1"/>
        <v>9</v>
      </c>
      <c r="G16" s="73"/>
      <c r="H16" s="43"/>
      <c r="I16" s="75">
        <f t="shared" si="2"/>
        <v>0</v>
      </c>
      <c r="J16" s="74"/>
      <c r="K16" s="76">
        <f t="shared" si="3"/>
        <v>8</v>
      </c>
      <c r="L16" s="77">
        <f t="shared" si="4"/>
        <v>1</v>
      </c>
      <c r="M16" s="72">
        <v>7</v>
      </c>
      <c r="N16" s="73">
        <v>16</v>
      </c>
      <c r="O16" s="74">
        <v>1</v>
      </c>
      <c r="P16" s="75">
        <f t="shared" si="5"/>
        <v>8</v>
      </c>
      <c r="Q16" s="78"/>
      <c r="R16" s="78"/>
      <c r="S16" s="75">
        <f t="shared" si="6"/>
        <v>0</v>
      </c>
      <c r="T16" s="74"/>
      <c r="U16" s="76">
        <f t="shared" si="7"/>
        <v>8</v>
      </c>
      <c r="V16" s="77">
        <f t="shared" si="8"/>
        <v>0</v>
      </c>
      <c r="W16" s="73">
        <v>7</v>
      </c>
      <c r="X16" s="73">
        <v>16</v>
      </c>
      <c r="Y16" s="74">
        <v>1</v>
      </c>
      <c r="Z16" s="79">
        <f t="shared" si="9"/>
        <v>8</v>
      </c>
      <c r="AA16" s="78"/>
      <c r="AB16" s="80"/>
      <c r="AC16" s="75">
        <f t="shared" si="10"/>
        <v>0</v>
      </c>
      <c r="AD16" s="74"/>
      <c r="AE16" s="76">
        <f t="shared" si="11"/>
        <v>8</v>
      </c>
      <c r="AF16" s="77">
        <f t="shared" ref="AF16:AF21" si="24">IF(W16&gt;0,IF(AE$5&gt;0,(Z16+AC16)*2,(Z16+AC16-8)),0)*IF(Z16&lt;9,IF(AE$5&gt;0,1,2),1)+IF(Z16&gt;8,AC16,0)</f>
        <v>0</v>
      </c>
      <c r="AG16" s="616"/>
      <c r="AH16" s="616"/>
      <c r="AI16" s="616"/>
      <c r="AJ16" s="46">
        <f t="shared" si="12"/>
        <v>0</v>
      </c>
      <c r="AK16" s="73"/>
      <c r="AL16" s="73"/>
      <c r="AM16" s="75">
        <f t="shared" si="13"/>
        <v>0</v>
      </c>
      <c r="AN16" s="81"/>
      <c r="AO16" s="82">
        <f t="shared" si="14"/>
        <v>0</v>
      </c>
      <c r="AP16" s="1186">
        <f t="shared" si="15"/>
        <v>1</v>
      </c>
      <c r="AQ16" s="1187"/>
      <c r="AR16" s="1188">
        <f t="shared" si="16"/>
        <v>3.9</v>
      </c>
      <c r="AS16" s="1189"/>
      <c r="AT16" s="83">
        <f t="shared" ref="AT16:AT18" si="25">IF(AT38&gt;0,AT38*$AT$10,0)</f>
        <v>0</v>
      </c>
      <c r="AV16" s="85">
        <f t="shared" si="17"/>
        <v>1</v>
      </c>
      <c r="AW16" s="85">
        <f t="shared" si="18"/>
        <v>0</v>
      </c>
      <c r="AX16" s="85">
        <f t="shared" si="19"/>
        <v>0</v>
      </c>
      <c r="AY16" s="86">
        <f t="shared" si="20"/>
        <v>0</v>
      </c>
      <c r="AZ16" s="85">
        <f t="shared" ref="AZ16:AZ18" si="26">+L38</f>
        <v>0</v>
      </c>
      <c r="BA16" s="85">
        <f t="shared" ref="BA16:BA18" si="27">+V38</f>
        <v>0</v>
      </c>
      <c r="BB16" s="85">
        <f t="shared" ref="BB16:BB18" si="28">+AF38</f>
        <v>0</v>
      </c>
      <c r="BC16" s="87"/>
      <c r="BD16" s="88">
        <f t="shared" si="21"/>
        <v>3.875</v>
      </c>
      <c r="BE16" s="89">
        <f t="shared" si="22"/>
        <v>3.875</v>
      </c>
      <c r="BF16" s="90">
        <f t="shared" si="23"/>
        <v>0</v>
      </c>
    </row>
    <row r="17" spans="1:60" s="69" customFormat="1" ht="14.1" customHeight="1">
      <c r="A17" s="62">
        <v>6</v>
      </c>
      <c r="B17" s="630" t="str">
        <f t="shared" si="0"/>
        <v>Jose Cortez P.</v>
      </c>
      <c r="C17" s="92">
        <v>7</v>
      </c>
      <c r="D17" s="92">
        <v>16</v>
      </c>
      <c r="E17" s="92">
        <v>1</v>
      </c>
      <c r="F17" s="93">
        <f>+D17-C17-E17</f>
        <v>8</v>
      </c>
      <c r="G17" s="43"/>
      <c r="H17" s="43"/>
      <c r="I17" s="93">
        <f>+H17-G17</f>
        <v>0</v>
      </c>
      <c r="J17" s="92"/>
      <c r="K17" s="41">
        <f>+I17+F17-L17</f>
        <v>8</v>
      </c>
      <c r="L17" s="94">
        <f>IF(C17&gt;0,(F17+I17)+IF(K$5&gt;0,F17,-8),0)+IF(U$5&gt;0,I17,0)</f>
        <v>0</v>
      </c>
      <c r="M17" s="617">
        <v>7</v>
      </c>
      <c r="N17" s="92">
        <v>16</v>
      </c>
      <c r="O17" s="92">
        <v>1</v>
      </c>
      <c r="P17" s="93">
        <f>+N17-M17-O17</f>
        <v>8</v>
      </c>
      <c r="Q17" s="43"/>
      <c r="R17" s="43"/>
      <c r="S17" s="93">
        <f>+R17-Q17</f>
        <v>0</v>
      </c>
      <c r="T17" s="19"/>
      <c r="U17" s="41">
        <f>+S17+P17-V17</f>
        <v>8</v>
      </c>
      <c r="V17" s="94">
        <f>IF(M17&gt;0,(P17+S17)+IF(U$5&gt;0,P17,-8),0)+IF(AE$5&gt;0,S17,0)</f>
        <v>0</v>
      </c>
      <c r="W17" s="92">
        <v>7</v>
      </c>
      <c r="X17" s="92">
        <v>16</v>
      </c>
      <c r="Y17" s="92">
        <v>1</v>
      </c>
      <c r="Z17" s="93">
        <f>+X17-W17-Y17</f>
        <v>8</v>
      </c>
      <c r="AA17" s="92"/>
      <c r="AB17" s="80"/>
      <c r="AC17" s="93">
        <f>+AB17-AA17</f>
        <v>0</v>
      </c>
      <c r="AD17" s="92"/>
      <c r="AE17" s="41">
        <f t="shared" si="11"/>
        <v>8</v>
      </c>
      <c r="AF17" s="94">
        <f t="shared" si="24"/>
        <v>0</v>
      </c>
      <c r="AG17" s="92">
        <v>8</v>
      </c>
      <c r="AH17" s="92">
        <v>16</v>
      </c>
      <c r="AI17" s="92">
        <v>1</v>
      </c>
      <c r="AJ17" s="46">
        <f>+AH17-AG17-AI17</f>
        <v>7</v>
      </c>
      <c r="AK17" s="92"/>
      <c r="AL17" s="92"/>
      <c r="AM17" s="93">
        <f>+AL17-AK17</f>
        <v>0</v>
      </c>
      <c r="AN17" s="96"/>
      <c r="AO17" s="97">
        <f>(AJ17*2+AM17)</f>
        <v>14</v>
      </c>
      <c r="AP17" s="833">
        <f t="shared" si="15"/>
        <v>17</v>
      </c>
      <c r="AQ17" s="834"/>
      <c r="AR17" s="835">
        <f>ROUND(BD17*AP17,1)</f>
        <v>65.900000000000006</v>
      </c>
      <c r="AS17" s="836"/>
      <c r="AT17" s="99">
        <f t="shared" si="25"/>
        <v>28</v>
      </c>
      <c r="AV17" s="100">
        <f>+L17</f>
        <v>0</v>
      </c>
      <c r="AW17" s="100">
        <f>+V17</f>
        <v>0</v>
      </c>
      <c r="AX17" s="100">
        <f>+AF17</f>
        <v>0</v>
      </c>
      <c r="AY17" s="101">
        <f>+AO17</f>
        <v>14</v>
      </c>
      <c r="AZ17" s="100">
        <f t="shared" si="26"/>
        <v>-2</v>
      </c>
      <c r="BA17" s="100">
        <f t="shared" si="27"/>
        <v>3</v>
      </c>
      <c r="BB17" s="100">
        <f t="shared" si="28"/>
        <v>2</v>
      </c>
      <c r="BC17" s="35"/>
      <c r="BD17" s="36">
        <f t="shared" si="21"/>
        <v>3.8750035714285715</v>
      </c>
      <c r="BE17" s="67">
        <f>+BD17*AP17</f>
        <v>65.875060714285723</v>
      </c>
      <c r="BF17" s="68">
        <f>+BD17*AY17</f>
        <v>54.250050000000002</v>
      </c>
    </row>
    <row r="18" spans="1:60" s="69" customFormat="1" ht="14.1" customHeight="1">
      <c r="A18" s="62">
        <v>7</v>
      </c>
      <c r="B18" s="91" t="str">
        <f t="shared" si="0"/>
        <v>Rafael Armas R.</v>
      </c>
      <c r="C18" s="102">
        <v>18</v>
      </c>
      <c r="D18" s="102">
        <v>24</v>
      </c>
      <c r="E18" s="102">
        <v>1</v>
      </c>
      <c r="F18" s="93">
        <f>+D18-C18-E18</f>
        <v>5</v>
      </c>
      <c r="G18" s="43">
        <v>0</v>
      </c>
      <c r="H18" s="43">
        <v>7</v>
      </c>
      <c r="I18" s="93">
        <f>+H18-G18</f>
        <v>7</v>
      </c>
      <c r="J18" s="92">
        <v>8</v>
      </c>
      <c r="K18" s="41">
        <f>+I18+F18-L18</f>
        <v>8</v>
      </c>
      <c r="L18" s="94">
        <f>IF(C18&gt;0,(F18+I18)+IF(K$5&gt;0,F18,-8),0)+IF(U$5&gt;0,I18,0)</f>
        <v>4</v>
      </c>
      <c r="M18" s="617">
        <v>7</v>
      </c>
      <c r="N18" s="92">
        <v>18</v>
      </c>
      <c r="O18" s="92">
        <v>1</v>
      </c>
      <c r="P18" s="93">
        <f>+N18-M18-O18</f>
        <v>10</v>
      </c>
      <c r="Q18" s="43"/>
      <c r="R18" s="43"/>
      <c r="S18" s="93">
        <f>+R18-Q18</f>
        <v>0</v>
      </c>
      <c r="T18" s="92"/>
      <c r="U18" s="41">
        <f>+S18+P18-V18</f>
        <v>8</v>
      </c>
      <c r="V18" s="94">
        <f>IF(M18&gt;0,(P18+S18)+IF(U$5&gt;0,P18,-8),0)+IF(AE$5&gt;0,S18,0)</f>
        <v>2</v>
      </c>
      <c r="W18" s="92">
        <v>7</v>
      </c>
      <c r="X18" s="92">
        <v>16</v>
      </c>
      <c r="Y18" s="92">
        <v>1</v>
      </c>
      <c r="Z18" s="93">
        <f>+X18-W18-Y18</f>
        <v>8</v>
      </c>
      <c r="AA18" s="92"/>
      <c r="AB18" s="28"/>
      <c r="AC18" s="93">
        <f>+AB18-AA18</f>
        <v>0</v>
      </c>
      <c r="AD18" s="92"/>
      <c r="AE18" s="41">
        <f t="shared" si="11"/>
        <v>8</v>
      </c>
      <c r="AF18" s="94">
        <f t="shared" si="24"/>
        <v>0</v>
      </c>
      <c r="AG18" s="92">
        <v>7</v>
      </c>
      <c r="AH18" s="92">
        <v>16</v>
      </c>
      <c r="AI18" s="92">
        <v>1</v>
      </c>
      <c r="AJ18" s="46">
        <f>+AH18-AG18-AI18</f>
        <v>8</v>
      </c>
      <c r="AK18" s="92"/>
      <c r="AL18" s="92"/>
      <c r="AM18" s="93">
        <f>+AL18-AK18</f>
        <v>0</v>
      </c>
      <c r="AN18" s="96"/>
      <c r="AO18" s="97">
        <f>(AJ18*2+AM18)</f>
        <v>16</v>
      </c>
      <c r="AP18" s="837">
        <f t="shared" si="15"/>
        <v>25</v>
      </c>
      <c r="AQ18" s="838"/>
      <c r="AR18" s="839">
        <f>ROUND(BD18*AP18,1)</f>
        <v>96.9</v>
      </c>
      <c r="AS18" s="840"/>
      <c r="AT18" s="103">
        <f t="shared" si="25"/>
        <v>28</v>
      </c>
      <c r="AV18" s="100">
        <f>+L18</f>
        <v>4</v>
      </c>
      <c r="AW18" s="100">
        <f>+V18</f>
        <v>2</v>
      </c>
      <c r="AX18" s="100">
        <f>+AF18</f>
        <v>0</v>
      </c>
      <c r="AY18" s="101">
        <f>+AO18</f>
        <v>16</v>
      </c>
      <c r="AZ18" s="100">
        <f t="shared" si="26"/>
        <v>1</v>
      </c>
      <c r="BA18" s="100">
        <f t="shared" si="27"/>
        <v>0</v>
      </c>
      <c r="BB18" s="100">
        <f t="shared" si="28"/>
        <v>2</v>
      </c>
      <c r="BC18" s="66"/>
      <c r="BD18" s="36">
        <f t="shared" si="21"/>
        <v>3.8750035714285715</v>
      </c>
      <c r="BE18" s="67">
        <f>+BD18*AP18</f>
        <v>96.875089285714296</v>
      </c>
      <c r="BF18" s="68">
        <f>+BD18*AY18</f>
        <v>62.000057142857145</v>
      </c>
    </row>
    <row r="19" spans="1:60" s="116" customFormat="1" ht="14.1" customHeight="1">
      <c r="A19" s="62">
        <v>8</v>
      </c>
      <c r="B19" s="91" t="str">
        <f t="shared" si="0"/>
        <v>Jose Ochoa I.</v>
      </c>
      <c r="C19" s="102">
        <v>7</v>
      </c>
      <c r="D19" s="102">
        <v>16</v>
      </c>
      <c r="E19" s="102">
        <v>1</v>
      </c>
      <c r="F19" s="104">
        <f>+D19-C19-E19</f>
        <v>8</v>
      </c>
      <c r="G19" s="51"/>
      <c r="H19" s="43"/>
      <c r="I19" s="104">
        <f>+H19-G19</f>
        <v>0</v>
      </c>
      <c r="J19" s="105"/>
      <c r="K19" s="106">
        <f>+I19+F19-L19</f>
        <v>8</v>
      </c>
      <c r="L19" s="107">
        <f>IF(C19&gt;0,(F19+I19)+IF(K$5&gt;0,F19,-8),0)+IF(U$5&gt;0,I19,0)</f>
        <v>0</v>
      </c>
      <c r="M19" s="108">
        <v>7</v>
      </c>
      <c r="N19" s="105">
        <v>16</v>
      </c>
      <c r="O19" s="105">
        <v>1</v>
      </c>
      <c r="P19" s="104">
        <f>+N19-M19-O19</f>
        <v>8</v>
      </c>
      <c r="Q19" s="43"/>
      <c r="R19" s="43"/>
      <c r="S19" s="104">
        <f>+R19-Q19</f>
        <v>0</v>
      </c>
      <c r="T19" s="105"/>
      <c r="U19" s="106">
        <f>+S19+P19-V19</f>
        <v>8</v>
      </c>
      <c r="V19" s="107">
        <f>IF(M19&gt;0,(P19+S19)+IF(U$5&gt;0,P19,-8),0)+IF(AE$5&gt;0,S19,0)</f>
        <v>0</v>
      </c>
      <c r="W19" s="105">
        <v>7</v>
      </c>
      <c r="X19" s="105">
        <v>12</v>
      </c>
      <c r="Y19" s="105">
        <v>1</v>
      </c>
      <c r="Z19" s="104">
        <f>+X19-W19-Y19</f>
        <v>4</v>
      </c>
      <c r="AA19" s="105"/>
      <c r="AB19" s="109">
        <v>4</v>
      </c>
      <c r="AC19" s="104">
        <f>+AB19-AA19</f>
        <v>4</v>
      </c>
      <c r="AD19" s="105"/>
      <c r="AE19" s="106">
        <f t="shared" si="11"/>
        <v>8</v>
      </c>
      <c r="AF19" s="107">
        <f t="shared" si="24"/>
        <v>0</v>
      </c>
      <c r="AG19" s="105"/>
      <c r="AH19" s="105"/>
      <c r="AI19" s="105"/>
      <c r="AJ19" s="110">
        <f>+AH19-AG19-AI19</f>
        <v>0</v>
      </c>
      <c r="AK19" s="105"/>
      <c r="AL19" s="105"/>
      <c r="AM19" s="104">
        <f>+AL19-AK19</f>
        <v>0</v>
      </c>
      <c r="AN19" s="111"/>
      <c r="AO19" s="112">
        <f>(AJ19*2+AM19)</f>
        <v>0</v>
      </c>
      <c r="AP19" s="841">
        <f>+L19+V19+AF19+AO19+L41+V41+AF40-AN19</f>
        <v>4</v>
      </c>
      <c r="AQ19" s="842"/>
      <c r="AR19" s="843">
        <f>ROUND(BD19*AP19,1)</f>
        <v>15.5</v>
      </c>
      <c r="AS19" s="844"/>
      <c r="AT19" s="113">
        <f>IF(AT41&gt;0,AT41*$AT$10,0)</f>
        <v>24</v>
      </c>
      <c r="AU19" s="69"/>
      <c r="AV19" s="114">
        <f>+L19</f>
        <v>0</v>
      </c>
      <c r="AW19" s="114">
        <f>+V19</f>
        <v>0</v>
      </c>
      <c r="AX19" s="114">
        <f>+AF19</f>
        <v>0</v>
      </c>
      <c r="AY19" s="114">
        <f>+AO19</f>
        <v>0</v>
      </c>
      <c r="AZ19" s="114">
        <f>+L42</f>
        <v>0</v>
      </c>
      <c r="BA19" s="114">
        <f>+V42</f>
        <v>0</v>
      </c>
      <c r="BB19" s="114">
        <f>+AF42</f>
        <v>0</v>
      </c>
      <c r="BC19" s="35"/>
      <c r="BD19" s="115">
        <f t="shared" si="21"/>
        <v>3.8750035714285715</v>
      </c>
      <c r="BE19" s="115">
        <f>+BD19*AP19</f>
        <v>15.500014285714286</v>
      </c>
      <c r="BF19" s="115">
        <f>+BD19*AY19</f>
        <v>0</v>
      </c>
    </row>
    <row r="20" spans="1:60" s="116" customFormat="1" ht="14.1" customHeight="1">
      <c r="A20" s="62">
        <v>9</v>
      </c>
      <c r="B20" s="91" t="str">
        <f t="shared" si="0"/>
        <v>Jairo Mirabal</v>
      </c>
      <c r="C20" s="102">
        <v>7</v>
      </c>
      <c r="D20" s="102">
        <v>16</v>
      </c>
      <c r="E20" s="102">
        <v>1</v>
      </c>
      <c r="F20" s="104">
        <f>+D20-C20-E20</f>
        <v>8</v>
      </c>
      <c r="G20" s="51"/>
      <c r="H20" s="43"/>
      <c r="I20" s="104">
        <f>+H20-G20</f>
        <v>0</v>
      </c>
      <c r="J20" s="105"/>
      <c r="K20" s="106">
        <f>+I20+F20-L20</f>
        <v>8</v>
      </c>
      <c r="L20" s="107">
        <f>IF(C20&gt;0,(F20+I20)+IF(K$5&gt;0,F20,-8),0)+IF(U$5&gt;0,I20,0)</f>
        <v>0</v>
      </c>
      <c r="M20" s="108">
        <v>7</v>
      </c>
      <c r="N20" s="105">
        <v>16</v>
      </c>
      <c r="O20" s="105">
        <v>1</v>
      </c>
      <c r="P20" s="104">
        <f>+N20-M20-O20</f>
        <v>8</v>
      </c>
      <c r="Q20" s="43"/>
      <c r="R20" s="117"/>
      <c r="S20" s="104">
        <f>+R20-Q20</f>
        <v>0</v>
      </c>
      <c r="T20" s="105"/>
      <c r="U20" s="106">
        <f>+S20+P20-V20</f>
        <v>8</v>
      </c>
      <c r="V20" s="107">
        <f>IF(M20&gt;0,(P20+S20)+IF(U$5&gt;0,P20,-8),0)+IF(AE$5&gt;0,S20,0)</f>
        <v>0</v>
      </c>
      <c r="W20" s="105">
        <v>7</v>
      </c>
      <c r="X20" s="105">
        <v>16</v>
      </c>
      <c r="Y20" s="105">
        <v>1</v>
      </c>
      <c r="Z20" s="104">
        <f>+X20-W20-Y20</f>
        <v>8</v>
      </c>
      <c r="AA20" s="105"/>
      <c r="AB20" s="28"/>
      <c r="AC20" s="104">
        <f>+AB20-AA20</f>
        <v>0</v>
      </c>
      <c r="AD20" s="105"/>
      <c r="AE20" s="106">
        <f t="shared" si="11"/>
        <v>8</v>
      </c>
      <c r="AF20" s="107">
        <f t="shared" si="24"/>
        <v>0</v>
      </c>
      <c r="AG20" s="105"/>
      <c r="AH20" s="105"/>
      <c r="AI20" s="105"/>
      <c r="AJ20" s="110">
        <f>+AH20-AG20-AI20</f>
        <v>0</v>
      </c>
      <c r="AK20" s="105"/>
      <c r="AL20" s="105"/>
      <c r="AM20" s="104">
        <f>+AL20-AK20</f>
        <v>0</v>
      </c>
      <c r="AN20" s="111"/>
      <c r="AO20" s="112">
        <f>(AJ20*2+AM20)</f>
        <v>0</v>
      </c>
      <c r="AP20" s="841">
        <f t="shared" ref="AP20:AP25" si="29">+L20+V20+AF20+AO20+L42+V42+AF42-AN20</f>
        <v>0</v>
      </c>
      <c r="AQ20" s="842"/>
      <c r="AR20" s="843">
        <f>ROUND(BD20*AP20,1)</f>
        <v>0</v>
      </c>
      <c r="AS20" s="844"/>
      <c r="AT20" s="113">
        <f>IF(AT42&gt;0,AT42*$AT$10,0)</f>
        <v>24</v>
      </c>
      <c r="AU20" s="69"/>
      <c r="AV20" s="114">
        <f>+L20</f>
        <v>0</v>
      </c>
      <c r="AW20" s="114">
        <f>+V20</f>
        <v>0</v>
      </c>
      <c r="AX20" s="114">
        <f>+AF20</f>
        <v>0</v>
      </c>
      <c r="AY20" s="114">
        <f>+AO20</f>
        <v>0</v>
      </c>
      <c r="AZ20" s="114">
        <f>+L42</f>
        <v>0</v>
      </c>
      <c r="BA20" s="114">
        <f>+V42</f>
        <v>0</v>
      </c>
      <c r="BB20" s="114">
        <f>+AF42</f>
        <v>0</v>
      </c>
      <c r="BC20" s="35"/>
      <c r="BD20" s="115">
        <f t="shared" si="21"/>
        <v>3.8750035714285715</v>
      </c>
      <c r="BE20" s="115">
        <f>+BD20*AP20</f>
        <v>0</v>
      </c>
      <c r="BF20" s="115">
        <f>+BD20*AY20</f>
        <v>0</v>
      </c>
    </row>
    <row r="21" spans="1:60" s="69" customFormat="1" ht="14.1" customHeight="1" thickBot="1">
      <c r="A21" s="62">
        <v>10</v>
      </c>
      <c r="B21" s="118" t="str">
        <f t="shared" si="0"/>
        <v>Pedro Hostos S.</v>
      </c>
      <c r="C21" s="119">
        <v>7</v>
      </c>
      <c r="D21" s="119">
        <v>16</v>
      </c>
      <c r="E21" s="119">
        <v>1</v>
      </c>
      <c r="F21" s="120">
        <f t="shared" si="1"/>
        <v>8</v>
      </c>
      <c r="G21" s="121"/>
      <c r="H21" s="121"/>
      <c r="I21" s="120">
        <f t="shared" si="2"/>
        <v>0</v>
      </c>
      <c r="J21" s="119"/>
      <c r="K21" s="120">
        <f t="shared" si="3"/>
        <v>8</v>
      </c>
      <c r="L21" s="122">
        <f t="shared" si="4"/>
        <v>0</v>
      </c>
      <c r="M21" s="619">
        <v>7</v>
      </c>
      <c r="N21" s="119">
        <v>16</v>
      </c>
      <c r="O21" s="119">
        <v>1</v>
      </c>
      <c r="P21" s="120">
        <f t="shared" si="5"/>
        <v>8</v>
      </c>
      <c r="Q21" s="121"/>
      <c r="R21" s="121"/>
      <c r="S21" s="120">
        <f t="shared" si="6"/>
        <v>0</v>
      </c>
      <c r="T21" s="119"/>
      <c r="U21" s="120">
        <f t="shared" si="7"/>
        <v>8</v>
      </c>
      <c r="V21" s="122">
        <f t="shared" si="8"/>
        <v>0</v>
      </c>
      <c r="W21" s="119">
        <v>7</v>
      </c>
      <c r="X21" s="119">
        <v>16</v>
      </c>
      <c r="Y21" s="119">
        <v>1</v>
      </c>
      <c r="Z21" s="120">
        <f t="shared" si="9"/>
        <v>8</v>
      </c>
      <c r="AA21" s="119"/>
      <c r="AB21" s="121"/>
      <c r="AC21" s="120">
        <f t="shared" si="10"/>
        <v>0</v>
      </c>
      <c r="AD21" s="119"/>
      <c r="AE21" s="125">
        <f t="shared" si="11"/>
        <v>8</v>
      </c>
      <c r="AF21" s="122">
        <f t="shared" si="24"/>
        <v>0</v>
      </c>
      <c r="AG21" s="119"/>
      <c r="AH21" s="119"/>
      <c r="AI21" s="119"/>
      <c r="AJ21" s="126">
        <f t="shared" si="12"/>
        <v>0</v>
      </c>
      <c r="AK21" s="119"/>
      <c r="AL21" s="119"/>
      <c r="AM21" s="120">
        <f t="shared" si="13"/>
        <v>0</v>
      </c>
      <c r="AN21" s="127"/>
      <c r="AO21" s="128">
        <f t="shared" si="14"/>
        <v>0</v>
      </c>
      <c r="AP21" s="847">
        <f t="shared" si="29"/>
        <v>0</v>
      </c>
      <c r="AQ21" s="848"/>
      <c r="AR21" s="849">
        <f t="shared" si="16"/>
        <v>0</v>
      </c>
      <c r="AS21" s="850"/>
      <c r="AT21" s="130">
        <f>IF(AT43&gt;0,AT43*$AT$10,0)</f>
        <v>20</v>
      </c>
      <c r="AV21" s="131">
        <f t="shared" si="17"/>
        <v>0</v>
      </c>
      <c r="AW21" s="131">
        <f t="shared" si="18"/>
        <v>0</v>
      </c>
      <c r="AX21" s="131">
        <f t="shared" si="19"/>
        <v>0</v>
      </c>
      <c r="AY21" s="132">
        <f t="shared" si="20"/>
        <v>0</v>
      </c>
      <c r="AZ21" s="131">
        <f>+L43</f>
        <v>0</v>
      </c>
      <c r="BA21" s="131">
        <f>+V43</f>
        <v>0</v>
      </c>
      <c r="BB21" s="131">
        <f>+AF43</f>
        <v>0</v>
      </c>
      <c r="BC21" s="35"/>
      <c r="BD21" s="115">
        <f t="shared" si="21"/>
        <v>3.8750035714285715</v>
      </c>
      <c r="BE21" s="133">
        <f t="shared" si="22"/>
        <v>0</v>
      </c>
      <c r="BF21" s="134">
        <f t="shared" si="23"/>
        <v>0</v>
      </c>
    </row>
    <row r="22" spans="1:60" ht="14.1" customHeight="1" thickTop="1">
      <c r="A22" s="1">
        <v>11</v>
      </c>
      <c r="B22" s="39" t="str">
        <f t="shared" si="0"/>
        <v>Miguel Tejada Ll.</v>
      </c>
      <c r="C22" s="56">
        <v>7</v>
      </c>
      <c r="D22" s="43">
        <v>16</v>
      </c>
      <c r="E22" s="54">
        <v>1</v>
      </c>
      <c r="F22" s="53">
        <f>+D22-C22-E22</f>
        <v>8</v>
      </c>
      <c r="G22" s="43"/>
      <c r="H22" s="117"/>
      <c r="I22" s="53">
        <f>+H22-G22</f>
        <v>0</v>
      </c>
      <c r="J22" s="54"/>
      <c r="K22" s="55">
        <f>+I22+F22-L22</f>
        <v>8</v>
      </c>
      <c r="L22" s="135">
        <f>IF(C22&gt;0,(F22+I22)+IF(K$5&gt;0,F22,-8),0)+IF(U$5&gt;0,I22,0)</f>
        <v>0</v>
      </c>
      <c r="M22" s="136">
        <v>7</v>
      </c>
      <c r="N22" s="43">
        <v>16</v>
      </c>
      <c r="O22" s="54">
        <v>1</v>
      </c>
      <c r="P22" s="53">
        <f>+N22-M22-O22</f>
        <v>8</v>
      </c>
      <c r="Q22" s="43"/>
      <c r="R22" s="43"/>
      <c r="S22" s="53">
        <f>+R22-Q22</f>
        <v>0</v>
      </c>
      <c r="T22" s="54"/>
      <c r="U22" s="55">
        <f>+S22+P22-V22</f>
        <v>8</v>
      </c>
      <c r="V22" s="135">
        <f>IF(M22&gt;0,(P22+S22)+IF(U$5&gt;0,P22,-8),0)+IF(AE$5&gt;0,S22,0)</f>
        <v>0</v>
      </c>
      <c r="W22" s="43">
        <v>7</v>
      </c>
      <c r="X22" s="43">
        <v>16</v>
      </c>
      <c r="Y22" s="54">
        <v>1</v>
      </c>
      <c r="Z22" s="53">
        <f>+X22-W22-Y22</f>
        <v>8</v>
      </c>
      <c r="AA22" s="44"/>
      <c r="AB22" s="28"/>
      <c r="AC22" s="53">
        <f>+AB22-AA22</f>
        <v>0</v>
      </c>
      <c r="AD22" s="54"/>
      <c r="AE22" s="137">
        <f t="shared" si="11"/>
        <v>8</v>
      </c>
      <c r="AF22" s="135">
        <f>IF(W22&gt;0,IF(AE$5&gt;0,(Z22+AC22)*2,(Z22+AC22-8)),0)*IF(Z22&lt;9,IF(AE$5&gt;0,1,2),1)+IF(Z22&gt;8,AC22,0)</f>
        <v>0</v>
      </c>
      <c r="AG22" s="138"/>
      <c r="AH22" s="43"/>
      <c r="AI22" s="54"/>
      <c r="AJ22" s="139">
        <f>+AH22-AG22-AI22</f>
        <v>0</v>
      </c>
      <c r="AK22" s="43"/>
      <c r="AL22" s="43"/>
      <c r="AM22" s="53">
        <f>+AL22-AK22</f>
        <v>0</v>
      </c>
      <c r="AN22" s="57"/>
      <c r="AO22" s="140">
        <f>(AJ22*2+AM22)</f>
        <v>0</v>
      </c>
      <c r="AP22" s="821">
        <f t="shared" si="29"/>
        <v>1</v>
      </c>
      <c r="AQ22" s="822"/>
      <c r="AR22" s="823">
        <f>ROUND(BD22*AP22,1)</f>
        <v>5.4</v>
      </c>
      <c r="AS22" s="824"/>
      <c r="AT22" s="49">
        <f>IF(AT44&gt;0,AT44*$AT$10,0)</f>
        <v>24</v>
      </c>
      <c r="AV22" s="33">
        <f>+L22</f>
        <v>0</v>
      </c>
      <c r="AW22" s="33">
        <f>+V22</f>
        <v>0</v>
      </c>
      <c r="AX22" s="33">
        <f>+AF22</f>
        <v>0</v>
      </c>
      <c r="AY22" s="34">
        <f>+AO22</f>
        <v>0</v>
      </c>
      <c r="AZ22" s="33">
        <f>+L44</f>
        <v>0</v>
      </c>
      <c r="BA22" s="33">
        <f>+V44</f>
        <v>1</v>
      </c>
      <c r="BB22" s="33">
        <f>+AF44</f>
        <v>0</v>
      </c>
      <c r="BC22" s="35"/>
      <c r="BD22" s="36">
        <f t="shared" si="21"/>
        <v>5.4333333333333327</v>
      </c>
      <c r="BE22" s="37">
        <f>+BD22*AP22</f>
        <v>5.4333333333333327</v>
      </c>
      <c r="BF22" s="38">
        <f>+BD22*AY22</f>
        <v>0</v>
      </c>
      <c r="BH22" s="141"/>
    </row>
    <row r="23" spans="1:60" s="116" customFormat="1" ht="14.1" customHeight="1">
      <c r="A23" s="62">
        <v>13</v>
      </c>
      <c r="B23" s="142" t="str">
        <f t="shared" si="0"/>
        <v>Angel Colina N.</v>
      </c>
      <c r="C23" s="102">
        <v>7</v>
      </c>
      <c r="D23" s="102">
        <v>16</v>
      </c>
      <c r="E23" s="102">
        <v>1</v>
      </c>
      <c r="F23" s="143">
        <f>+D23-C23-E23</f>
        <v>8</v>
      </c>
      <c r="G23" s="144"/>
      <c r="H23" s="145"/>
      <c r="I23" s="143">
        <f>+H23-G23</f>
        <v>0</v>
      </c>
      <c r="J23" s="102"/>
      <c r="K23" s="146">
        <f>+I23+F23-L23</f>
        <v>8</v>
      </c>
      <c r="L23" s="147">
        <f>IF(C23&gt;0,(F23+I23)+IF(K$5&gt;0,F23,-8),0)+IF(U$5&gt;0,I23,0)</f>
        <v>0</v>
      </c>
      <c r="M23" s="148">
        <v>7</v>
      </c>
      <c r="N23" s="102">
        <v>16</v>
      </c>
      <c r="O23" s="102">
        <v>1</v>
      </c>
      <c r="P23" s="143">
        <f>+N23-M23-O23</f>
        <v>8</v>
      </c>
      <c r="Q23" s="43"/>
      <c r="R23" s="43"/>
      <c r="S23" s="143">
        <f>+R23-Q23</f>
        <v>0</v>
      </c>
      <c r="T23" s="102"/>
      <c r="U23" s="146">
        <f>+S23+P23-V23</f>
        <v>8</v>
      </c>
      <c r="V23" s="147">
        <f>IF(M23&gt;0,(P23+S23)+IF(U$5&gt;0,P23,-8),0)+IF(AE$5&gt;0,S23,0)</f>
        <v>0</v>
      </c>
      <c r="W23" s="102">
        <v>7</v>
      </c>
      <c r="X23" s="102">
        <v>16</v>
      </c>
      <c r="Y23" s="102">
        <v>1</v>
      </c>
      <c r="Z23" s="143">
        <f>+X23-W23-Y23</f>
        <v>8</v>
      </c>
      <c r="AA23" s="102"/>
      <c r="AB23" s="28"/>
      <c r="AC23" s="143">
        <f>+AB23-AA23</f>
        <v>0</v>
      </c>
      <c r="AD23" s="102"/>
      <c r="AE23" s="146">
        <f t="shared" si="11"/>
        <v>8</v>
      </c>
      <c r="AF23" s="147">
        <f>IF(W23&gt;0,IF(AE$5&gt;0,(Z23+AC23)*2,(Z23+AC23-8)),0)*IF(Z23&lt;9,IF(AE$5&gt;0,1,2),1)+IF(Z23&gt;8,AC23,0)</f>
        <v>0</v>
      </c>
      <c r="AG23" s="102">
        <v>7</v>
      </c>
      <c r="AH23" s="102">
        <v>16</v>
      </c>
      <c r="AI23" s="102">
        <v>1</v>
      </c>
      <c r="AJ23" s="149">
        <f>+AH23-AG23-AI23</f>
        <v>8</v>
      </c>
      <c r="AK23" s="102"/>
      <c r="AL23" s="102"/>
      <c r="AM23" s="143">
        <f>+AL23-AK23</f>
        <v>0</v>
      </c>
      <c r="AN23" s="150"/>
      <c r="AO23" s="151">
        <f>(AJ23*2+AM23)</f>
        <v>16</v>
      </c>
      <c r="AP23" s="841">
        <f t="shared" si="29"/>
        <v>16</v>
      </c>
      <c r="AQ23" s="842"/>
      <c r="AR23" s="843">
        <f>ROUND(BD23*AP23,1)</f>
        <v>62</v>
      </c>
      <c r="AS23" s="844"/>
      <c r="AT23" s="113">
        <f t="shared" ref="AT23:AT25" si="30">IF(AT45&gt;0,AT45*$AT$10,0)</f>
        <v>28</v>
      </c>
      <c r="AU23" s="69"/>
      <c r="AV23" s="114">
        <f>+L23</f>
        <v>0</v>
      </c>
      <c r="AW23" s="114">
        <f>+V23</f>
        <v>0</v>
      </c>
      <c r="AX23" s="114">
        <f>+AF23</f>
        <v>0</v>
      </c>
      <c r="AY23" s="114">
        <f>+AO23</f>
        <v>16</v>
      </c>
      <c r="AZ23" s="114">
        <f>+L45</f>
        <v>0</v>
      </c>
      <c r="BA23" s="114">
        <f>+V45</f>
        <v>0</v>
      </c>
      <c r="BB23" s="114">
        <f>+AF45</f>
        <v>0</v>
      </c>
      <c r="BC23" s="35"/>
      <c r="BD23" s="115">
        <f t="shared" si="21"/>
        <v>3.8750035714285715</v>
      </c>
      <c r="BE23" s="115">
        <f>+BD23*AP23</f>
        <v>62.000057142857145</v>
      </c>
      <c r="BF23" s="115">
        <f>+BD23*AY23</f>
        <v>62.000057142857145</v>
      </c>
    </row>
    <row r="24" spans="1:60" s="116" customFormat="1" ht="14.1" customHeight="1">
      <c r="A24" s="62">
        <v>13</v>
      </c>
      <c r="B24" s="142" t="str">
        <f t="shared" si="0"/>
        <v>Jose Lares P.</v>
      </c>
      <c r="C24" s="102">
        <v>7</v>
      </c>
      <c r="D24" s="102">
        <v>16</v>
      </c>
      <c r="E24" s="102">
        <v>1</v>
      </c>
      <c r="F24" s="143">
        <f>+D24-C24-E24</f>
        <v>8</v>
      </c>
      <c r="G24" s="144"/>
      <c r="H24" s="145"/>
      <c r="I24" s="143">
        <f>+H24-G24</f>
        <v>0</v>
      </c>
      <c r="J24" s="102"/>
      <c r="K24" s="146">
        <f>+I24+F24-L24</f>
        <v>8</v>
      </c>
      <c r="L24" s="147">
        <f>IF(C24&gt;0,(F24+I24)+IF(K$5&gt;0,F24,-8),0)+IF(U$5&gt;0,I24,0)</f>
        <v>0</v>
      </c>
      <c r="M24" s="148">
        <v>7</v>
      </c>
      <c r="N24" s="102">
        <v>16</v>
      </c>
      <c r="O24" s="102">
        <v>1</v>
      </c>
      <c r="P24" s="143">
        <f>+N24-M24-O24</f>
        <v>8</v>
      </c>
      <c r="Q24" s="43"/>
      <c r="R24" s="43"/>
      <c r="S24" s="143">
        <f>+R24-Q24</f>
        <v>0</v>
      </c>
      <c r="T24" s="102"/>
      <c r="U24" s="146">
        <f>+S24+P24-V24</f>
        <v>8</v>
      </c>
      <c r="V24" s="147">
        <f>IF(M24&gt;0,(P24+S24)+IF(U$5&gt;0,P24,-8),0)+IF(AE$5&gt;0,S24,0)</f>
        <v>0</v>
      </c>
      <c r="W24" s="102">
        <v>7</v>
      </c>
      <c r="X24" s="102">
        <v>16</v>
      </c>
      <c r="Y24" s="102">
        <v>1</v>
      </c>
      <c r="Z24" s="143">
        <f>+X24-W24-Y24</f>
        <v>8</v>
      </c>
      <c r="AA24" s="102"/>
      <c r="AB24" s="28"/>
      <c r="AC24" s="143">
        <f>+AB24-AA24</f>
        <v>0</v>
      </c>
      <c r="AD24" s="102"/>
      <c r="AE24" s="146">
        <f t="shared" si="11"/>
        <v>8</v>
      </c>
      <c r="AF24" s="147">
        <f>IF(W24&gt;0,IF(AE$5&gt;0,(Z24+AC24)*2,(Z24+AC24-8)),0)*IF(Z24&lt;9,IF(AE$5&gt;0,1,2),1)+IF(Z24&gt;8,AC24,0)</f>
        <v>0</v>
      </c>
      <c r="AG24" s="102"/>
      <c r="AH24" s="102"/>
      <c r="AI24" s="102"/>
      <c r="AJ24" s="149">
        <f>+AH24-AG24-AI24</f>
        <v>0</v>
      </c>
      <c r="AK24" s="102"/>
      <c r="AL24" s="102"/>
      <c r="AM24" s="143">
        <f>+AL24-AK24</f>
        <v>0</v>
      </c>
      <c r="AN24" s="150"/>
      <c r="AO24" s="151">
        <f>(AJ24*2+AM24)</f>
        <v>0</v>
      </c>
      <c r="AP24" s="841">
        <f t="shared" si="29"/>
        <v>-1</v>
      </c>
      <c r="AQ24" s="842"/>
      <c r="AR24" s="843">
        <f>ROUND(BD24*AP24,1)</f>
        <v>-3.9</v>
      </c>
      <c r="AS24" s="844"/>
      <c r="AT24" s="113">
        <f t="shared" si="30"/>
        <v>20</v>
      </c>
      <c r="AU24" s="69"/>
      <c r="AV24" s="114">
        <f>+L24</f>
        <v>0</v>
      </c>
      <c r="AW24" s="114">
        <f>+V24</f>
        <v>0</v>
      </c>
      <c r="AX24" s="114">
        <f>+AF24</f>
        <v>0</v>
      </c>
      <c r="AY24" s="114">
        <f>+AO24</f>
        <v>0</v>
      </c>
      <c r="AZ24" s="114">
        <f>+L47</f>
        <v>0</v>
      </c>
      <c r="BA24" s="114">
        <f>+V47</f>
        <v>0</v>
      </c>
      <c r="BB24" s="114">
        <f>+AF47</f>
        <v>0</v>
      </c>
      <c r="BC24" s="35"/>
      <c r="BD24" s="115">
        <f t="shared" si="21"/>
        <v>3.8750035714285715</v>
      </c>
      <c r="BE24" s="115">
        <f>+BD24*AP24</f>
        <v>-3.8750035714285715</v>
      </c>
      <c r="BF24" s="115">
        <f>+BD24*AY24</f>
        <v>0</v>
      </c>
    </row>
    <row r="25" spans="1:60" ht="14.1" customHeight="1" thickBot="1">
      <c r="A25" s="1">
        <v>14</v>
      </c>
      <c r="B25" s="152" t="str">
        <f t="shared" si="0"/>
        <v>Jeeimy Davila C.</v>
      </c>
      <c r="C25" s="601">
        <v>7</v>
      </c>
      <c r="D25" s="160">
        <v>16</v>
      </c>
      <c r="E25" s="602">
        <v>1</v>
      </c>
      <c r="F25" s="603">
        <f>+D25-C25-E25</f>
        <v>8</v>
      </c>
      <c r="G25" s="160"/>
      <c r="H25" s="160"/>
      <c r="I25" s="603">
        <f>+H25-G25</f>
        <v>0</v>
      </c>
      <c r="J25" s="602"/>
      <c r="K25" s="604">
        <f>+I25+F25-L25</f>
        <v>8</v>
      </c>
      <c r="L25" s="605">
        <f t="shared" si="4"/>
        <v>0</v>
      </c>
      <c r="M25" s="606">
        <v>7</v>
      </c>
      <c r="N25" s="160">
        <v>16</v>
      </c>
      <c r="O25" s="602">
        <v>1</v>
      </c>
      <c r="P25" s="603">
        <f>+N25-M25-O25</f>
        <v>8</v>
      </c>
      <c r="Q25" s="160"/>
      <c r="R25" s="160"/>
      <c r="S25" s="603">
        <f>+R25-Q25</f>
        <v>0</v>
      </c>
      <c r="T25" s="602"/>
      <c r="U25" s="604">
        <f>+S25+P25-V25</f>
        <v>8</v>
      </c>
      <c r="V25" s="605">
        <f>IF(M25&gt;0,(P25+S25)+IF(U$5&gt;0,P25,-8),0)+IF(AE$5&gt;0,S25,0)</f>
        <v>0</v>
      </c>
      <c r="W25" s="160">
        <v>7</v>
      </c>
      <c r="X25" s="160">
        <v>16</v>
      </c>
      <c r="Y25" s="602">
        <v>1</v>
      </c>
      <c r="Z25" s="603">
        <f>+X25-W25-Y25</f>
        <v>8</v>
      </c>
      <c r="AA25" s="160"/>
      <c r="AB25" s="161"/>
      <c r="AC25" s="603">
        <f>+AB25-AA25</f>
        <v>0</v>
      </c>
      <c r="AD25" s="602"/>
      <c r="AE25" s="604">
        <f t="shared" si="11"/>
        <v>8</v>
      </c>
      <c r="AF25" s="605">
        <f>IF(W25&gt;0,IF(AE$5&gt;0,(Z25+AC25)*2,(Z25+AC25-8)),0)*IF(Z25&lt;9,IF(AE$5&gt;0,1,2),1)+IF(Z25&gt;8,AC25,0)</f>
        <v>0</v>
      </c>
      <c r="AG25" s="271"/>
      <c r="AH25" s="160"/>
      <c r="AI25" s="602"/>
      <c r="AJ25" s="607">
        <f t="shared" si="12"/>
        <v>0</v>
      </c>
      <c r="AK25" s="160"/>
      <c r="AL25" s="160"/>
      <c r="AM25" s="603">
        <f>+AL25-AK25</f>
        <v>0</v>
      </c>
      <c r="AN25" s="608"/>
      <c r="AO25" s="609">
        <f>(AJ25*2+AM25)</f>
        <v>0</v>
      </c>
      <c r="AP25" s="1190">
        <f t="shared" si="29"/>
        <v>0</v>
      </c>
      <c r="AQ25" s="1191"/>
      <c r="AR25" s="1192">
        <f>ROUND(BD25*AP25,1)</f>
        <v>0</v>
      </c>
      <c r="AS25" s="1193"/>
      <c r="AT25" s="166">
        <f t="shared" si="30"/>
        <v>24</v>
      </c>
      <c r="AV25" s="114">
        <f>+L25</f>
        <v>0</v>
      </c>
      <c r="AW25" s="114">
        <f>+V25</f>
        <v>0</v>
      </c>
      <c r="AX25" s="114">
        <f>+AF25</f>
        <v>0</v>
      </c>
      <c r="AY25" s="114">
        <f>+AO25</f>
        <v>0</v>
      </c>
      <c r="AZ25" s="114">
        <f t="shared" ref="AZ25" si="31">+L47</f>
        <v>0</v>
      </c>
      <c r="BA25" s="114">
        <f t="shared" ref="BA25" si="32">+V47</f>
        <v>0</v>
      </c>
      <c r="BB25" s="114">
        <f t="shared" ref="BB25" si="33">+AF47</f>
        <v>0</v>
      </c>
      <c r="BC25" s="35"/>
      <c r="BD25" s="36">
        <f t="shared" si="21"/>
        <v>4.125</v>
      </c>
      <c r="BE25" s="37">
        <f>+BD25*AP25</f>
        <v>0</v>
      </c>
      <c r="BF25" s="38">
        <f>+BD25*AY25</f>
        <v>0</v>
      </c>
    </row>
    <row r="26" spans="1:60" ht="5.0999999999999996" customHeight="1" thickBot="1">
      <c r="BC26" s="167"/>
      <c r="BD26" s="168"/>
      <c r="BE26" s="855">
        <f>SUM(BE11:BE25)</f>
        <v>444.46755833333333</v>
      </c>
      <c r="BF26" s="856">
        <f>SUM(BF11:BF25)</f>
        <v>312.12522142857142</v>
      </c>
    </row>
    <row r="27" spans="1:60" ht="9.9499999999999993" customHeight="1">
      <c r="B27" s="741" t="s">
        <v>1</v>
      </c>
      <c r="C27" s="858">
        <f>1+AG5</f>
        <v>43864</v>
      </c>
      <c r="D27" s="858"/>
      <c r="E27" s="858"/>
      <c r="F27" s="858"/>
      <c r="G27" s="858"/>
      <c r="H27" s="858"/>
      <c r="I27" s="858"/>
      <c r="J27" s="858"/>
      <c r="K27" s="860"/>
      <c r="L27" s="861"/>
      <c r="M27" s="864">
        <f>1+C27</f>
        <v>43865</v>
      </c>
      <c r="N27" s="865"/>
      <c r="O27" s="865"/>
      <c r="P27" s="865"/>
      <c r="Q27" s="865"/>
      <c r="R27" s="865"/>
      <c r="S27" s="865"/>
      <c r="T27" s="866"/>
      <c r="U27" s="870"/>
      <c r="V27" s="871"/>
      <c r="W27" s="864">
        <f>1+M27</f>
        <v>43866</v>
      </c>
      <c r="X27" s="865"/>
      <c r="Y27" s="865"/>
      <c r="Z27" s="865"/>
      <c r="AA27" s="865"/>
      <c r="AB27" s="865"/>
      <c r="AC27" s="865"/>
      <c r="AD27" s="866"/>
      <c r="AE27" s="880"/>
      <c r="AF27" s="881"/>
      <c r="AH27" s="884" t="s">
        <v>18</v>
      </c>
      <c r="AI27" s="879">
        <f>+C5</f>
        <v>43860</v>
      </c>
      <c r="AJ27" s="885">
        <f t="shared" ref="AJ27:AO27" si="34">1+AI27</f>
        <v>43861</v>
      </c>
      <c r="AK27" s="885">
        <f t="shared" si="34"/>
        <v>43862</v>
      </c>
      <c r="AL27" s="878">
        <f t="shared" si="34"/>
        <v>43863</v>
      </c>
      <c r="AM27" s="878">
        <f t="shared" si="34"/>
        <v>43864</v>
      </c>
      <c r="AN27" s="879">
        <f t="shared" si="34"/>
        <v>43865</v>
      </c>
      <c r="AO27" s="879">
        <f t="shared" si="34"/>
        <v>43866</v>
      </c>
      <c r="AP27" s="911" t="s">
        <v>19</v>
      </c>
      <c r="AQ27" s="912"/>
      <c r="AR27" s="913" t="s">
        <v>20</v>
      </c>
      <c r="AS27" s="914"/>
      <c r="AT27" s="898" t="s">
        <v>21</v>
      </c>
      <c r="AW27" s="901">
        <f>+AL27</f>
        <v>43863</v>
      </c>
      <c r="AX27" s="902"/>
      <c r="AZ27" s="907" t="s">
        <v>22</v>
      </c>
      <c r="BA27" s="907"/>
      <c r="BB27" s="907"/>
      <c r="BC27" s="907"/>
      <c r="BD27" s="168"/>
      <c r="BE27" s="855"/>
      <c r="BF27" s="857"/>
    </row>
    <row r="28" spans="1:60" ht="9.9499999999999993" customHeight="1">
      <c r="B28" s="742"/>
      <c r="C28" s="859"/>
      <c r="D28" s="859"/>
      <c r="E28" s="859"/>
      <c r="F28" s="859"/>
      <c r="G28" s="859"/>
      <c r="H28" s="859"/>
      <c r="I28" s="859"/>
      <c r="J28" s="859"/>
      <c r="K28" s="862"/>
      <c r="L28" s="863"/>
      <c r="M28" s="867"/>
      <c r="N28" s="868"/>
      <c r="O28" s="868"/>
      <c r="P28" s="868"/>
      <c r="Q28" s="868"/>
      <c r="R28" s="868"/>
      <c r="S28" s="868"/>
      <c r="T28" s="869"/>
      <c r="U28" s="872"/>
      <c r="V28" s="873"/>
      <c r="W28" s="867"/>
      <c r="X28" s="868"/>
      <c r="Y28" s="868"/>
      <c r="Z28" s="868"/>
      <c r="AA28" s="868"/>
      <c r="AB28" s="868"/>
      <c r="AC28" s="868"/>
      <c r="AD28" s="869"/>
      <c r="AE28" s="882"/>
      <c r="AF28" s="883"/>
      <c r="AH28" s="884"/>
      <c r="AI28" s="879"/>
      <c r="AJ28" s="885"/>
      <c r="AK28" s="885"/>
      <c r="AL28" s="878"/>
      <c r="AM28" s="878"/>
      <c r="AN28" s="879"/>
      <c r="AO28" s="879"/>
      <c r="AP28" s="911"/>
      <c r="AQ28" s="912"/>
      <c r="AR28" s="915"/>
      <c r="AS28" s="916"/>
      <c r="AT28" s="899"/>
      <c r="AW28" s="903"/>
      <c r="AX28" s="904"/>
      <c r="AZ28" s="908">
        <f>SUM(AV11:BB25)</f>
        <v>100</v>
      </c>
      <c r="BA28" s="909"/>
      <c r="BB28" s="909"/>
      <c r="BC28" s="169"/>
      <c r="BD28" s="168"/>
      <c r="BE28" s="170"/>
    </row>
    <row r="29" spans="1:60" ht="15.2" customHeight="1">
      <c r="B29" s="742"/>
      <c r="C29" s="780" t="s">
        <v>10</v>
      </c>
      <c r="D29" s="874"/>
      <c r="E29" s="766" t="s">
        <v>11</v>
      </c>
      <c r="F29" s="769" t="s">
        <v>12</v>
      </c>
      <c r="G29" s="877" t="s">
        <v>10</v>
      </c>
      <c r="H29" s="874"/>
      <c r="I29" s="769" t="s">
        <v>12</v>
      </c>
      <c r="J29" s="773" t="s">
        <v>13</v>
      </c>
      <c r="K29" s="786" t="s">
        <v>14</v>
      </c>
      <c r="L29" s="886" t="s">
        <v>15</v>
      </c>
      <c r="M29" s="780" t="s">
        <v>10</v>
      </c>
      <c r="N29" s="888"/>
      <c r="O29" s="767" t="s">
        <v>11</v>
      </c>
      <c r="P29" s="770" t="s">
        <v>12</v>
      </c>
      <c r="Q29" s="877" t="s">
        <v>10</v>
      </c>
      <c r="R29" s="893"/>
      <c r="S29" s="770" t="s">
        <v>12</v>
      </c>
      <c r="T29" s="774" t="s">
        <v>13</v>
      </c>
      <c r="U29" s="787" t="s">
        <v>14</v>
      </c>
      <c r="V29" s="886" t="s">
        <v>15</v>
      </c>
      <c r="W29" s="780" t="s">
        <v>10</v>
      </c>
      <c r="X29" s="888"/>
      <c r="Y29" s="767" t="s">
        <v>11</v>
      </c>
      <c r="Z29" s="770" t="s">
        <v>12</v>
      </c>
      <c r="AA29" s="877" t="s">
        <v>10</v>
      </c>
      <c r="AB29" s="893"/>
      <c r="AC29" s="770" t="s">
        <v>12</v>
      </c>
      <c r="AD29" s="774" t="s">
        <v>13</v>
      </c>
      <c r="AE29" s="787" t="s">
        <v>14</v>
      </c>
      <c r="AF29" s="886"/>
      <c r="AH29" s="884"/>
      <c r="AI29" s="879"/>
      <c r="AJ29" s="885"/>
      <c r="AK29" s="885"/>
      <c r="AL29" s="878"/>
      <c r="AM29" s="878"/>
      <c r="AN29" s="879"/>
      <c r="AO29" s="879"/>
      <c r="AP29" s="911"/>
      <c r="AQ29" s="912"/>
      <c r="AR29" s="915"/>
      <c r="AS29" s="916"/>
      <c r="AT29" s="899"/>
      <c r="AW29" s="903"/>
      <c r="AX29" s="904"/>
      <c r="AZ29" s="910"/>
      <c r="BA29" s="910"/>
      <c r="BB29" s="910"/>
      <c r="BC29" s="169"/>
      <c r="BD29" s="168"/>
      <c r="BE29" s="168"/>
    </row>
    <row r="30" spans="1:60" ht="15.2" customHeight="1">
      <c r="B30" s="742"/>
      <c r="C30" s="875"/>
      <c r="D30" s="810"/>
      <c r="E30" s="767"/>
      <c r="F30" s="770"/>
      <c r="G30" s="811"/>
      <c r="H30" s="810"/>
      <c r="I30" s="770"/>
      <c r="J30" s="774"/>
      <c r="K30" s="787"/>
      <c r="L30" s="886"/>
      <c r="M30" s="889"/>
      <c r="N30" s="890"/>
      <c r="O30" s="767"/>
      <c r="P30" s="770"/>
      <c r="Q30" s="894"/>
      <c r="R30" s="895"/>
      <c r="S30" s="770"/>
      <c r="T30" s="774"/>
      <c r="U30" s="787"/>
      <c r="V30" s="886"/>
      <c r="W30" s="889"/>
      <c r="X30" s="890"/>
      <c r="Y30" s="767"/>
      <c r="Z30" s="770"/>
      <c r="AA30" s="894"/>
      <c r="AB30" s="895"/>
      <c r="AC30" s="770"/>
      <c r="AD30" s="774"/>
      <c r="AE30" s="787"/>
      <c r="AF30" s="886"/>
      <c r="AH30" s="884"/>
      <c r="AI30" s="879"/>
      <c r="AJ30" s="885"/>
      <c r="AK30" s="885"/>
      <c r="AL30" s="878"/>
      <c r="AM30" s="878"/>
      <c r="AN30" s="879"/>
      <c r="AO30" s="879"/>
      <c r="AP30" s="911"/>
      <c r="AQ30" s="912"/>
      <c r="AR30" s="915"/>
      <c r="AS30" s="916"/>
      <c r="AT30" s="899"/>
      <c r="AW30" s="903"/>
      <c r="AX30" s="904"/>
      <c r="AY30" s="7" t="s">
        <v>23</v>
      </c>
      <c r="BD30" s="171">
        <f>+AZ28-AW49</f>
        <v>24</v>
      </c>
      <c r="BE30" s="172" t="s">
        <v>24</v>
      </c>
    </row>
    <row r="31" spans="1:60" ht="15.2" customHeight="1">
      <c r="B31" s="742"/>
      <c r="C31" s="875"/>
      <c r="D31" s="810"/>
      <c r="E31" s="767"/>
      <c r="F31" s="770"/>
      <c r="G31" s="811"/>
      <c r="H31" s="810"/>
      <c r="I31" s="770"/>
      <c r="J31" s="774"/>
      <c r="K31" s="787"/>
      <c r="L31" s="886"/>
      <c r="M31" s="889"/>
      <c r="N31" s="890"/>
      <c r="O31" s="767"/>
      <c r="P31" s="770"/>
      <c r="Q31" s="894"/>
      <c r="R31" s="895"/>
      <c r="S31" s="770"/>
      <c r="T31" s="774"/>
      <c r="U31" s="787"/>
      <c r="V31" s="886"/>
      <c r="W31" s="889"/>
      <c r="X31" s="890"/>
      <c r="Y31" s="767"/>
      <c r="Z31" s="770"/>
      <c r="AA31" s="894"/>
      <c r="AB31" s="895"/>
      <c r="AC31" s="770"/>
      <c r="AD31" s="774"/>
      <c r="AE31" s="787"/>
      <c r="AF31" s="886"/>
      <c r="AH31" s="884"/>
      <c r="AI31" s="879"/>
      <c r="AJ31" s="885"/>
      <c r="AK31" s="885"/>
      <c r="AL31" s="878"/>
      <c r="AM31" s="878"/>
      <c r="AN31" s="879"/>
      <c r="AO31" s="879"/>
      <c r="AP31" s="911"/>
      <c r="AQ31" s="912"/>
      <c r="AR31" s="915"/>
      <c r="AS31" s="916"/>
      <c r="AT31" s="899"/>
      <c r="AW31" s="903"/>
      <c r="AX31" s="904"/>
    </row>
    <row r="32" spans="1:60" ht="15.2" customHeight="1" thickBot="1">
      <c r="B32" s="743"/>
      <c r="C32" s="876"/>
      <c r="D32" s="813"/>
      <c r="E32" s="768"/>
      <c r="F32" s="771"/>
      <c r="G32" s="812"/>
      <c r="H32" s="813"/>
      <c r="I32" s="771"/>
      <c r="J32" s="775"/>
      <c r="K32" s="788"/>
      <c r="L32" s="887"/>
      <c r="M32" s="891"/>
      <c r="N32" s="892"/>
      <c r="O32" s="768"/>
      <c r="P32" s="771"/>
      <c r="Q32" s="896"/>
      <c r="R32" s="897"/>
      <c r="S32" s="771"/>
      <c r="T32" s="775"/>
      <c r="U32" s="788"/>
      <c r="V32" s="887"/>
      <c r="W32" s="891"/>
      <c r="X32" s="892"/>
      <c r="Y32" s="768"/>
      <c r="Z32" s="771"/>
      <c r="AA32" s="896"/>
      <c r="AB32" s="897"/>
      <c r="AC32" s="771"/>
      <c r="AD32" s="775"/>
      <c r="AE32" s="788"/>
      <c r="AF32" s="887"/>
      <c r="AH32" s="884"/>
      <c r="AI32" s="879"/>
      <c r="AJ32" s="885"/>
      <c r="AK32" s="885"/>
      <c r="AL32" s="878"/>
      <c r="AM32" s="878"/>
      <c r="AN32" s="879"/>
      <c r="AO32" s="879"/>
      <c r="AP32" s="911"/>
      <c r="AQ32" s="912"/>
      <c r="AR32" s="917"/>
      <c r="AS32" s="918"/>
      <c r="AT32" s="900"/>
      <c r="AW32" s="905"/>
      <c r="AX32" s="906"/>
      <c r="BE32" s="173"/>
    </row>
    <row r="33" spans="1:57" ht="14.1" customHeight="1">
      <c r="B33" s="16" t="str">
        <f t="shared" ref="B33:B47" si="35">+B11</f>
        <v>Eduardo Segura D.</v>
      </c>
      <c r="C33" s="17">
        <v>8</v>
      </c>
      <c r="D33" s="18">
        <v>16</v>
      </c>
      <c r="E33" s="19">
        <v>1</v>
      </c>
      <c r="F33" s="40">
        <f t="shared" ref="F33:F47" si="36">+D33-C33-E33</f>
        <v>7</v>
      </c>
      <c r="G33" s="43"/>
      <c r="H33" s="22"/>
      <c r="I33" s="40">
        <f t="shared" ref="I33:I47" si="37">+H33-G33</f>
        <v>0</v>
      </c>
      <c r="J33" s="19"/>
      <c r="K33" s="41">
        <f t="shared" ref="K33:K47" si="38">+I33+F33-L33</f>
        <v>8</v>
      </c>
      <c r="L33" s="25">
        <f t="shared" ref="L33:L47" si="39">IF(C33&gt;0,(F33+I33)+IF(K$27&gt;0,F33,-8),0)+IF(U$27&gt;0,I33,0)</f>
        <v>-1</v>
      </c>
      <c r="M33" s="43">
        <v>7</v>
      </c>
      <c r="N33" s="18">
        <v>16</v>
      </c>
      <c r="O33" s="19">
        <v>1</v>
      </c>
      <c r="P33" s="40">
        <f t="shared" ref="P33:P47" si="40">+N33-M33-O33</f>
        <v>8</v>
      </c>
      <c r="Q33" s="138"/>
      <c r="R33" s="174"/>
      <c r="S33" s="40">
        <f t="shared" ref="S33:S47" si="41">+R33-Q33</f>
        <v>0</v>
      </c>
      <c r="T33" s="19"/>
      <c r="U33" s="41">
        <f t="shared" ref="U33:U47" si="42">+S33+P33-V33</f>
        <v>8</v>
      </c>
      <c r="V33" s="25">
        <f t="shared" ref="V33:V47" si="43">IF(M33&gt;0,(P33+S33)+IF(U$27&gt;0,P33,-8),0)+IF(AE$27&gt;0,S33,0)</f>
        <v>0</v>
      </c>
      <c r="W33" s="18">
        <v>7</v>
      </c>
      <c r="X33" s="18">
        <v>16</v>
      </c>
      <c r="Y33" s="175">
        <v>1</v>
      </c>
      <c r="Z33" s="176">
        <f t="shared" ref="Z33:Z47" si="44">+X33-W33-Y33</f>
        <v>8</v>
      </c>
      <c r="AA33" s="138"/>
      <c r="AB33" s="22"/>
      <c r="AC33" s="176">
        <f t="shared" ref="AC33:AC47" si="45">+AB33-AA33</f>
        <v>0</v>
      </c>
      <c r="AD33" s="175"/>
      <c r="AE33" s="177">
        <f t="shared" ref="AE33:AE47" si="46">+AC33+Z33-AF33</f>
        <v>8</v>
      </c>
      <c r="AF33" s="25">
        <f t="shared" ref="AF33:AF47" si="47">IF(W33&gt;0,(Z33+AC33)+IF(AE$27&gt;0,0+Z33,-8),0)</f>
        <v>0</v>
      </c>
      <c r="AG33" s="69"/>
      <c r="AH33" s="178">
        <v>0</v>
      </c>
      <c r="AI33" s="179">
        <f>+K11+(IF(ISBLANK($K$5),-8,0))</f>
        <v>0</v>
      </c>
      <c r="AJ33" s="179">
        <f>IF(ISBLANK($U$5),-8,0)+U11</f>
        <v>0</v>
      </c>
      <c r="AK33" s="179">
        <f>IF(ISBLANK($AE$5),-8,0)+AE11</f>
        <v>-8</v>
      </c>
      <c r="AL33" s="179">
        <f t="shared" ref="AL33:AL47" si="48">IF(ISBLANK($AO$5),-8,0)+AO11+AW33</f>
        <v>0</v>
      </c>
      <c r="AM33" s="179">
        <f t="shared" ref="AM33:AM47" si="49">IF(ISBLANK($K$27),-8,0)+K33</f>
        <v>0</v>
      </c>
      <c r="AN33" s="179">
        <f t="shared" ref="AN33:AN47" si="50">IF(ISBLANK($U$27),-8,0)+U33</f>
        <v>0</v>
      </c>
      <c r="AO33" s="179">
        <f t="shared" ref="AO33:AO47" si="51">IF(ISBLANK($AE$27),-8,0)+AE33</f>
        <v>0</v>
      </c>
      <c r="AP33" s="180">
        <f t="shared" ref="AP33:AP47" si="52">SUM(AH33:AO33)</f>
        <v>-8</v>
      </c>
      <c r="AQ33" s="69"/>
      <c r="AR33" s="919">
        <f>+X73*Q73</f>
        <v>0</v>
      </c>
      <c r="AS33" s="925"/>
      <c r="AT33" s="181">
        <f>IF(K11+L11&gt;0,1,0)+IF(U11+V11&gt;0,1,0)+IF(AE11+AF11&gt;0,1,0)+IF(AO11&gt;3,1,0)+IF(K33+L33&gt;0,1,0)+IF(U33+V33&gt;0,1,0)+IF(AE33+AF33&gt;0,1,0)</f>
        <v>5</v>
      </c>
      <c r="AU33" s="69"/>
      <c r="AV33" s="69"/>
      <c r="AW33" s="921"/>
      <c r="AX33" s="922"/>
      <c r="BD33" s="182"/>
      <c r="BE33" s="183"/>
    </row>
    <row r="34" spans="1:57" ht="14.1" customHeight="1">
      <c r="B34" s="190" t="str">
        <f t="shared" si="35"/>
        <v>Cesar Mendez M.</v>
      </c>
      <c r="C34" s="17">
        <v>7</v>
      </c>
      <c r="D34" s="18">
        <v>17</v>
      </c>
      <c r="E34" s="19">
        <v>1</v>
      </c>
      <c r="F34" s="40">
        <f t="shared" si="36"/>
        <v>9</v>
      </c>
      <c r="G34" s="43"/>
      <c r="H34" s="43"/>
      <c r="I34" s="40">
        <f t="shared" si="37"/>
        <v>0</v>
      </c>
      <c r="J34" s="19"/>
      <c r="K34" s="41">
        <f t="shared" si="38"/>
        <v>8</v>
      </c>
      <c r="L34" s="25">
        <f t="shared" si="39"/>
        <v>1</v>
      </c>
      <c r="M34" s="43">
        <v>7</v>
      </c>
      <c r="N34" s="18">
        <v>17</v>
      </c>
      <c r="O34" s="19">
        <v>1</v>
      </c>
      <c r="P34" s="40">
        <f t="shared" si="40"/>
        <v>9</v>
      </c>
      <c r="Q34" s="43"/>
      <c r="R34" s="43"/>
      <c r="S34" s="40">
        <f t="shared" si="41"/>
        <v>0</v>
      </c>
      <c r="T34" s="19"/>
      <c r="U34" s="41">
        <f t="shared" si="42"/>
        <v>8</v>
      </c>
      <c r="V34" s="25">
        <f t="shared" si="43"/>
        <v>1</v>
      </c>
      <c r="W34" s="18">
        <v>7</v>
      </c>
      <c r="X34" s="18">
        <v>17</v>
      </c>
      <c r="Y34" s="19">
        <v>1</v>
      </c>
      <c r="Z34" s="40">
        <f t="shared" si="44"/>
        <v>9</v>
      </c>
      <c r="AA34" s="18"/>
      <c r="AB34" s="43"/>
      <c r="AC34" s="40">
        <f t="shared" si="45"/>
        <v>0</v>
      </c>
      <c r="AD34" s="19"/>
      <c r="AE34" s="41">
        <f t="shared" si="46"/>
        <v>8</v>
      </c>
      <c r="AF34" s="25">
        <f t="shared" si="47"/>
        <v>1</v>
      </c>
      <c r="AG34" s="69"/>
      <c r="AH34" s="178">
        <v>0</v>
      </c>
      <c r="AI34" s="179">
        <f>+K12+(IF(ISBLANK($K$5),-8,0))</f>
        <v>0</v>
      </c>
      <c r="AJ34" s="179">
        <f>IF(ISBLANK($U$5),-8,0)+U12</f>
        <v>0</v>
      </c>
      <c r="AK34" s="179">
        <f>IF(ISBLANK($AE$5),-8,0)+AE12</f>
        <v>0</v>
      </c>
      <c r="AL34" s="179">
        <f t="shared" si="48"/>
        <v>0</v>
      </c>
      <c r="AM34" s="179">
        <f t="shared" si="49"/>
        <v>0</v>
      </c>
      <c r="AN34" s="179">
        <f t="shared" si="50"/>
        <v>0</v>
      </c>
      <c r="AO34" s="179">
        <f t="shared" si="51"/>
        <v>0</v>
      </c>
      <c r="AP34" s="180">
        <f t="shared" si="52"/>
        <v>0</v>
      </c>
      <c r="AQ34" s="69"/>
      <c r="AR34" s="919">
        <f>+X74*Q74</f>
        <v>0.77857142857143202</v>
      </c>
      <c r="AS34" s="920"/>
      <c r="AT34" s="181">
        <f>IF(K12+L12&gt;0,1,0)+IF(U12+V12&gt;0,1,0)+IF(AE12+AF12&gt;0,1,0)+IF(AO12&gt;3,1,0)+IF(K34+L34&gt;0,1,0)+IF(U34+V34&gt;0,1,0)+IF(AE34+AF34&gt;0,1,0)</f>
        <v>7</v>
      </c>
      <c r="AU34" s="69"/>
      <c r="AV34" s="69"/>
      <c r="AW34" s="921">
        <v>-14</v>
      </c>
      <c r="AX34" s="922"/>
    </row>
    <row r="35" spans="1:57" ht="14.1" customHeight="1">
      <c r="B35" s="190" t="str">
        <f t="shared" si="35"/>
        <v>Juan Manrique V.</v>
      </c>
      <c r="C35" s="17">
        <v>7</v>
      </c>
      <c r="D35" s="18">
        <v>18</v>
      </c>
      <c r="E35" s="19">
        <v>1</v>
      </c>
      <c r="F35" s="40">
        <f t="shared" si="36"/>
        <v>10</v>
      </c>
      <c r="G35" s="43"/>
      <c r="H35" s="43"/>
      <c r="I35" s="40">
        <f t="shared" si="37"/>
        <v>0</v>
      </c>
      <c r="J35" s="19"/>
      <c r="K35" s="41">
        <f t="shared" si="38"/>
        <v>8</v>
      </c>
      <c r="L35" s="25">
        <f t="shared" si="39"/>
        <v>2</v>
      </c>
      <c r="M35" s="43">
        <v>7</v>
      </c>
      <c r="N35" s="18">
        <v>16</v>
      </c>
      <c r="O35" s="19">
        <v>1</v>
      </c>
      <c r="P35" s="40">
        <f t="shared" si="40"/>
        <v>8</v>
      </c>
      <c r="Q35" s="117"/>
      <c r="R35" s="189"/>
      <c r="S35" s="40">
        <f t="shared" si="41"/>
        <v>0</v>
      </c>
      <c r="T35" s="19"/>
      <c r="U35" s="41">
        <f t="shared" si="42"/>
        <v>8</v>
      </c>
      <c r="V35" s="25">
        <f t="shared" si="43"/>
        <v>0</v>
      </c>
      <c r="W35" s="18">
        <v>7</v>
      </c>
      <c r="X35" s="18">
        <v>16</v>
      </c>
      <c r="Y35" s="19">
        <v>1</v>
      </c>
      <c r="Z35" s="40">
        <f t="shared" si="44"/>
        <v>8</v>
      </c>
      <c r="AA35" s="18"/>
      <c r="AB35" s="18"/>
      <c r="AC35" s="40">
        <f t="shared" si="45"/>
        <v>0</v>
      </c>
      <c r="AD35" s="19"/>
      <c r="AE35" s="41">
        <f t="shared" si="46"/>
        <v>8</v>
      </c>
      <c r="AF35" s="25">
        <f t="shared" si="47"/>
        <v>0</v>
      </c>
      <c r="AG35" s="69"/>
      <c r="AH35" s="178">
        <v>0</v>
      </c>
      <c r="AI35" s="179">
        <f>+K13+(IF(ISBLANK($K$5),-8,0))</f>
        <v>0</v>
      </c>
      <c r="AJ35" s="179">
        <f>IF(ISBLANK($U$5),-8,0)+U13</f>
        <v>0</v>
      </c>
      <c r="AK35" s="179">
        <f>IF(ISBLANK($AE$5),-8,0)+AE13</f>
        <v>0.5</v>
      </c>
      <c r="AL35" s="179">
        <f t="shared" si="48"/>
        <v>0</v>
      </c>
      <c r="AM35" s="179">
        <f t="shared" si="49"/>
        <v>0</v>
      </c>
      <c r="AN35" s="179">
        <f t="shared" si="50"/>
        <v>0</v>
      </c>
      <c r="AO35" s="179">
        <f t="shared" si="51"/>
        <v>0</v>
      </c>
      <c r="AP35" s="180">
        <f t="shared" si="52"/>
        <v>0.5</v>
      </c>
      <c r="AQ35" s="69"/>
      <c r="AR35" s="919">
        <f>+X75*Q75</f>
        <v>0</v>
      </c>
      <c r="AS35" s="920"/>
      <c r="AT35" s="187">
        <f>IF(K13+L13&gt;0,1,0)+IF(U13+V13&gt;0,1,0)+IF(AE13+AF13&gt;0,1,0)+IF(AO13&gt;3,1,0)+IF(K35+L35&gt;0,1,0)+IF(U35+V35&gt;0,1,0)+IF(AE35+AF35&gt;0,1,0)</f>
        <v>6</v>
      </c>
      <c r="AU35" s="69"/>
      <c r="AV35" s="69"/>
      <c r="AW35" s="926"/>
      <c r="AX35" s="927"/>
      <c r="AZ35" s="182"/>
      <c r="BD35" s="182"/>
    </row>
    <row r="36" spans="1:57" ht="14.1" customHeight="1">
      <c r="B36" s="190" t="str">
        <f t="shared" si="35"/>
        <v xml:space="preserve"> Irving Huaringa B.</v>
      </c>
      <c r="C36" s="17">
        <v>7</v>
      </c>
      <c r="D36" s="18">
        <v>15</v>
      </c>
      <c r="E36" s="19">
        <v>1</v>
      </c>
      <c r="F36" s="40">
        <f>+D36-C36-E36</f>
        <v>7</v>
      </c>
      <c r="G36" s="43"/>
      <c r="H36" s="43"/>
      <c r="I36" s="40">
        <f>+H36-G36</f>
        <v>0</v>
      </c>
      <c r="J36" s="19"/>
      <c r="K36" s="41">
        <f>+I36+F36-L36</f>
        <v>8</v>
      </c>
      <c r="L36" s="25">
        <f t="shared" si="39"/>
        <v>-1</v>
      </c>
      <c r="M36" s="43">
        <v>7</v>
      </c>
      <c r="N36" s="18">
        <v>16</v>
      </c>
      <c r="O36" s="19">
        <v>1</v>
      </c>
      <c r="P36" s="40">
        <f>+N36-M36-O36</f>
        <v>8</v>
      </c>
      <c r="Q36" s="117"/>
      <c r="R36" s="189"/>
      <c r="S36" s="40">
        <f>+R36-Q36</f>
        <v>0</v>
      </c>
      <c r="T36" s="19"/>
      <c r="U36" s="41">
        <f>+S36+P36-V36</f>
        <v>8</v>
      </c>
      <c r="V36" s="25">
        <f t="shared" si="43"/>
        <v>0</v>
      </c>
      <c r="W36" s="18">
        <v>8</v>
      </c>
      <c r="X36" s="18">
        <v>16</v>
      </c>
      <c r="Y36" s="19">
        <v>1</v>
      </c>
      <c r="Z36" s="40">
        <f>+X36-W36-Y36</f>
        <v>7</v>
      </c>
      <c r="AA36" s="18"/>
      <c r="AB36" s="18"/>
      <c r="AC36" s="40">
        <f t="shared" si="45"/>
        <v>0</v>
      </c>
      <c r="AD36" s="19"/>
      <c r="AE36" s="41">
        <f>+AC36+Z36-AF36</f>
        <v>8</v>
      </c>
      <c r="AF36" s="25">
        <f t="shared" si="47"/>
        <v>-1</v>
      </c>
      <c r="AG36" s="69"/>
      <c r="AH36" s="178">
        <v>0</v>
      </c>
      <c r="AI36" s="179">
        <f>+K14+(IF(ISBLANK($K$5),-8,0))</f>
        <v>0</v>
      </c>
      <c r="AJ36" s="179">
        <f>IF(ISBLANK($U$5),-8,0)+U14</f>
        <v>0</v>
      </c>
      <c r="AK36" s="191">
        <f>IF(ISBLANK($AE$5),-5,0)+AE14</f>
        <v>0</v>
      </c>
      <c r="AL36" s="179">
        <f t="shared" si="48"/>
        <v>0</v>
      </c>
      <c r="AM36" s="192">
        <f t="shared" si="49"/>
        <v>0</v>
      </c>
      <c r="AN36" s="192">
        <f t="shared" si="50"/>
        <v>0</v>
      </c>
      <c r="AO36" s="192">
        <f t="shared" si="51"/>
        <v>0</v>
      </c>
      <c r="AP36" s="180">
        <f>SUM(AH36:AO36)</f>
        <v>0</v>
      </c>
      <c r="AQ36" s="69"/>
      <c r="AR36" s="919">
        <f t="shared" ref="AR36:AR47" si="53">+X76*Q76</f>
        <v>0</v>
      </c>
      <c r="AS36" s="920"/>
      <c r="AT36" s="187">
        <f>IF(K14+L14&gt;0,1,0)+IF(U14+V14&gt;0,1,0)+IF(AE14+AF14&gt;0,1,0)+IF(AO14&gt;3,1,0)+IF(K36+L36&gt;0,1,0)+IF(U36+V36&gt;0,1,0)+IF(AE36+AF36&gt;0,1,0)</f>
        <v>6</v>
      </c>
      <c r="AU36" s="69"/>
      <c r="AV36" s="69"/>
      <c r="AW36" s="921"/>
      <c r="AX36" s="922"/>
    </row>
    <row r="37" spans="1:57" ht="14.1" customHeight="1">
      <c r="B37" s="39" t="str">
        <f t="shared" si="35"/>
        <v>Pier Alejos A.</v>
      </c>
      <c r="C37" s="56">
        <v>7</v>
      </c>
      <c r="D37" s="43">
        <v>17</v>
      </c>
      <c r="E37" s="54">
        <v>1</v>
      </c>
      <c r="F37" s="53">
        <f>+D37-C37-E37</f>
        <v>9</v>
      </c>
      <c r="G37" s="43"/>
      <c r="H37" s="228"/>
      <c r="I37" s="53">
        <f>+H37-G37</f>
        <v>0</v>
      </c>
      <c r="J37" s="54"/>
      <c r="K37" s="55">
        <f>+I37+F37-L37</f>
        <v>8</v>
      </c>
      <c r="L37" s="135">
        <f>IF(C37&gt;0,(F37+I37)+IF(K$27&gt;0,F37,-8),0)+IF(U$27&gt;0,I37,0)</f>
        <v>1</v>
      </c>
      <c r="M37" s="56"/>
      <c r="N37" s="201"/>
      <c r="O37" s="54"/>
      <c r="P37" s="53">
        <f>+N37-M37-O37</f>
        <v>0</v>
      </c>
      <c r="Q37" s="117"/>
      <c r="R37" s="226"/>
      <c r="S37" s="53">
        <f>+R37-Q37</f>
        <v>0</v>
      </c>
      <c r="T37" s="54"/>
      <c r="U37" s="55">
        <f>+S37+P37-V37</f>
        <v>0</v>
      </c>
      <c r="V37" s="135">
        <f>IF(M37&gt;0,(P37+S37)+IF(U$27&gt;0,P37,-8),0)+IF(AE$27&gt;0,S37,0)</f>
        <v>0</v>
      </c>
      <c r="W37" s="56">
        <v>7</v>
      </c>
      <c r="X37" s="43">
        <v>16</v>
      </c>
      <c r="Y37" s="54">
        <v>1</v>
      </c>
      <c r="Z37" s="53">
        <f>+X37-W37-Y37</f>
        <v>8</v>
      </c>
      <c r="AA37" s="43"/>
      <c r="AB37" s="64"/>
      <c r="AC37" s="53">
        <f>+AB37-AA37</f>
        <v>0</v>
      </c>
      <c r="AD37" s="54"/>
      <c r="AE37" s="55">
        <f>+AC37+Z37-AF37</f>
        <v>8</v>
      </c>
      <c r="AF37" s="135">
        <f>IF(W37&gt;0,(Z37+AC37)+IF(AE$27&gt;0,0+Z37,-8),0)</f>
        <v>0</v>
      </c>
      <c r="AG37" s="69"/>
      <c r="AH37" s="178">
        <v>0</v>
      </c>
      <c r="AI37" s="179">
        <f>+K15+(IF(ISBLANK($K$5),-8,0))</f>
        <v>0</v>
      </c>
      <c r="AJ37" s="179">
        <f>IF(ISBLANK($U$5),-8,0)+U15</f>
        <v>0</v>
      </c>
      <c r="AK37" s="179">
        <f>IF(ISBLANK($AE$5),-8,0)+AE15</f>
        <v>0</v>
      </c>
      <c r="AL37" s="179">
        <f t="shared" si="48"/>
        <v>0</v>
      </c>
      <c r="AM37" s="179">
        <f>IF(ISBLANK($K$27),-8,0)+K37</f>
        <v>0</v>
      </c>
      <c r="AN37" s="179">
        <f>IF(ISBLANK($U$27),-8,0)+U37</f>
        <v>-8</v>
      </c>
      <c r="AO37" s="179">
        <f>IF(ISBLANK($AE$27),-8,0)+AE37</f>
        <v>0</v>
      </c>
      <c r="AP37" s="180">
        <f>SUM(AH37:AO37)</f>
        <v>-8</v>
      </c>
      <c r="AQ37" s="69"/>
      <c r="AR37" s="919">
        <f t="shared" si="53"/>
        <v>0</v>
      </c>
      <c r="AS37" s="920"/>
      <c r="AT37" s="230">
        <f>IF(K15+L15&gt;0,1,0)+IF(U15+V15&gt;0,1,0)+IF(AE15+AF15&gt;0,1,0)+IF(AO15&gt;3,1,0)+IF(K37+L37&gt;0,1,0)+IF(U37+V37&gt;0,1,0)+IF(AE37+AF37&gt;0,1,0)</f>
        <v>6</v>
      </c>
      <c r="AU37" s="69"/>
      <c r="AV37" s="69"/>
      <c r="AW37" s="921">
        <v>-16</v>
      </c>
      <c r="AX37" s="922"/>
    </row>
    <row r="38" spans="1:57" s="84" customFormat="1" ht="14.1" customHeight="1">
      <c r="A38" s="70"/>
      <c r="B38" s="640" t="str">
        <f t="shared" si="35"/>
        <v>Eduardo Marmoles</v>
      </c>
      <c r="C38" s="631"/>
      <c r="D38" s="632"/>
      <c r="E38" s="633"/>
      <c r="F38" s="634">
        <f t="shared" si="36"/>
        <v>0</v>
      </c>
      <c r="G38" s="632"/>
      <c r="H38" s="635"/>
      <c r="I38" s="634">
        <f t="shared" si="37"/>
        <v>0</v>
      </c>
      <c r="J38" s="633"/>
      <c r="K38" s="636">
        <f t="shared" si="38"/>
        <v>0</v>
      </c>
      <c r="L38" s="637">
        <f t="shared" si="39"/>
        <v>0</v>
      </c>
      <c r="M38" s="632"/>
      <c r="N38" s="632"/>
      <c r="O38" s="633"/>
      <c r="P38" s="634">
        <f t="shared" si="40"/>
        <v>0</v>
      </c>
      <c r="Q38" s="638"/>
      <c r="R38" s="639"/>
      <c r="S38" s="634">
        <f t="shared" si="41"/>
        <v>0</v>
      </c>
      <c r="T38" s="633"/>
      <c r="U38" s="636">
        <f t="shared" si="42"/>
        <v>0</v>
      </c>
      <c r="V38" s="637">
        <f t="shared" si="43"/>
        <v>0</v>
      </c>
      <c r="W38" s="632"/>
      <c r="X38" s="632"/>
      <c r="Y38" s="633"/>
      <c r="Z38" s="634">
        <f t="shared" si="44"/>
        <v>0</v>
      </c>
      <c r="AA38" s="632"/>
      <c r="AB38" s="632"/>
      <c r="AC38" s="634">
        <f t="shared" si="45"/>
        <v>0</v>
      </c>
      <c r="AD38" s="633"/>
      <c r="AE38" s="636">
        <f t="shared" si="46"/>
        <v>0</v>
      </c>
      <c r="AF38" s="637">
        <f t="shared" si="47"/>
        <v>0</v>
      </c>
      <c r="AG38" s="194"/>
      <c r="AH38" s="195">
        <v>0</v>
      </c>
      <c r="AI38" s="196">
        <f t="shared" ref="AI38:AI40" si="54">+K16+(IF(ISBLANK($K$5),-8,0))</f>
        <v>0</v>
      </c>
      <c r="AJ38" s="196">
        <f t="shared" ref="AJ38:AJ40" si="55">IF(ISBLANK($U$5),-8,0)+U16</f>
        <v>0</v>
      </c>
      <c r="AK38" s="196">
        <f>IF(ISBLANK($AE$5),-8,0)+AE16</f>
        <v>0</v>
      </c>
      <c r="AL38" s="196">
        <f t="shared" si="48"/>
        <v>0</v>
      </c>
      <c r="AM38" s="196">
        <f t="shared" si="49"/>
        <v>-8</v>
      </c>
      <c r="AN38" s="196">
        <f t="shared" si="50"/>
        <v>-8</v>
      </c>
      <c r="AO38" s="196">
        <f t="shared" si="51"/>
        <v>-8</v>
      </c>
      <c r="AP38" s="197">
        <f t="shared" si="52"/>
        <v>-24</v>
      </c>
      <c r="AQ38" s="194"/>
      <c r="AR38" s="1194">
        <f t="shared" si="53"/>
        <v>0</v>
      </c>
      <c r="AS38" s="1195"/>
      <c r="AT38" s="562">
        <v>0</v>
      </c>
      <c r="AU38" s="194"/>
      <c r="AV38" s="194"/>
      <c r="AW38" s="1196"/>
      <c r="AX38" s="1197"/>
      <c r="AZ38" s="199"/>
    </row>
    <row r="39" spans="1:57" ht="14.1" customHeight="1">
      <c r="B39" s="630" t="str">
        <f t="shared" si="35"/>
        <v>Jose Cortez P.</v>
      </c>
      <c r="C39" s="92">
        <v>11</v>
      </c>
      <c r="D39" s="92">
        <v>18</v>
      </c>
      <c r="E39" s="92">
        <v>1</v>
      </c>
      <c r="F39" s="93">
        <f>+D39-C39-E39</f>
        <v>6</v>
      </c>
      <c r="G39" s="43"/>
      <c r="H39" s="43"/>
      <c r="I39" s="93">
        <f>+H39-G39</f>
        <v>0</v>
      </c>
      <c r="J39" s="92"/>
      <c r="K39" s="41">
        <f>+I39+F39-L39</f>
        <v>8</v>
      </c>
      <c r="L39" s="94">
        <f t="shared" si="39"/>
        <v>-2</v>
      </c>
      <c r="M39" s="92">
        <v>7</v>
      </c>
      <c r="N39" s="92">
        <v>19</v>
      </c>
      <c r="O39" s="92">
        <v>1</v>
      </c>
      <c r="P39" s="93">
        <f>+N39-M39-O39</f>
        <v>11</v>
      </c>
      <c r="Q39" s="200"/>
      <c r="R39" s="189"/>
      <c r="S39" s="93">
        <f>+R39-Q39</f>
        <v>0</v>
      </c>
      <c r="T39" s="92"/>
      <c r="U39" s="41">
        <f>+S39+P39-V39</f>
        <v>8</v>
      </c>
      <c r="V39" s="94">
        <f t="shared" si="43"/>
        <v>3</v>
      </c>
      <c r="W39" s="92">
        <v>7</v>
      </c>
      <c r="X39" s="92">
        <v>18</v>
      </c>
      <c r="Y39" s="201">
        <v>1</v>
      </c>
      <c r="Z39" s="202">
        <f>+X39-W39-Y39</f>
        <v>10</v>
      </c>
      <c r="AA39" s="18"/>
      <c r="AB39" s="43"/>
      <c r="AC39" s="53">
        <f t="shared" si="45"/>
        <v>0</v>
      </c>
      <c r="AD39" s="19"/>
      <c r="AE39" s="41">
        <f>+AC39+Z39-AF39</f>
        <v>8</v>
      </c>
      <c r="AF39" s="25">
        <f t="shared" si="47"/>
        <v>2</v>
      </c>
      <c r="AG39" s="69"/>
      <c r="AH39" s="203">
        <v>0</v>
      </c>
      <c r="AI39" s="204">
        <f t="shared" si="54"/>
        <v>0</v>
      </c>
      <c r="AJ39" s="205">
        <f t="shared" si="55"/>
        <v>0</v>
      </c>
      <c r="AK39" s="205">
        <f>IF(ISBLANK($AE$5),-8,0)+AE17</f>
        <v>0</v>
      </c>
      <c r="AL39" s="179">
        <f t="shared" si="48"/>
        <v>0</v>
      </c>
      <c r="AM39" s="205">
        <f t="shared" si="49"/>
        <v>0</v>
      </c>
      <c r="AN39" s="205">
        <f t="shared" si="50"/>
        <v>0</v>
      </c>
      <c r="AO39" s="205">
        <f t="shared" si="51"/>
        <v>0</v>
      </c>
      <c r="AP39" s="206">
        <f>SUM(AH39:AO39)</f>
        <v>0</v>
      </c>
      <c r="AQ39" s="69"/>
      <c r="AR39" s="919">
        <f t="shared" si="53"/>
        <v>0</v>
      </c>
      <c r="AS39" s="920"/>
      <c r="AT39" s="561">
        <f t="shared" ref="AT39:AT47" si="56">IF(K17+L17&gt;0,1,0)+IF(U17+V17&gt;0,1,0)+IF(AE17+AF17&gt;0,1,0)+IF(AO17&gt;3,1,0)+IF(K39+L39&gt;0,1,0)+IF(U39+V39&gt;0,1,0)+IF(AE39+AF39&gt;0,1,0)</f>
        <v>7</v>
      </c>
      <c r="AU39" s="69"/>
      <c r="AV39" s="69"/>
      <c r="AW39" s="923">
        <v>-14</v>
      </c>
      <c r="AX39" s="924"/>
    </row>
    <row r="40" spans="1:57" ht="14.1" customHeight="1">
      <c r="B40" s="91" t="str">
        <f t="shared" si="35"/>
        <v>Rafael Armas R.</v>
      </c>
      <c r="C40" s="102">
        <v>7</v>
      </c>
      <c r="D40" s="102">
        <v>17</v>
      </c>
      <c r="E40" s="102">
        <v>1</v>
      </c>
      <c r="F40" s="143">
        <f>+D40-C40-E40</f>
        <v>9</v>
      </c>
      <c r="G40" s="144"/>
      <c r="H40" s="43"/>
      <c r="I40" s="143">
        <f>+H40-G40</f>
        <v>0</v>
      </c>
      <c r="J40" s="102"/>
      <c r="K40" s="41">
        <f>+I40+F40-L40</f>
        <v>8</v>
      </c>
      <c r="L40" s="147">
        <f t="shared" si="39"/>
        <v>1</v>
      </c>
      <c r="M40" s="92">
        <v>7</v>
      </c>
      <c r="N40" s="92">
        <v>16</v>
      </c>
      <c r="O40" s="201">
        <v>1</v>
      </c>
      <c r="P40" s="202">
        <f>+N40-M40-O40</f>
        <v>8</v>
      </c>
      <c r="Q40" s="201"/>
      <c r="R40" s="43"/>
      <c r="S40" s="202">
        <f>+R40-Q40</f>
        <v>0</v>
      </c>
      <c r="T40" s="201"/>
      <c r="U40" s="41">
        <f>+S40+P40-V40</f>
        <v>8</v>
      </c>
      <c r="V40" s="209">
        <f t="shared" si="43"/>
        <v>0</v>
      </c>
      <c r="W40" s="201">
        <v>7</v>
      </c>
      <c r="X40" s="201">
        <v>18</v>
      </c>
      <c r="Y40" s="201">
        <v>1</v>
      </c>
      <c r="Z40" s="202">
        <f>+X40-W40-Y40</f>
        <v>10</v>
      </c>
      <c r="AA40" s="201"/>
      <c r="AB40" s="43"/>
      <c r="AC40" s="202">
        <f t="shared" si="45"/>
        <v>0</v>
      </c>
      <c r="AD40" s="201"/>
      <c r="AE40" s="41">
        <f>+AC40+Z40-AF40</f>
        <v>8</v>
      </c>
      <c r="AF40" s="209">
        <f t="shared" si="47"/>
        <v>2</v>
      </c>
      <c r="AG40" s="69"/>
      <c r="AH40" s="210">
        <v>0</v>
      </c>
      <c r="AI40" s="179">
        <f t="shared" si="54"/>
        <v>0</v>
      </c>
      <c r="AJ40" s="179">
        <f t="shared" si="55"/>
        <v>0</v>
      </c>
      <c r="AK40" s="211">
        <f>IF(ISBLANK($AE$5),-8,0)+AE18</f>
        <v>0</v>
      </c>
      <c r="AL40" s="179">
        <f t="shared" si="48"/>
        <v>0</v>
      </c>
      <c r="AM40" s="179">
        <f t="shared" si="49"/>
        <v>0</v>
      </c>
      <c r="AN40" s="179">
        <f t="shared" si="50"/>
        <v>0</v>
      </c>
      <c r="AO40" s="179">
        <f t="shared" si="51"/>
        <v>0</v>
      </c>
      <c r="AP40" s="180">
        <f>SUM(AH40:AO40)</f>
        <v>0</v>
      </c>
      <c r="AQ40" s="69"/>
      <c r="AR40" s="919">
        <f t="shared" si="53"/>
        <v>10.849971428571429</v>
      </c>
      <c r="AS40" s="920"/>
      <c r="AT40" s="207">
        <f t="shared" si="56"/>
        <v>7</v>
      </c>
      <c r="AU40" s="69"/>
      <c r="AV40" s="69"/>
      <c r="AW40" s="921">
        <v>-16</v>
      </c>
      <c r="AX40" s="922"/>
    </row>
    <row r="41" spans="1:57" s="116" customFormat="1" ht="14.1" customHeight="1">
      <c r="A41" s="212"/>
      <c r="B41" s="91" t="str">
        <f t="shared" si="35"/>
        <v>Jose Ochoa I.</v>
      </c>
      <c r="C41" s="102">
        <v>7</v>
      </c>
      <c r="D41" s="102">
        <v>18</v>
      </c>
      <c r="E41" s="102">
        <v>1</v>
      </c>
      <c r="F41" s="143">
        <f>+D41-C41-E41</f>
        <v>10</v>
      </c>
      <c r="G41" s="144"/>
      <c r="H41" s="43"/>
      <c r="I41" s="143">
        <f>+H41-G41</f>
        <v>0</v>
      </c>
      <c r="J41" s="102"/>
      <c r="K41" s="41">
        <f>+I41+F41-L41</f>
        <v>8</v>
      </c>
      <c r="L41" s="147">
        <f t="shared" si="39"/>
        <v>2</v>
      </c>
      <c r="M41" s="213">
        <v>7</v>
      </c>
      <c r="N41" s="201">
        <v>16</v>
      </c>
      <c r="O41" s="201">
        <v>1</v>
      </c>
      <c r="P41" s="202">
        <f>+N41-M41-O41</f>
        <v>8</v>
      </c>
      <c r="Q41" s="214"/>
      <c r="R41" s="189"/>
      <c r="S41" s="202">
        <f>+R41-Q41</f>
        <v>0</v>
      </c>
      <c r="T41" s="201"/>
      <c r="U41" s="41">
        <f>+S41+P41-V41</f>
        <v>8</v>
      </c>
      <c r="V41" s="209">
        <f t="shared" si="43"/>
        <v>0</v>
      </c>
      <c r="W41" s="201">
        <v>7</v>
      </c>
      <c r="X41" s="201">
        <v>16</v>
      </c>
      <c r="Y41" s="201">
        <v>1</v>
      </c>
      <c r="Z41" s="202">
        <f>+X41-W41-Y41</f>
        <v>8</v>
      </c>
      <c r="AA41" s="201"/>
      <c r="AB41" s="215"/>
      <c r="AC41" s="202">
        <f t="shared" si="45"/>
        <v>0</v>
      </c>
      <c r="AD41" s="201"/>
      <c r="AE41" s="41">
        <f>+AC41+Z41-AF41</f>
        <v>8</v>
      </c>
      <c r="AF41" s="209">
        <f t="shared" si="47"/>
        <v>0</v>
      </c>
      <c r="AG41" s="69"/>
      <c r="AH41" s="216">
        <v>0</v>
      </c>
      <c r="AI41" s="217">
        <f>+K22+(IF(ISBLANK($K$5),-8,0))</f>
        <v>0</v>
      </c>
      <c r="AJ41" s="217">
        <f>IF(ISBLANK($U$5),-8,0)+U22</f>
        <v>0</v>
      </c>
      <c r="AK41" s="217">
        <f>IF(ISBLANK($AE$5),-8,0)+AE22</f>
        <v>0</v>
      </c>
      <c r="AL41" s="217">
        <f t="shared" si="48"/>
        <v>0</v>
      </c>
      <c r="AM41" s="217">
        <f t="shared" si="49"/>
        <v>0</v>
      </c>
      <c r="AN41" s="217">
        <f t="shared" si="50"/>
        <v>0</v>
      </c>
      <c r="AO41" s="217">
        <f t="shared" si="51"/>
        <v>0</v>
      </c>
      <c r="AP41" s="218">
        <f>SUM(AH41:AO41)</f>
        <v>0</v>
      </c>
      <c r="AQ41" s="69"/>
      <c r="AR41" s="919">
        <f t="shared" si="53"/>
        <v>0</v>
      </c>
      <c r="AS41" s="920"/>
      <c r="AT41" s="207">
        <f t="shared" si="56"/>
        <v>6</v>
      </c>
      <c r="AU41" s="69"/>
      <c r="AV41" s="69"/>
      <c r="AW41" s="930"/>
      <c r="AX41" s="931"/>
    </row>
    <row r="42" spans="1:57" s="116" customFormat="1" ht="14.1" customHeight="1">
      <c r="A42" s="212"/>
      <c r="B42" s="91" t="str">
        <f t="shared" si="35"/>
        <v>Jairo Mirabal</v>
      </c>
      <c r="C42" s="102">
        <v>7</v>
      </c>
      <c r="D42" s="102">
        <v>16</v>
      </c>
      <c r="E42" s="102">
        <v>1</v>
      </c>
      <c r="F42" s="143">
        <f>+D42-C42-E42</f>
        <v>8</v>
      </c>
      <c r="G42" s="144"/>
      <c r="H42" s="43"/>
      <c r="I42" s="143">
        <f>+H42-G42</f>
        <v>0</v>
      </c>
      <c r="J42" s="102"/>
      <c r="K42" s="41">
        <f>+I42+F42-L42</f>
        <v>8</v>
      </c>
      <c r="L42" s="147">
        <f t="shared" si="39"/>
        <v>0</v>
      </c>
      <c r="M42" s="213">
        <v>7</v>
      </c>
      <c r="N42" s="201">
        <v>16</v>
      </c>
      <c r="O42" s="201">
        <v>1</v>
      </c>
      <c r="P42" s="202">
        <f>+N42-M42-O42</f>
        <v>8</v>
      </c>
      <c r="Q42" s="214"/>
      <c r="R42" s="189"/>
      <c r="S42" s="202">
        <f>+R42-Q42</f>
        <v>0</v>
      </c>
      <c r="T42" s="201"/>
      <c r="U42" s="41">
        <f>+S42+P42-V42</f>
        <v>8</v>
      </c>
      <c r="V42" s="209">
        <f t="shared" si="43"/>
        <v>0</v>
      </c>
      <c r="W42" s="201">
        <v>7</v>
      </c>
      <c r="X42" s="201">
        <v>16</v>
      </c>
      <c r="Y42" s="201">
        <v>1</v>
      </c>
      <c r="Z42" s="202">
        <f>+X42-W42-Y42</f>
        <v>8</v>
      </c>
      <c r="AA42" s="201"/>
      <c r="AB42" s="219"/>
      <c r="AC42" s="202">
        <f t="shared" si="45"/>
        <v>0</v>
      </c>
      <c r="AD42" s="201"/>
      <c r="AE42" s="41">
        <f>+AC42+Z42-AF42</f>
        <v>8</v>
      </c>
      <c r="AF42" s="209">
        <f t="shared" si="47"/>
        <v>0</v>
      </c>
      <c r="AG42" s="69"/>
      <c r="AH42" s="216">
        <v>0</v>
      </c>
      <c r="AI42" s="217">
        <f>+K19+(IF(ISBLANK($K$5),-8,0))</f>
        <v>0</v>
      </c>
      <c r="AJ42" s="217">
        <f>IF(ISBLANK($U$5),-8,0)+U19</f>
        <v>0</v>
      </c>
      <c r="AK42" s="217">
        <f>IF(ISBLANK($AE$5),-8,0)+AE19</f>
        <v>0</v>
      </c>
      <c r="AL42" s="217">
        <f t="shared" si="48"/>
        <v>0</v>
      </c>
      <c r="AM42" s="217">
        <f t="shared" si="49"/>
        <v>0</v>
      </c>
      <c r="AN42" s="217">
        <f t="shared" si="50"/>
        <v>0</v>
      </c>
      <c r="AO42" s="217">
        <f t="shared" si="51"/>
        <v>0</v>
      </c>
      <c r="AP42" s="218">
        <f>SUM(AH42:AO42)</f>
        <v>0</v>
      </c>
      <c r="AQ42" s="69"/>
      <c r="AR42" s="928">
        <f t="shared" si="53"/>
        <v>0</v>
      </c>
      <c r="AS42" s="929"/>
      <c r="AT42" s="207">
        <f t="shared" si="56"/>
        <v>6</v>
      </c>
      <c r="AU42" s="69"/>
      <c r="AV42" s="69"/>
      <c r="AW42" s="930"/>
      <c r="AX42" s="931"/>
    </row>
    <row r="43" spans="1:57" ht="14.1" customHeight="1" thickBot="1">
      <c r="B43" s="118" t="str">
        <f t="shared" si="35"/>
        <v>Pedro Hostos S.</v>
      </c>
      <c r="C43" s="119">
        <v>7</v>
      </c>
      <c r="D43" s="119">
        <v>16</v>
      </c>
      <c r="E43" s="119">
        <v>1</v>
      </c>
      <c r="F43" s="120">
        <f t="shared" si="36"/>
        <v>8</v>
      </c>
      <c r="G43" s="121"/>
      <c r="H43" s="121"/>
      <c r="I43" s="120">
        <f t="shared" si="37"/>
        <v>0</v>
      </c>
      <c r="J43" s="119"/>
      <c r="K43" s="120">
        <f t="shared" si="38"/>
        <v>8</v>
      </c>
      <c r="L43" s="122">
        <f t="shared" si="39"/>
        <v>0</v>
      </c>
      <c r="M43" s="119">
        <v>7</v>
      </c>
      <c r="N43" s="119">
        <v>16</v>
      </c>
      <c r="O43" s="119">
        <v>1</v>
      </c>
      <c r="P43" s="120">
        <f t="shared" si="40"/>
        <v>8</v>
      </c>
      <c r="Q43" s="121"/>
      <c r="R43" s="220"/>
      <c r="S43" s="120">
        <f t="shared" si="41"/>
        <v>0</v>
      </c>
      <c r="T43" s="119"/>
      <c r="U43" s="120">
        <f t="shared" si="42"/>
        <v>8</v>
      </c>
      <c r="V43" s="122">
        <f t="shared" si="43"/>
        <v>0</v>
      </c>
      <c r="W43" s="119"/>
      <c r="X43" s="119"/>
      <c r="Y43" s="119"/>
      <c r="Z43" s="120">
        <f t="shared" si="44"/>
        <v>0</v>
      </c>
      <c r="AA43" s="121"/>
      <c r="AB43" s="121"/>
      <c r="AC43" s="120">
        <f t="shared" si="45"/>
        <v>0</v>
      </c>
      <c r="AD43" s="119"/>
      <c r="AE43" s="120">
        <f t="shared" si="46"/>
        <v>0</v>
      </c>
      <c r="AF43" s="122">
        <f t="shared" si="47"/>
        <v>0</v>
      </c>
      <c r="AG43" s="221"/>
      <c r="AH43" s="222">
        <v>0</v>
      </c>
      <c r="AI43" s="223">
        <f>+K21+(IF(ISBLANK($K$5),-8,0))</f>
        <v>0</v>
      </c>
      <c r="AJ43" s="223">
        <f>IF(ISBLANK($U$5),-8,0)+U21</f>
        <v>0</v>
      </c>
      <c r="AK43" s="223">
        <f>IF(ISBLANK($AE$5),-8,0)+AE21</f>
        <v>0</v>
      </c>
      <c r="AL43" s="223">
        <f t="shared" si="48"/>
        <v>0</v>
      </c>
      <c r="AM43" s="223">
        <f t="shared" si="49"/>
        <v>0</v>
      </c>
      <c r="AN43" s="223">
        <f t="shared" si="50"/>
        <v>0</v>
      </c>
      <c r="AO43" s="223">
        <f t="shared" si="51"/>
        <v>-8</v>
      </c>
      <c r="AP43" s="224">
        <f t="shared" si="52"/>
        <v>-8</v>
      </c>
      <c r="AQ43" s="69"/>
      <c r="AR43" s="932">
        <f t="shared" si="53"/>
        <v>0</v>
      </c>
      <c r="AS43" s="933"/>
      <c r="AT43" s="225">
        <f t="shared" si="56"/>
        <v>5</v>
      </c>
      <c r="AU43" s="69"/>
      <c r="AV43" s="69"/>
      <c r="AW43" s="934"/>
      <c r="AX43" s="935"/>
    </row>
    <row r="44" spans="1:57" ht="14.1" customHeight="1" thickTop="1">
      <c r="B44" s="39" t="str">
        <f t="shared" si="35"/>
        <v>Miguel Tejada Ll.</v>
      </c>
      <c r="C44" s="56">
        <v>7</v>
      </c>
      <c r="D44" s="43">
        <v>16</v>
      </c>
      <c r="E44" s="54">
        <v>1</v>
      </c>
      <c r="F44" s="53">
        <f>+D44-C44-E44</f>
        <v>8</v>
      </c>
      <c r="G44" s="43"/>
      <c r="H44" s="22"/>
      <c r="I44" s="53">
        <f>+H44-G44</f>
        <v>0</v>
      </c>
      <c r="J44" s="54"/>
      <c r="K44" s="55">
        <f>+I44+F44-L44</f>
        <v>8</v>
      </c>
      <c r="L44" s="135">
        <f t="shared" si="39"/>
        <v>0</v>
      </c>
      <c r="M44" s="56">
        <v>7</v>
      </c>
      <c r="N44" s="43">
        <v>17</v>
      </c>
      <c r="O44" s="54">
        <v>1</v>
      </c>
      <c r="P44" s="53">
        <f>+N44-M44-O44</f>
        <v>9</v>
      </c>
      <c r="Q44" s="117"/>
      <c r="R44" s="226"/>
      <c r="S44" s="53">
        <f>+R44-Q44</f>
        <v>0</v>
      </c>
      <c r="T44" s="54"/>
      <c r="U44" s="55">
        <f>+S44+P44-V44</f>
        <v>8</v>
      </c>
      <c r="V44" s="135">
        <f t="shared" si="43"/>
        <v>1</v>
      </c>
      <c r="W44" s="56">
        <v>7</v>
      </c>
      <c r="X44" s="43">
        <v>16</v>
      </c>
      <c r="Y44" s="54">
        <v>1</v>
      </c>
      <c r="Z44" s="53">
        <f>+X44-W44-Y44</f>
        <v>8</v>
      </c>
      <c r="AA44" s="43"/>
      <c r="AB44" s="64"/>
      <c r="AC44" s="53">
        <f>+AB44-AA44</f>
        <v>0</v>
      </c>
      <c r="AD44" s="54"/>
      <c r="AE44" s="55">
        <f>+AC44+Z44-AF44</f>
        <v>8</v>
      </c>
      <c r="AF44" s="135">
        <f t="shared" si="47"/>
        <v>0</v>
      </c>
      <c r="AG44" s="69"/>
      <c r="AH44" s="178">
        <v>0</v>
      </c>
      <c r="AI44" s="179">
        <f>+K22+(IF(ISBLANK($K$5),-8,0))</f>
        <v>0</v>
      </c>
      <c r="AJ44" s="179">
        <f>IF(ISBLANK($U$5),-8,0)+U22</f>
        <v>0</v>
      </c>
      <c r="AK44" s="179">
        <f>IF(ISBLANK($AE$5),-8,0)+AE22</f>
        <v>0</v>
      </c>
      <c r="AL44" s="179">
        <f t="shared" si="48"/>
        <v>0</v>
      </c>
      <c r="AM44" s="179">
        <f t="shared" si="49"/>
        <v>0</v>
      </c>
      <c r="AN44" s="179">
        <f t="shared" si="50"/>
        <v>0</v>
      </c>
      <c r="AO44" s="179">
        <f t="shared" si="51"/>
        <v>0</v>
      </c>
      <c r="AP44" s="180">
        <f t="shared" si="52"/>
        <v>0</v>
      </c>
      <c r="AQ44" s="69"/>
      <c r="AR44" s="919">
        <f t="shared" si="53"/>
        <v>0</v>
      </c>
      <c r="AS44" s="920"/>
      <c r="AT44" s="227">
        <f t="shared" si="56"/>
        <v>6</v>
      </c>
      <c r="AU44" s="69"/>
      <c r="AV44" s="69"/>
      <c r="AW44" s="921"/>
      <c r="AX44" s="922"/>
    </row>
    <row r="45" spans="1:57" s="116" customFormat="1" ht="14.1" customHeight="1">
      <c r="A45" s="212"/>
      <c r="B45" s="142" t="str">
        <f t="shared" si="35"/>
        <v>Angel Colina N.</v>
      </c>
      <c r="C45" s="102">
        <v>7</v>
      </c>
      <c r="D45" s="102">
        <v>16</v>
      </c>
      <c r="E45" s="102">
        <v>1</v>
      </c>
      <c r="F45" s="143">
        <f>+D45-C45-E45</f>
        <v>8</v>
      </c>
      <c r="G45" s="144"/>
      <c r="H45" s="144"/>
      <c r="I45" s="143">
        <f>+H45-G45</f>
        <v>0</v>
      </c>
      <c r="J45" s="102"/>
      <c r="K45" s="41">
        <f>+I45+F45-L45</f>
        <v>8</v>
      </c>
      <c r="L45" s="147">
        <f t="shared" si="39"/>
        <v>0</v>
      </c>
      <c r="M45" s="201">
        <v>7</v>
      </c>
      <c r="N45" s="201">
        <v>16</v>
      </c>
      <c r="O45" s="201">
        <v>1</v>
      </c>
      <c r="P45" s="202">
        <f>+N45-M45-O45</f>
        <v>8</v>
      </c>
      <c r="Q45" s="214"/>
      <c r="R45" s="189"/>
      <c r="S45" s="202">
        <f>+R45-Q45</f>
        <v>0</v>
      </c>
      <c r="T45" s="201"/>
      <c r="U45" s="41">
        <f>+S45+P45-V45</f>
        <v>8</v>
      </c>
      <c r="V45" s="209">
        <f t="shared" si="43"/>
        <v>0</v>
      </c>
      <c r="W45" s="201">
        <v>7</v>
      </c>
      <c r="X45" s="201">
        <v>16</v>
      </c>
      <c r="Y45" s="201">
        <v>1</v>
      </c>
      <c r="Z45" s="202">
        <f>+X45-W45-Y45</f>
        <v>8</v>
      </c>
      <c r="AA45" s="201"/>
      <c r="AB45" s="219"/>
      <c r="AC45" s="202">
        <f>+AB45-AA45</f>
        <v>0</v>
      </c>
      <c r="AD45" s="201"/>
      <c r="AE45" s="41">
        <f>+AC45+Z45-AF45</f>
        <v>8</v>
      </c>
      <c r="AF45" s="209">
        <f t="shared" si="47"/>
        <v>0</v>
      </c>
      <c r="AG45" s="69"/>
      <c r="AH45" s="216">
        <v>0</v>
      </c>
      <c r="AI45" s="217">
        <f>+K23+(IF(ISBLANK($K$5),-8,0))</f>
        <v>0</v>
      </c>
      <c r="AJ45" s="217">
        <f>IF(ISBLANK($U$5),-8,0)+U23</f>
        <v>0</v>
      </c>
      <c r="AK45" s="217">
        <f>IF(ISBLANK($AE$5),-8,0)+AE23</f>
        <v>0</v>
      </c>
      <c r="AL45" s="217">
        <f t="shared" si="48"/>
        <v>0</v>
      </c>
      <c r="AM45" s="217">
        <f t="shared" si="49"/>
        <v>0</v>
      </c>
      <c r="AN45" s="217">
        <f t="shared" si="50"/>
        <v>0</v>
      </c>
      <c r="AO45" s="217">
        <f t="shared" si="51"/>
        <v>0</v>
      </c>
      <c r="AP45" s="218">
        <f t="shared" si="52"/>
        <v>0</v>
      </c>
      <c r="AQ45" s="69"/>
      <c r="AR45" s="928">
        <f t="shared" si="53"/>
        <v>0</v>
      </c>
      <c r="AS45" s="929"/>
      <c r="AT45" s="207">
        <f t="shared" si="56"/>
        <v>7</v>
      </c>
      <c r="AU45" s="69"/>
      <c r="AV45" s="69"/>
      <c r="AW45" s="930">
        <v>-16</v>
      </c>
      <c r="AX45" s="931"/>
    </row>
    <row r="46" spans="1:57" ht="14.1" customHeight="1">
      <c r="B46" s="142" t="str">
        <f t="shared" si="35"/>
        <v>Jose Lares P.</v>
      </c>
      <c r="C46" s="50"/>
      <c r="D46" s="51"/>
      <c r="E46" s="52"/>
      <c r="F46" s="185">
        <f t="shared" ref="F46" si="57">+D46-C46-E46</f>
        <v>0</v>
      </c>
      <c r="G46" s="51"/>
      <c r="H46" s="51"/>
      <c r="I46" s="185">
        <f t="shared" ref="I46" si="58">+H46-G46</f>
        <v>0</v>
      </c>
      <c r="J46" s="52"/>
      <c r="K46" s="106">
        <f t="shared" ref="K46" si="59">+I46+F46-L46</f>
        <v>0</v>
      </c>
      <c r="L46" s="575">
        <f t="shared" si="39"/>
        <v>0</v>
      </c>
      <c r="M46" s="51">
        <v>7</v>
      </c>
      <c r="N46" s="51">
        <v>16</v>
      </c>
      <c r="O46" s="52">
        <v>1</v>
      </c>
      <c r="P46" s="185">
        <f t="shared" ref="P46" si="60">+N46-M46-O46</f>
        <v>8</v>
      </c>
      <c r="Q46" s="576"/>
      <c r="R46" s="174"/>
      <c r="S46" s="185">
        <f t="shared" ref="S46" si="61">+R46-Q46</f>
        <v>0</v>
      </c>
      <c r="T46" s="52"/>
      <c r="U46" s="106">
        <f t="shared" ref="U46" si="62">+S46+P46-V46</f>
        <v>8</v>
      </c>
      <c r="V46" s="575">
        <f t="shared" si="43"/>
        <v>0</v>
      </c>
      <c r="W46" s="50">
        <v>7</v>
      </c>
      <c r="X46" s="51">
        <v>13</v>
      </c>
      <c r="Y46" s="52">
        <v>1</v>
      </c>
      <c r="Z46" s="185">
        <f t="shared" ref="Z46" si="63">+X46-W46-Y46</f>
        <v>5</v>
      </c>
      <c r="AA46" s="51">
        <v>14</v>
      </c>
      <c r="AB46" s="51">
        <v>16</v>
      </c>
      <c r="AC46" s="185">
        <f t="shared" ref="AC46" si="64">+AB46-AA46</f>
        <v>2</v>
      </c>
      <c r="AD46" s="52"/>
      <c r="AE46" s="106">
        <f t="shared" ref="AE46" si="65">+AC46+Z46-AF46</f>
        <v>8</v>
      </c>
      <c r="AF46" s="575">
        <f t="shared" si="47"/>
        <v>-1</v>
      </c>
      <c r="AG46" s="69"/>
      <c r="AH46" s="178">
        <v>0</v>
      </c>
      <c r="AI46" s="179">
        <f t="shared" ref="AI46:AI47" si="66">+K24+(IF(ISBLANK($K$5),-8,0))</f>
        <v>0</v>
      </c>
      <c r="AJ46" s="179">
        <f t="shared" ref="AJ46:AJ47" si="67">IF(ISBLANK($U$5),-8,0)+U24</f>
        <v>0</v>
      </c>
      <c r="AK46" s="179">
        <f t="shared" ref="AK46:AK47" si="68">IF(ISBLANK($AE$5),-8,0)+AE24</f>
        <v>0</v>
      </c>
      <c r="AL46" s="179">
        <f t="shared" si="48"/>
        <v>0</v>
      </c>
      <c r="AM46" s="179">
        <f t="shared" si="49"/>
        <v>-8</v>
      </c>
      <c r="AN46" s="179">
        <f t="shared" si="50"/>
        <v>0</v>
      </c>
      <c r="AO46" s="179">
        <f t="shared" si="51"/>
        <v>0</v>
      </c>
      <c r="AP46" s="180">
        <f t="shared" si="52"/>
        <v>-8</v>
      </c>
      <c r="AQ46" s="69"/>
      <c r="AR46" s="919">
        <f t="shared" si="53"/>
        <v>0</v>
      </c>
      <c r="AS46" s="920"/>
      <c r="AT46" s="187">
        <f t="shared" si="56"/>
        <v>5</v>
      </c>
      <c r="AU46" s="69"/>
      <c r="AV46" s="69"/>
      <c r="AW46" s="921"/>
      <c r="AX46" s="922"/>
    </row>
    <row r="47" spans="1:57" ht="14.1" customHeight="1" thickBot="1">
      <c r="B47" s="566" t="str">
        <f t="shared" si="35"/>
        <v>Jeeimy Davila C.</v>
      </c>
      <c r="C47" s="610">
        <v>7</v>
      </c>
      <c r="D47" s="611">
        <v>16</v>
      </c>
      <c r="E47" s="612">
        <v>1</v>
      </c>
      <c r="F47" s="613">
        <f t="shared" si="36"/>
        <v>8</v>
      </c>
      <c r="G47" s="611"/>
      <c r="H47" s="611"/>
      <c r="I47" s="613">
        <f t="shared" si="37"/>
        <v>0</v>
      </c>
      <c r="J47" s="612"/>
      <c r="K47" s="614">
        <f t="shared" si="38"/>
        <v>8</v>
      </c>
      <c r="L47" s="615">
        <f t="shared" si="39"/>
        <v>0</v>
      </c>
      <c r="M47" s="568">
        <v>7</v>
      </c>
      <c r="N47" s="568">
        <v>16</v>
      </c>
      <c r="O47" s="569">
        <v>1</v>
      </c>
      <c r="P47" s="570">
        <f t="shared" si="40"/>
        <v>8</v>
      </c>
      <c r="Q47" s="573"/>
      <c r="R47" s="574"/>
      <c r="S47" s="570">
        <f t="shared" si="41"/>
        <v>0</v>
      </c>
      <c r="T47" s="569"/>
      <c r="U47" s="571">
        <f t="shared" si="42"/>
        <v>8</v>
      </c>
      <c r="V47" s="572">
        <f t="shared" si="43"/>
        <v>0</v>
      </c>
      <c r="W47" s="567">
        <v>7</v>
      </c>
      <c r="X47" s="568">
        <v>16</v>
      </c>
      <c r="Y47" s="569">
        <v>1</v>
      </c>
      <c r="Z47" s="570">
        <f t="shared" si="44"/>
        <v>8</v>
      </c>
      <c r="AA47" s="568"/>
      <c r="AB47" s="568"/>
      <c r="AC47" s="570">
        <f t="shared" si="45"/>
        <v>0</v>
      </c>
      <c r="AD47" s="569"/>
      <c r="AE47" s="571">
        <f t="shared" si="46"/>
        <v>8</v>
      </c>
      <c r="AF47" s="572">
        <f t="shared" si="47"/>
        <v>0</v>
      </c>
      <c r="AG47" s="69"/>
      <c r="AH47" s="178">
        <v>0</v>
      </c>
      <c r="AI47" s="179">
        <f t="shared" si="66"/>
        <v>0</v>
      </c>
      <c r="AJ47" s="179">
        <f t="shared" si="67"/>
        <v>0</v>
      </c>
      <c r="AK47" s="179">
        <f t="shared" si="68"/>
        <v>0</v>
      </c>
      <c r="AL47" s="179">
        <f t="shared" si="48"/>
        <v>0</v>
      </c>
      <c r="AM47" s="179">
        <f t="shared" si="49"/>
        <v>0</v>
      </c>
      <c r="AN47" s="179">
        <f t="shared" si="50"/>
        <v>0</v>
      </c>
      <c r="AO47" s="179">
        <f t="shared" si="51"/>
        <v>0</v>
      </c>
      <c r="AP47" s="180">
        <f t="shared" si="52"/>
        <v>0</v>
      </c>
      <c r="AQ47" s="69"/>
      <c r="AR47" s="919">
        <f t="shared" si="53"/>
        <v>0</v>
      </c>
      <c r="AS47" s="920"/>
      <c r="AT47" s="187">
        <f t="shared" si="56"/>
        <v>6</v>
      </c>
      <c r="AU47" s="69"/>
      <c r="AV47" s="69"/>
      <c r="AW47" s="921"/>
      <c r="AX47" s="922"/>
    </row>
    <row r="48" spans="1:57" ht="14.1" customHeight="1">
      <c r="B48" s="239"/>
      <c r="C48" s="240"/>
      <c r="O48" s="241"/>
      <c r="P48" s="242"/>
      <c r="Q48" s="243"/>
      <c r="R48" s="243"/>
      <c r="S48" s="242"/>
      <c r="T48" s="241"/>
      <c r="U48" s="244"/>
      <c r="V48" s="245"/>
      <c r="W48" s="69"/>
      <c r="X48" s="246"/>
      <c r="Y48" s="247"/>
      <c r="Z48" s="248"/>
      <c r="AA48" s="249"/>
      <c r="AH48" s="250"/>
      <c r="AP48" s="250"/>
      <c r="AR48" s="936">
        <f>SUM(AP11:AQ25)</f>
        <v>107</v>
      </c>
      <c r="AS48" s="937"/>
      <c r="AT48" s="251">
        <f>SUM(AT33:AT47)</f>
        <v>85</v>
      </c>
    </row>
    <row r="49" spans="1:58" ht="10.15" customHeight="1">
      <c r="B49" s="239"/>
      <c r="O49" s="241"/>
      <c r="P49" s="242"/>
      <c r="Q49" s="243"/>
      <c r="R49" s="243"/>
      <c r="S49" s="242"/>
      <c r="T49" s="241"/>
      <c r="U49" s="244"/>
      <c r="V49" s="244"/>
      <c r="W49" s="69"/>
      <c r="X49" s="246"/>
      <c r="Y49" s="247"/>
      <c r="Z49" s="248"/>
      <c r="AA49" s="249"/>
      <c r="AW49" s="938">
        <f>SUM(AW33:AX47)*-1</f>
        <v>76</v>
      </c>
      <c r="AX49" s="939"/>
    </row>
    <row r="50" spans="1:58" ht="14.1" customHeight="1">
      <c r="C50" s="240" t="s">
        <v>25</v>
      </c>
      <c r="E50" s="252"/>
      <c r="O50" s="241"/>
      <c r="P50" s="242"/>
      <c r="Q50" s="243"/>
      <c r="R50" s="243"/>
      <c r="S50" s="242"/>
      <c r="T50" s="241"/>
      <c r="U50" s="244"/>
      <c r="V50" s="244"/>
      <c r="W50" s="69"/>
      <c r="X50" s="246"/>
      <c r="Y50" s="247"/>
      <c r="Z50" s="248"/>
      <c r="AA50" s="249"/>
      <c r="AC50" s="253" t="s">
        <v>26</v>
      </c>
      <c r="AD50" s="254"/>
      <c r="AE50" s="254"/>
      <c r="AF50" s="254"/>
      <c r="AG50" s="254"/>
      <c r="AH50" s="254"/>
      <c r="AI50" s="254"/>
      <c r="AJ50" s="254"/>
      <c r="AK50" s="254"/>
      <c r="AL50" s="254"/>
      <c r="AM50" s="253" t="s">
        <v>27</v>
      </c>
      <c r="AO50" s="255"/>
      <c r="AW50" s="940"/>
      <c r="AX50" s="941"/>
    </row>
    <row r="51" spans="1:58" ht="14.1" customHeight="1">
      <c r="C51" s="240"/>
      <c r="D51" s="256"/>
      <c r="E51" s="252"/>
      <c r="O51" s="241"/>
      <c r="P51" s="242"/>
      <c r="Q51" s="243"/>
      <c r="R51" s="243"/>
      <c r="S51" s="242"/>
      <c r="T51" s="241"/>
      <c r="U51" s="244"/>
      <c r="V51" s="244"/>
      <c r="W51" s="69"/>
      <c r="X51" s="246"/>
      <c r="Y51" s="247"/>
      <c r="Z51" s="248"/>
      <c r="AA51" s="249"/>
      <c r="AC51" s="253"/>
      <c r="AD51" s="254"/>
      <c r="AE51" s="254"/>
      <c r="AF51" s="254"/>
      <c r="AG51" s="254"/>
      <c r="AH51" s="254"/>
      <c r="AI51" s="254"/>
      <c r="AJ51" s="254"/>
      <c r="AK51" s="254"/>
      <c r="AL51" s="254"/>
      <c r="AM51" s="253"/>
      <c r="AO51" s="255"/>
      <c r="AW51" s="257"/>
      <c r="AX51" s="257"/>
    </row>
    <row r="52" spans="1:58" ht="14.1" customHeight="1">
      <c r="D52" s="258">
        <v>915</v>
      </c>
      <c r="E52" s="259">
        <v>1545</v>
      </c>
      <c r="F52" s="260"/>
      <c r="G52" s="258"/>
      <c r="H52" s="258"/>
      <c r="I52" s="260"/>
      <c r="J52" s="258"/>
      <c r="K52" s="261"/>
      <c r="L52" s="261"/>
      <c r="M52" s="258">
        <v>847</v>
      </c>
      <c r="N52" s="258">
        <v>1520</v>
      </c>
      <c r="O52" s="262"/>
      <c r="P52" s="263"/>
      <c r="Q52" s="264"/>
      <c r="R52" s="264"/>
      <c r="S52" s="263"/>
      <c r="T52" s="262"/>
      <c r="U52" s="265"/>
      <c r="V52" s="265"/>
      <c r="W52" s="266">
        <v>720</v>
      </c>
      <c r="X52" s="266">
        <v>1615</v>
      </c>
      <c r="Y52" s="247"/>
      <c r="Z52" s="248"/>
      <c r="AA52" s="249"/>
      <c r="AC52" s="253"/>
      <c r="AD52" s="254"/>
      <c r="AE52" s="254"/>
      <c r="AF52" s="254"/>
      <c r="AG52" s="254"/>
      <c r="AH52" s="254"/>
      <c r="AI52" s="254"/>
      <c r="AJ52" s="254"/>
      <c r="AK52" s="254"/>
      <c r="AL52" s="254"/>
      <c r="AM52" s="253"/>
      <c r="AO52" s="255"/>
      <c r="AW52" s="257"/>
      <c r="AX52" s="257"/>
    </row>
    <row r="53" spans="1:58" ht="14.1" customHeight="1">
      <c r="O53" s="241"/>
      <c r="P53" s="242"/>
      <c r="Q53" s="243"/>
      <c r="R53" s="243"/>
      <c r="S53" s="242"/>
      <c r="T53" s="241"/>
      <c r="U53" s="244"/>
      <c r="V53" s="244"/>
      <c r="W53" s="69"/>
      <c r="X53" s="246"/>
      <c r="Y53" s="247"/>
      <c r="Z53" s="248"/>
      <c r="AA53" s="249"/>
      <c r="AC53" s="253"/>
      <c r="AD53" s="254"/>
      <c r="AE53" s="254"/>
      <c r="AF53" s="254"/>
      <c r="AG53" s="254"/>
      <c r="AH53" s="254"/>
      <c r="AI53" s="254"/>
      <c r="AJ53" s="254"/>
      <c r="AK53" s="254"/>
      <c r="AL53" s="254"/>
      <c r="AM53" s="253"/>
      <c r="AO53" s="255"/>
      <c r="AW53" s="257"/>
      <c r="AX53" s="257"/>
    </row>
    <row r="54" spans="1:58" ht="14.1" customHeight="1">
      <c r="O54" s="241"/>
      <c r="P54" s="242"/>
      <c r="Q54" s="243"/>
      <c r="R54" s="243"/>
      <c r="S54" s="242"/>
      <c r="T54" s="241"/>
      <c r="U54" s="244"/>
      <c r="V54" s="244"/>
      <c r="W54" s="69"/>
      <c r="X54" s="246"/>
      <c r="Y54" s="247"/>
      <c r="Z54" s="248"/>
      <c r="AA54" s="249"/>
      <c r="AC54" s="253"/>
      <c r="AD54" s="254"/>
      <c r="AE54" s="254"/>
      <c r="AF54" s="254"/>
      <c r="AG54" s="254"/>
      <c r="AH54" s="254"/>
      <c r="AI54" s="254"/>
      <c r="AJ54" s="254"/>
      <c r="AK54" s="254"/>
      <c r="AL54" s="254"/>
      <c r="AM54" s="253"/>
      <c r="AO54" s="255"/>
      <c r="AW54" s="257"/>
      <c r="AX54" s="257"/>
    </row>
    <row r="55" spans="1:58" ht="14.1" customHeight="1" thickBot="1">
      <c r="O55" s="241"/>
      <c r="P55" s="242"/>
      <c r="Q55" s="243"/>
      <c r="R55" s="243"/>
      <c r="S55" s="242"/>
      <c r="T55" s="241"/>
      <c r="U55" s="244"/>
      <c r="V55" s="244"/>
      <c r="W55" s="69"/>
      <c r="X55" s="246"/>
      <c r="Y55" s="247"/>
      <c r="Z55" s="248"/>
      <c r="AA55" s="249"/>
      <c r="AC55" s="253"/>
      <c r="AD55" s="254"/>
      <c r="AE55" s="254"/>
      <c r="AF55" s="254"/>
      <c r="AG55" s="254"/>
      <c r="AH55" s="254"/>
      <c r="AI55" s="254"/>
      <c r="AJ55" s="254"/>
      <c r="AK55" s="254"/>
      <c r="AL55" s="254"/>
      <c r="AM55" s="253"/>
      <c r="AO55" s="255"/>
      <c r="AW55" s="257"/>
      <c r="AX55" s="257"/>
    </row>
    <row r="56" spans="1:58" ht="6.95" customHeight="1">
      <c r="C56" s="955">
        <f>+C5</f>
        <v>43860</v>
      </c>
      <c r="D56" s="744"/>
      <c r="E56" s="744"/>
      <c r="F56" s="744"/>
      <c r="G56" s="744"/>
      <c r="H56" s="744"/>
      <c r="I56" s="744"/>
      <c r="J56" s="744"/>
      <c r="K56" s="971"/>
      <c r="L56" s="972"/>
      <c r="M56" s="744">
        <f>1+C56</f>
        <v>43861</v>
      </c>
      <c r="N56" s="744"/>
      <c r="O56" s="744"/>
      <c r="P56" s="744"/>
      <c r="Q56" s="744"/>
      <c r="R56" s="744"/>
      <c r="S56" s="744"/>
      <c r="T56" s="744"/>
      <c r="U56" s="967"/>
      <c r="V56" s="968"/>
      <c r="W56" s="975">
        <f>1+M56</f>
        <v>43862</v>
      </c>
      <c r="X56" s="976"/>
      <c r="Y56" s="976"/>
      <c r="Z56" s="976"/>
      <c r="AA56" s="976"/>
      <c r="AB56" s="976"/>
      <c r="AC56" s="976"/>
      <c r="AD56" s="976"/>
      <c r="AE56" s="979"/>
      <c r="AF56" s="980"/>
      <c r="AG56" s="948">
        <f>1+W56</f>
        <v>43863</v>
      </c>
      <c r="AH56" s="949"/>
      <c r="AI56" s="949"/>
      <c r="AJ56" s="949"/>
      <c r="AK56" s="949"/>
      <c r="AL56" s="949"/>
      <c r="AM56" s="949"/>
      <c r="AN56" s="949"/>
      <c r="AO56" s="791" t="s">
        <v>2</v>
      </c>
      <c r="AW56" s="257"/>
      <c r="AX56" s="257"/>
    </row>
    <row r="57" spans="1:58" s="267" customFormat="1" ht="6.95" customHeight="1" thickBot="1">
      <c r="A57" s="1"/>
      <c r="C57" s="956"/>
      <c r="D57" s="745"/>
      <c r="E57" s="745"/>
      <c r="F57" s="745"/>
      <c r="G57" s="745"/>
      <c r="H57" s="745"/>
      <c r="I57" s="745"/>
      <c r="J57" s="745"/>
      <c r="K57" s="973"/>
      <c r="L57" s="974"/>
      <c r="M57" s="745"/>
      <c r="N57" s="745"/>
      <c r="O57" s="745"/>
      <c r="P57" s="745"/>
      <c r="Q57" s="745"/>
      <c r="R57" s="745"/>
      <c r="S57" s="745"/>
      <c r="T57" s="745"/>
      <c r="U57" s="969"/>
      <c r="V57" s="970"/>
      <c r="W57" s="977"/>
      <c r="X57" s="978"/>
      <c r="Y57" s="978"/>
      <c r="Z57" s="978"/>
      <c r="AA57" s="978"/>
      <c r="AB57" s="978"/>
      <c r="AC57" s="978"/>
      <c r="AD57" s="978"/>
      <c r="AE57" s="981"/>
      <c r="AF57" s="982"/>
      <c r="AG57" s="950"/>
      <c r="AH57" s="951"/>
      <c r="AI57" s="951"/>
      <c r="AJ57" s="951"/>
      <c r="AK57" s="951"/>
      <c r="AL57" s="951"/>
      <c r="AM57" s="951"/>
      <c r="AN57" s="951"/>
      <c r="AO57" s="792"/>
      <c r="AW57" s="257"/>
      <c r="AX57" s="257"/>
    </row>
    <row r="58" spans="1:58" ht="14.1" customHeight="1" thickBot="1">
      <c r="B58" s="268" t="str">
        <f>+B88</f>
        <v>CEQR</v>
      </c>
      <c r="C58" s="231"/>
      <c r="D58" s="232"/>
      <c r="E58" s="233"/>
      <c r="F58" s="234">
        <f>+D58-C58-E58</f>
        <v>0</v>
      </c>
      <c r="G58" s="232"/>
      <c r="H58" s="232"/>
      <c r="I58" s="234">
        <f>+H58-G58</f>
        <v>0</v>
      </c>
      <c r="J58" s="233"/>
      <c r="K58" s="235">
        <f>+I58+F58-L58</f>
        <v>0</v>
      </c>
      <c r="L58" s="269">
        <f>IF(C58&gt;0,(F58+I58)+IF(K$5&gt;0,0+F58,-8),0)</f>
        <v>0</v>
      </c>
      <c r="M58" s="270"/>
      <c r="N58" s="232"/>
      <c r="O58" s="233"/>
      <c r="P58" s="234">
        <f>+N58-M58-O58</f>
        <v>0</v>
      </c>
      <c r="Q58" s="271"/>
      <c r="R58" s="160"/>
      <c r="S58" s="234">
        <f>+R58-Q58</f>
        <v>0</v>
      </c>
      <c r="T58" s="233"/>
      <c r="U58" s="235">
        <f>+S58+P58-V58</f>
        <v>0</v>
      </c>
      <c r="V58" s="269">
        <f>IF(M58&gt;0,(P58+S58)+IF(U$5&gt;0,0+P58,-8),0)</f>
        <v>0</v>
      </c>
      <c r="W58" s="232"/>
      <c r="X58" s="232"/>
      <c r="Y58" s="233"/>
      <c r="Z58" s="234">
        <f>+X58-W58-Y58</f>
        <v>0</v>
      </c>
      <c r="AA58" s="232"/>
      <c r="AB58" s="272"/>
      <c r="AC58" s="234">
        <f>+AB58-AA58</f>
        <v>0</v>
      </c>
      <c r="AD58" s="233"/>
      <c r="AE58" s="235">
        <f>+AC58+Z58-IF(AE$5&gt;0,AF58/2,AF58)</f>
        <v>0</v>
      </c>
      <c r="AF58" s="269">
        <f>IF(W58&gt;0,IF(AE$5&gt;0,(Z58+AC58)*2,(Z58+AC58-8)),0)*IF(Z58&lt;9,IF(AE$5&gt;0,1,2),1)+IF(Z58&gt;8,AC58,0)</f>
        <v>0</v>
      </c>
      <c r="AG58" s="273"/>
      <c r="AH58" s="273"/>
      <c r="AI58" s="274"/>
      <c r="AJ58" s="275">
        <f>+AH58-AG58-AI58</f>
        <v>0</v>
      </c>
      <c r="AK58" s="276"/>
      <c r="AL58" s="276"/>
      <c r="AM58" s="277">
        <f>+AL58-AK58</f>
        <v>0</v>
      </c>
      <c r="AN58" s="274">
        <v>-3</v>
      </c>
      <c r="AO58" s="278">
        <f>(AJ58*2+AM58)</f>
        <v>0</v>
      </c>
      <c r="AP58" s="952">
        <f>+L58+V58+AF58+AO58+L62+V62+AF62-AN58</f>
        <v>3</v>
      </c>
      <c r="AQ58" s="953"/>
      <c r="AR58" s="954">
        <f>ROUND(BD58*AP58,1)</f>
        <v>29.4</v>
      </c>
      <c r="AS58" s="954"/>
      <c r="AT58" s="279" t="e">
        <f>IF(AT62&gt;0,AT62*$AT$10,0)</f>
        <v>#REF!</v>
      </c>
      <c r="AU58" s="69"/>
      <c r="AV58" s="100">
        <f>+L58</f>
        <v>0</v>
      </c>
      <c r="AW58" s="100">
        <f>+V58</f>
        <v>0</v>
      </c>
      <c r="AX58" s="100">
        <f>+AF58</f>
        <v>0</v>
      </c>
      <c r="AY58" s="101">
        <f>+AO58</f>
        <v>0</v>
      </c>
      <c r="AZ58" s="100">
        <f>+L62</f>
        <v>0</v>
      </c>
      <c r="BA58" s="100">
        <f>+V62</f>
        <v>0</v>
      </c>
      <c r="BB58" s="100">
        <f>+AF62</f>
        <v>0</v>
      </c>
      <c r="BC58" s="66"/>
      <c r="BD58" s="36">
        <f>+I88</f>
        <v>9.7916660714285708</v>
      </c>
      <c r="BE58" s="67">
        <f>+BD58*AP58</f>
        <v>29.374998214285711</v>
      </c>
      <c r="BF58" s="68">
        <f>+BD58*AY58</f>
        <v>0</v>
      </c>
    </row>
    <row r="59" spans="1:58" ht="14.1" customHeight="1" thickBot="1">
      <c r="C59" s="280"/>
      <c r="D59" s="280"/>
      <c r="E59" s="281"/>
      <c r="F59" s="282"/>
      <c r="G59" s="280"/>
      <c r="H59" s="280"/>
      <c r="I59" s="282"/>
      <c r="J59" s="281"/>
      <c r="K59" s="283"/>
      <c r="L59" s="284"/>
      <c r="M59" s="280"/>
      <c r="N59" s="280"/>
      <c r="O59" s="281"/>
      <c r="P59" s="282"/>
      <c r="Q59" s="285"/>
      <c r="R59" s="286"/>
      <c r="S59" s="282"/>
      <c r="T59" s="281"/>
      <c r="U59" s="283"/>
      <c r="V59" s="284"/>
      <c r="W59" s="280"/>
      <c r="X59" s="280"/>
      <c r="Y59" s="281"/>
      <c r="Z59" s="282"/>
      <c r="AA59" s="280"/>
      <c r="AB59" s="287"/>
      <c r="AC59" s="282"/>
      <c r="AD59" s="281"/>
      <c r="AE59" s="283"/>
      <c r="AF59" s="284"/>
      <c r="AG59" s="243"/>
      <c r="AH59" s="243"/>
      <c r="AI59" s="241"/>
      <c r="AJ59" s="288"/>
      <c r="AK59" s="289"/>
      <c r="AL59" s="289"/>
      <c r="AM59" s="242"/>
      <c r="AN59" s="241"/>
      <c r="AO59" s="244"/>
      <c r="AP59" s="243"/>
      <c r="AQ59" s="243"/>
      <c r="AR59" s="290"/>
      <c r="AS59" s="290"/>
      <c r="AT59" s="291"/>
      <c r="AU59" s="69"/>
      <c r="AV59" s="66"/>
      <c r="AW59" s="66"/>
      <c r="AX59" s="66"/>
      <c r="AY59" s="292"/>
      <c r="AZ59" s="66"/>
      <c r="BA59" s="66"/>
      <c r="BB59" s="66"/>
      <c r="BC59" s="66"/>
      <c r="BD59" s="293"/>
      <c r="BE59" s="294"/>
      <c r="BF59" s="295"/>
    </row>
    <row r="60" spans="1:58" ht="6.95" customHeight="1">
      <c r="C60" s="955">
        <f>+C27</f>
        <v>43864</v>
      </c>
      <c r="D60" s="744"/>
      <c r="E60" s="744"/>
      <c r="F60" s="744"/>
      <c r="G60" s="744"/>
      <c r="H60" s="744"/>
      <c r="I60" s="744"/>
      <c r="J60" s="744"/>
      <c r="K60" s="957"/>
      <c r="L60" s="958"/>
      <c r="M60" s="961">
        <f>1+C60</f>
        <v>43865</v>
      </c>
      <c r="N60" s="962"/>
      <c r="O60" s="962"/>
      <c r="P60" s="962"/>
      <c r="Q60" s="962"/>
      <c r="R60" s="962"/>
      <c r="S60" s="962"/>
      <c r="T60" s="963"/>
      <c r="U60" s="967"/>
      <c r="V60" s="968"/>
      <c r="W60" s="744">
        <f>1+M60</f>
        <v>43866</v>
      </c>
      <c r="X60" s="744"/>
      <c r="Y60" s="744"/>
      <c r="Z60" s="744"/>
      <c r="AA60" s="744"/>
      <c r="AB60" s="744"/>
      <c r="AC60" s="744"/>
      <c r="AD60" s="744"/>
      <c r="AE60" s="967"/>
      <c r="AF60" s="968"/>
      <c r="AG60" s="254"/>
      <c r="AH60" s="254"/>
      <c r="AI60" s="254"/>
      <c r="AJ60" s="254"/>
      <c r="AK60" s="254"/>
      <c r="AL60" s="254"/>
      <c r="AM60" s="253"/>
      <c r="AO60" s="255"/>
      <c r="AW60" s="257"/>
      <c r="AX60" s="257"/>
    </row>
    <row r="61" spans="1:58" s="267" customFormat="1" ht="6.95" customHeight="1" thickBot="1">
      <c r="A61" s="1"/>
      <c r="C61" s="956"/>
      <c r="D61" s="745"/>
      <c r="E61" s="745"/>
      <c r="F61" s="745"/>
      <c r="G61" s="745"/>
      <c r="H61" s="745"/>
      <c r="I61" s="745"/>
      <c r="J61" s="745"/>
      <c r="K61" s="959"/>
      <c r="L61" s="960"/>
      <c r="M61" s="964"/>
      <c r="N61" s="965"/>
      <c r="O61" s="965"/>
      <c r="P61" s="965"/>
      <c r="Q61" s="965"/>
      <c r="R61" s="965"/>
      <c r="S61" s="965"/>
      <c r="T61" s="966"/>
      <c r="U61" s="969"/>
      <c r="V61" s="970"/>
      <c r="W61" s="745"/>
      <c r="X61" s="745"/>
      <c r="Y61" s="745"/>
      <c r="Z61" s="745"/>
      <c r="AA61" s="745"/>
      <c r="AB61" s="745"/>
      <c r="AC61" s="745"/>
      <c r="AD61" s="745"/>
      <c r="AE61" s="969"/>
      <c r="AF61" s="970"/>
      <c r="AG61" s="296"/>
      <c r="AH61" s="296"/>
      <c r="AI61" s="296"/>
      <c r="AJ61" s="296"/>
      <c r="AK61" s="296"/>
      <c r="AL61" s="296"/>
      <c r="AM61" s="297"/>
      <c r="AO61" s="298"/>
      <c r="AW61" s="257"/>
      <c r="AX61" s="257"/>
    </row>
    <row r="62" spans="1:58" ht="14.1" customHeight="1" thickBot="1">
      <c r="B62" s="268" t="str">
        <f>+B58</f>
        <v>CEQR</v>
      </c>
      <c r="C62" s="231"/>
      <c r="D62" s="232"/>
      <c r="E62" s="233"/>
      <c r="F62" s="234">
        <f>+D62-C62-E62</f>
        <v>0</v>
      </c>
      <c r="G62" s="271"/>
      <c r="H62" s="160"/>
      <c r="I62" s="234">
        <f>+H62-G62</f>
        <v>0</v>
      </c>
      <c r="J62" s="233"/>
      <c r="K62" s="235">
        <f>+I62+F62-L62</f>
        <v>0</v>
      </c>
      <c r="L62" s="269">
        <f>IF(C62&gt;0,(F62+I62)+IF(K$27&gt;0,0+F62,-8),0)</f>
        <v>0</v>
      </c>
      <c r="M62" s="276"/>
      <c r="N62" s="276"/>
      <c r="O62" s="274"/>
      <c r="P62" s="277">
        <f>+N62-M62-O62</f>
        <v>0</v>
      </c>
      <c r="Q62" s="273"/>
      <c r="R62" s="276"/>
      <c r="S62" s="234">
        <f>+R62-Q62</f>
        <v>0</v>
      </c>
      <c r="T62" s="274"/>
      <c r="U62" s="299">
        <f>+S62+P62-V62</f>
        <v>0</v>
      </c>
      <c r="V62" s="300">
        <f>IF(M62&gt;0,(P62+S62)+IF(U$27&gt;0,0+P62,-8),0)</f>
        <v>0</v>
      </c>
      <c r="W62" s="301"/>
      <c r="X62" s="276"/>
      <c r="Y62" s="274"/>
      <c r="Z62" s="277">
        <f>+X62-W62-Y62</f>
        <v>0</v>
      </c>
      <c r="AA62" s="276"/>
      <c r="AB62" s="276"/>
      <c r="AC62" s="234">
        <f>+AB62-AA62</f>
        <v>0</v>
      </c>
      <c r="AD62" s="274"/>
      <c r="AE62" s="299">
        <f>+AC62+Z62-AF62</f>
        <v>0</v>
      </c>
      <c r="AF62" s="236">
        <f>IF(W62&gt;0,(Z62+AC62)+IF(AE$27&gt;0,0+Z62,-8),0)</f>
        <v>0</v>
      </c>
      <c r="AG62" s="69"/>
      <c r="AH62" s="302">
        <v>0</v>
      </c>
      <c r="AI62" s="303">
        <f>+K58+(IF(ISBLANK($K$56),-8,0))</f>
        <v>-8</v>
      </c>
      <c r="AJ62" s="303">
        <f>IF(ISBLANK($U$56),-8,0)+U58</f>
        <v>-8</v>
      </c>
      <c r="AK62" s="304">
        <f>IF(ISBLANK($AE$56),-8,0)+AE58</f>
        <v>-8</v>
      </c>
      <c r="AL62" s="303">
        <f>IF(ISBLANK($AO$56),-8,0)+AM58+AW62</f>
        <v>0</v>
      </c>
      <c r="AM62" s="303">
        <f>IF(ISBLANK($K$60),-8,0)+K62</f>
        <v>-8</v>
      </c>
      <c r="AN62" s="303">
        <f>IF(ISBLANK($U$60),-8,0)+U62</f>
        <v>-8</v>
      </c>
      <c r="AO62" s="303">
        <f>IF(ISBLANK($AE$60),-8,0)+AE62</f>
        <v>-8</v>
      </c>
      <c r="AP62" s="305">
        <f>SUM(AH62:AO62)</f>
        <v>-48</v>
      </c>
      <c r="AQ62" s="306"/>
      <c r="AR62" s="994">
        <f>+X88*Q88</f>
        <v>0</v>
      </c>
      <c r="AS62" s="995"/>
      <c r="AT62" s="307" t="e">
        <f>IF(#REF!+#REF!&gt;0,1,0)+IF(#REF!+#REF!&gt;0,1,0)+IF(#REF!+#REF!&gt;0,1,0)+IF(#REF!&gt;3,1,0)+IF(K62+L62&gt;0,1,0)+IF(U62+V62&gt;0,1,0)+IF(AE62+AF62&gt;0,1,0)</f>
        <v>#REF!</v>
      </c>
      <c r="AU62" s="69"/>
      <c r="AV62" s="69"/>
      <c r="AW62" s="921"/>
      <c r="AX62" s="922"/>
    </row>
    <row r="63" spans="1:58" ht="14.1" customHeight="1">
      <c r="O63" s="241"/>
      <c r="P63" s="242"/>
      <c r="Q63" s="243"/>
      <c r="R63" s="243"/>
      <c r="S63" s="242"/>
      <c r="T63" s="241"/>
      <c r="U63" s="244"/>
      <c r="V63" s="244"/>
      <c r="W63" s="69"/>
      <c r="X63" s="246"/>
      <c r="Y63" s="247"/>
      <c r="Z63" s="248"/>
      <c r="AA63" s="249"/>
      <c r="AC63" s="253"/>
      <c r="AD63" s="254"/>
      <c r="AE63" s="254"/>
      <c r="AF63" s="254"/>
      <c r="AG63" s="254"/>
      <c r="AH63" s="254"/>
      <c r="AI63" s="254"/>
      <c r="AJ63" s="254"/>
      <c r="AK63" s="996"/>
      <c r="AL63" s="996"/>
      <c r="AM63" s="253"/>
      <c r="AO63" s="255"/>
      <c r="AW63" s="257"/>
      <c r="AX63" s="257"/>
    </row>
    <row r="64" spans="1:58" ht="14.1" customHeight="1">
      <c r="O64" s="241"/>
      <c r="P64" s="242"/>
      <c r="Q64" s="243"/>
      <c r="R64" s="243"/>
      <c r="S64" s="242"/>
      <c r="T64" s="241"/>
      <c r="U64" s="244"/>
      <c r="V64" s="244"/>
      <c r="W64" s="69"/>
      <c r="X64" s="246"/>
      <c r="Y64" s="247"/>
      <c r="AW64" s="257"/>
      <c r="AX64" s="257"/>
    </row>
    <row r="65" spans="1:50" ht="18" customHeight="1">
      <c r="C65" s="240" t="s">
        <v>28</v>
      </c>
      <c r="O65" s="241"/>
      <c r="P65" s="242"/>
      <c r="Q65" s="243"/>
      <c r="R65" s="243"/>
      <c r="S65" s="242"/>
      <c r="T65" s="241"/>
      <c r="U65" s="244"/>
      <c r="V65" s="244"/>
      <c r="W65" s="69"/>
      <c r="X65" s="246"/>
      <c r="Y65" s="247"/>
      <c r="AW65" s="257"/>
      <c r="AX65" s="257"/>
    </row>
    <row r="66" spans="1:50" ht="3" customHeight="1">
      <c r="Q66" s="308"/>
      <c r="R66" s="309"/>
      <c r="S66" s="310"/>
      <c r="T66" s="311"/>
      <c r="AX66" s="257"/>
    </row>
    <row r="67" spans="1:50" ht="14.1" customHeight="1" thickBot="1">
      <c r="B67" s="7" t="s">
        <v>29</v>
      </c>
      <c r="C67" s="997" t="s">
        <v>30</v>
      </c>
      <c r="D67" s="997"/>
      <c r="E67" s="997" t="s">
        <v>31</v>
      </c>
      <c r="F67" s="997"/>
      <c r="G67" s="998" t="s">
        <v>32</v>
      </c>
      <c r="H67" s="999"/>
      <c r="I67" s="1004" t="s">
        <v>33</v>
      </c>
      <c r="J67" s="1005"/>
      <c r="K67" s="1006" t="s">
        <v>34</v>
      </c>
      <c r="L67" s="1006"/>
      <c r="M67" s="6"/>
      <c r="N67" s="1007" t="s">
        <v>35</v>
      </c>
      <c r="O67" s="1007"/>
      <c r="P67" s="6"/>
      <c r="Q67" s="1008" t="s">
        <v>36</v>
      </c>
      <c r="R67" s="1009"/>
      <c r="U67" s="1019" t="s">
        <v>37</v>
      </c>
      <c r="V67" s="1022" t="s">
        <v>38</v>
      </c>
      <c r="W67" s="1025" t="s">
        <v>39</v>
      </c>
      <c r="X67" s="983" t="s">
        <v>40</v>
      </c>
      <c r="AX67" s="257"/>
    </row>
    <row r="68" spans="1:50" ht="14.1" customHeight="1">
      <c r="B68" s="7" t="s">
        <v>41</v>
      </c>
      <c r="C68" s="997"/>
      <c r="D68" s="997"/>
      <c r="E68" s="997"/>
      <c r="F68" s="997"/>
      <c r="G68" s="1000"/>
      <c r="H68" s="1001"/>
      <c r="I68" s="1004"/>
      <c r="J68" s="1005"/>
      <c r="K68" s="1006"/>
      <c r="L68" s="1006"/>
      <c r="M68" s="6"/>
      <c r="N68" s="1007"/>
      <c r="O68" s="1007"/>
      <c r="P68" s="6"/>
      <c r="Q68" s="1010"/>
      <c r="R68" s="1011"/>
      <c r="U68" s="1020"/>
      <c r="V68" s="1023"/>
      <c r="W68" s="1026"/>
      <c r="X68" s="984"/>
      <c r="AA68" s="312"/>
      <c r="AB68" s="313"/>
      <c r="AC68" s="314"/>
      <c r="AD68" s="315"/>
      <c r="AE68" s="316"/>
      <c r="AF68" s="316"/>
      <c r="AG68" s="316"/>
      <c r="AH68" s="316"/>
      <c r="AI68" s="316"/>
      <c r="AJ68" s="316"/>
      <c r="AK68" s="316"/>
      <c r="AL68" s="316"/>
      <c r="AM68" s="316"/>
      <c r="AN68" s="314"/>
      <c r="AO68" s="314"/>
      <c r="AP68" s="314"/>
      <c r="AQ68" s="314"/>
      <c r="AR68" s="317"/>
      <c r="AX68" s="257"/>
    </row>
    <row r="69" spans="1:50" ht="14.1" customHeight="1">
      <c r="B69" s="7" t="s">
        <v>42</v>
      </c>
      <c r="C69" s="997"/>
      <c r="D69" s="997"/>
      <c r="E69" s="997"/>
      <c r="F69" s="997"/>
      <c r="G69" s="1000"/>
      <c r="H69" s="1001"/>
      <c r="I69" s="1004"/>
      <c r="J69" s="1005"/>
      <c r="K69" s="1006"/>
      <c r="L69" s="1006"/>
      <c r="M69" s="6"/>
      <c r="N69" s="1007"/>
      <c r="O69" s="1007"/>
      <c r="P69" s="6"/>
      <c r="Q69" s="1012"/>
      <c r="R69" s="1013"/>
      <c r="U69" s="1020"/>
      <c r="V69" s="1023"/>
      <c r="W69" s="1026"/>
      <c r="X69" s="984"/>
      <c r="AA69" s="318"/>
      <c r="AB69" s="319" t="s">
        <v>43</v>
      </c>
      <c r="AC69" s="320"/>
      <c r="AD69" s="320"/>
      <c r="AE69" s="320"/>
      <c r="AF69" s="321"/>
      <c r="AG69" s="321"/>
      <c r="AH69" s="320"/>
      <c r="AI69" s="320"/>
      <c r="AJ69" s="320"/>
      <c r="AK69" s="320"/>
      <c r="AL69" s="320"/>
      <c r="AM69" s="320"/>
      <c r="AN69" s="320"/>
      <c r="AO69" s="322"/>
      <c r="AP69" s="322"/>
      <c r="AQ69" s="323"/>
      <c r="AR69" s="324"/>
      <c r="AT69" s="254"/>
      <c r="AX69" s="257"/>
    </row>
    <row r="70" spans="1:50" ht="27" thickBot="1">
      <c r="B70" s="325" t="s">
        <v>44</v>
      </c>
      <c r="C70" s="986">
        <f>+E70*7</f>
        <v>217</v>
      </c>
      <c r="D70" s="986"/>
      <c r="E70" s="987">
        <f>+K70/30</f>
        <v>31</v>
      </c>
      <c r="F70" s="987"/>
      <c r="G70" s="1000"/>
      <c r="H70" s="1001"/>
      <c r="I70" s="988">
        <f>+E70/8</f>
        <v>3.875</v>
      </c>
      <c r="J70" s="989"/>
      <c r="K70" s="990">
        <f>850+80</f>
        <v>930</v>
      </c>
      <c r="L70" s="990"/>
      <c r="M70" s="326"/>
      <c r="N70" s="991">
        <f>+I70/6*7</f>
        <v>4.5208333333333339</v>
      </c>
      <c r="O70" s="992"/>
      <c r="P70" s="326"/>
      <c r="Q70" s="993">
        <f>+$I$71-I70</f>
        <v>1.3562500000000002</v>
      </c>
      <c r="R70" s="993"/>
      <c r="U70" s="1020"/>
      <c r="V70" s="1023"/>
      <c r="W70" s="1026"/>
      <c r="X70" s="984"/>
      <c r="AA70" s="327"/>
      <c r="AB70" s="328"/>
      <c r="AC70" s="328"/>
      <c r="AD70" s="328"/>
      <c r="AE70" s="328"/>
      <c r="AF70" s="328"/>
      <c r="AG70" s="328"/>
      <c r="AH70" s="328"/>
      <c r="AI70" s="328"/>
      <c r="AJ70" s="328"/>
      <c r="AK70" s="328"/>
      <c r="AL70" s="328"/>
      <c r="AM70" s="328"/>
      <c r="AN70" s="328"/>
      <c r="AO70" s="329" t="s">
        <v>45</v>
      </c>
      <c r="AP70" s="330"/>
      <c r="AQ70" s="328"/>
      <c r="AR70" s="331"/>
    </row>
    <row r="71" spans="1:50" ht="24.75">
      <c r="B71" s="332" t="s">
        <v>46</v>
      </c>
      <c r="C71" s="1014">
        <f>+E71*7</f>
        <v>292.95</v>
      </c>
      <c r="D71" s="1014"/>
      <c r="E71" s="1015">
        <f>+K71/30</f>
        <v>41.85</v>
      </c>
      <c r="F71" s="1015"/>
      <c r="G71" s="1002"/>
      <c r="H71" s="1003"/>
      <c r="I71" s="1016">
        <f>+E71/8</f>
        <v>5.2312500000000002</v>
      </c>
      <c r="J71" s="1017"/>
      <c r="K71" s="1018">
        <f>+K70*1.35</f>
        <v>1255.5</v>
      </c>
      <c r="L71" s="1018"/>
      <c r="M71" s="326"/>
      <c r="N71" s="991">
        <f>+I71/6*7</f>
        <v>6.1031250000000004</v>
      </c>
      <c r="O71" s="992"/>
      <c r="P71" s="326"/>
      <c r="Q71" s="993">
        <f>+$I$71-I71</f>
        <v>0</v>
      </c>
      <c r="R71" s="993"/>
      <c r="U71" s="1020"/>
      <c r="V71" s="1023"/>
      <c r="W71" s="1026"/>
      <c r="X71" s="984"/>
      <c r="AA71" s="333"/>
      <c r="AB71" s="333"/>
      <c r="AC71" s="333"/>
      <c r="AD71" s="333"/>
      <c r="AE71" s="333"/>
      <c r="AF71" s="167"/>
      <c r="AG71" s="167"/>
      <c r="AH71" s="167"/>
      <c r="AJ71" s="296"/>
      <c r="AK71" s="296"/>
      <c r="AL71" s="296"/>
      <c r="AM71" s="296"/>
      <c r="AN71" s="296"/>
      <c r="AO71" s="296"/>
      <c r="AP71" s="296"/>
      <c r="AQ71" s="296"/>
      <c r="AR71" s="296"/>
    </row>
    <row r="72" spans="1:50" ht="2.1" customHeight="1" thickBot="1">
      <c r="B72" s="334"/>
      <c r="C72" s="258"/>
      <c r="D72" s="258"/>
      <c r="G72" s="335"/>
      <c r="H72" s="335"/>
      <c r="I72" s="336"/>
      <c r="J72" s="336"/>
      <c r="K72" s="337"/>
      <c r="L72" s="337"/>
      <c r="M72" s="6"/>
      <c r="N72" s="338"/>
      <c r="O72" s="338"/>
      <c r="P72" s="6"/>
      <c r="Q72" s="339"/>
      <c r="R72" s="339"/>
      <c r="U72" s="1021"/>
      <c r="V72" s="1024"/>
      <c r="W72" s="1027"/>
      <c r="X72" s="985"/>
      <c r="AA72" s="3"/>
    </row>
    <row r="73" spans="1:50" ht="16.5">
      <c r="A73" s="1">
        <v>1</v>
      </c>
      <c r="B73" s="340" t="s">
        <v>47</v>
      </c>
      <c r="C73" s="1040">
        <f>6*3+7*33.8</f>
        <v>254.59999999999997</v>
      </c>
      <c r="D73" s="1041"/>
      <c r="E73" s="1030">
        <f t="shared" ref="E73:E80" si="69">+C73/7</f>
        <v>36.371428571428567</v>
      </c>
      <c r="F73" s="1031"/>
      <c r="G73" s="341"/>
      <c r="H73" s="341"/>
      <c r="I73" s="1032">
        <f t="shared" ref="I73:I86" si="70">+E73/8</f>
        <v>4.5464285714285708</v>
      </c>
      <c r="J73" s="1033"/>
      <c r="K73" s="1034">
        <f t="shared" ref="K73:K86" si="71">+E73*30</f>
        <v>1091.1428571428569</v>
      </c>
      <c r="L73" s="1034"/>
      <c r="M73" s="6"/>
      <c r="N73" s="1035">
        <f t="shared" ref="N73:N88" si="72">+I73/6*7</f>
        <v>5.3041666666666654</v>
      </c>
      <c r="O73" s="1035"/>
      <c r="P73" s="6"/>
      <c r="Q73" s="1036">
        <f>+$I$71-I73</f>
        <v>0.68482142857142936</v>
      </c>
      <c r="R73" s="1037"/>
      <c r="U73" s="342">
        <f>+AE33+U33+K33+AO11+AE11+U11+K11</f>
        <v>40</v>
      </c>
      <c r="V73" s="343">
        <v>48</v>
      </c>
      <c r="W73" s="344">
        <f t="shared" ref="W73:W88" si="73">+V73-U73</f>
        <v>8</v>
      </c>
      <c r="X73" s="345">
        <f>+J11+T11+AD11+J33+T33+AD33</f>
        <v>0</v>
      </c>
      <c r="Y73" s="1038">
        <f>+X73*Q73</f>
        <v>0</v>
      </c>
      <c r="Z73" s="1039"/>
      <c r="AA73" s="346"/>
      <c r="AB73" s="347"/>
      <c r="AC73" s="348"/>
      <c r="AD73" s="349"/>
      <c r="AE73" s="350"/>
      <c r="AF73" s="350"/>
      <c r="AG73" s="350"/>
      <c r="AH73" s="350"/>
      <c r="AI73" s="350"/>
      <c r="AJ73" s="350"/>
      <c r="AK73" s="350"/>
      <c r="AL73" s="350"/>
      <c r="AM73" s="350"/>
      <c r="AN73" s="348"/>
      <c r="AO73" s="348"/>
      <c r="AP73" s="348"/>
      <c r="AQ73" s="348"/>
      <c r="AR73" s="351"/>
    </row>
    <row r="74" spans="1:50" ht="16.5">
      <c r="A74" s="1">
        <v>2</v>
      </c>
      <c r="B74" s="340" t="s">
        <v>48</v>
      </c>
      <c r="C74" s="1040">
        <f>6*3+7*38.5</f>
        <v>287.5</v>
      </c>
      <c r="D74" s="1041"/>
      <c r="E74" s="1030">
        <f t="shared" si="69"/>
        <v>41.071428571428569</v>
      </c>
      <c r="F74" s="1031"/>
      <c r="G74" s="341"/>
      <c r="H74" s="341"/>
      <c r="I74" s="1032">
        <f t="shared" si="70"/>
        <v>5.1339285714285712</v>
      </c>
      <c r="J74" s="1033"/>
      <c r="K74" s="1034">
        <f t="shared" si="71"/>
        <v>1232.1428571428571</v>
      </c>
      <c r="L74" s="1034"/>
      <c r="M74" s="6"/>
      <c r="N74" s="1035">
        <f t="shared" si="72"/>
        <v>5.989583333333333</v>
      </c>
      <c r="O74" s="1035"/>
      <c r="P74" s="6"/>
      <c r="Q74" s="1036">
        <f>+$I$71-I74</f>
        <v>9.7321428571429003E-2</v>
      </c>
      <c r="R74" s="1037"/>
      <c r="U74" s="342">
        <f>+AE34+U34+K34+AO12+AE12+U12+K12</f>
        <v>62</v>
      </c>
      <c r="V74" s="343">
        <v>48</v>
      </c>
      <c r="W74" s="344">
        <f t="shared" si="73"/>
        <v>-14</v>
      </c>
      <c r="X74" s="345">
        <f>+J12+T12+AD12+J34+T34+AD34</f>
        <v>8</v>
      </c>
      <c r="Y74" s="1038">
        <f>+X74*Q74</f>
        <v>0.77857142857143202</v>
      </c>
      <c r="Z74" s="1039"/>
      <c r="AA74" s="352"/>
      <c r="AB74" s="353" t="s">
        <v>49</v>
      </c>
      <c r="AC74" s="354"/>
      <c r="AD74" s="354"/>
      <c r="AE74" s="354"/>
      <c r="AF74" s="355"/>
      <c r="AG74" s="355"/>
      <c r="AH74" s="354"/>
      <c r="AI74" s="354"/>
      <c r="AJ74" s="354"/>
      <c r="AK74" s="354"/>
      <c r="AL74" s="354"/>
      <c r="AM74" s="354"/>
      <c r="AN74" s="354"/>
      <c r="AO74" s="356"/>
      <c r="AP74" s="356"/>
      <c r="AQ74" s="357"/>
      <c r="AR74" s="358"/>
    </row>
    <row r="75" spans="1:50" ht="16.5">
      <c r="A75" s="1">
        <v>5</v>
      </c>
      <c r="B75" s="340" t="s">
        <v>52</v>
      </c>
      <c r="C75" s="1028">
        <f>6*3+7*38.5</f>
        <v>287.5</v>
      </c>
      <c r="D75" s="1029"/>
      <c r="E75" s="1030">
        <f t="shared" si="69"/>
        <v>41.071428571428569</v>
      </c>
      <c r="F75" s="1031"/>
      <c r="G75" s="341"/>
      <c r="H75" s="341"/>
      <c r="I75" s="1032">
        <f t="shared" si="70"/>
        <v>5.1339285714285712</v>
      </c>
      <c r="J75" s="1033"/>
      <c r="K75" s="1034">
        <f t="shared" si="71"/>
        <v>1232.1428571428571</v>
      </c>
      <c r="L75" s="1034"/>
      <c r="M75" s="6"/>
      <c r="N75" s="1035">
        <f t="shared" si="72"/>
        <v>5.989583333333333</v>
      </c>
      <c r="O75" s="1035"/>
      <c r="P75" s="6"/>
      <c r="Q75" s="1036">
        <f>+$I$71-I75</f>
        <v>9.7321428571429003E-2</v>
      </c>
      <c r="R75" s="1037"/>
      <c r="U75" s="342">
        <f>+AE35+U35+K35+AO13+AE13+U13+K13</f>
        <v>48.5</v>
      </c>
      <c r="V75" s="343">
        <v>48</v>
      </c>
      <c r="W75" s="344">
        <f t="shared" si="73"/>
        <v>-0.5</v>
      </c>
      <c r="X75" s="345">
        <f>+J13+T13+AD13+J35+T35+AD35</f>
        <v>0</v>
      </c>
    </row>
    <row r="76" spans="1:50" ht="16.5">
      <c r="A76" s="1">
        <v>7</v>
      </c>
      <c r="B76" s="365" t="s">
        <v>53</v>
      </c>
      <c r="C76" s="1042">
        <f>6*3+7*(38.5)</f>
        <v>287.5</v>
      </c>
      <c r="D76" s="1043"/>
      <c r="E76" s="1030">
        <f t="shared" si="69"/>
        <v>41.071428571428569</v>
      </c>
      <c r="F76" s="1031"/>
      <c r="G76" s="1046"/>
      <c r="H76" s="1047"/>
      <c r="I76" s="1032">
        <f t="shared" si="70"/>
        <v>5.1339285714285712</v>
      </c>
      <c r="J76" s="1033"/>
      <c r="K76" s="1034">
        <f t="shared" si="71"/>
        <v>1232.1428571428571</v>
      </c>
      <c r="L76" s="1034"/>
      <c r="M76" s="6"/>
      <c r="N76" s="1035">
        <f>+I76/6*7</f>
        <v>5.989583333333333</v>
      </c>
      <c r="O76" s="1035"/>
      <c r="P76" s="6"/>
      <c r="Q76" s="1036">
        <f>+$I$71-I76</f>
        <v>9.7321428571429003E-2</v>
      </c>
      <c r="R76" s="1037"/>
      <c r="U76" s="342">
        <f>+AE36+U36+K36+AO14+AE14+U14+K14</f>
        <v>45</v>
      </c>
      <c r="V76" s="343">
        <v>48</v>
      </c>
      <c r="W76" s="344">
        <f>+V76-U76</f>
        <v>3</v>
      </c>
      <c r="X76" s="345">
        <f>+J14+T14+AD14+J36+T36+AD36</f>
        <v>0</v>
      </c>
      <c r="AD76"/>
    </row>
    <row r="77" spans="1:50" ht="16.5">
      <c r="A77" s="1">
        <v>2</v>
      </c>
      <c r="B77" s="359" t="s">
        <v>62</v>
      </c>
      <c r="C77" s="1042">
        <f>6*3+7*(28.4286)</f>
        <v>217.00020000000001</v>
      </c>
      <c r="D77" s="1043"/>
      <c r="E77" s="1030">
        <f>+C77/7</f>
        <v>31.000028571428572</v>
      </c>
      <c r="F77" s="1031"/>
      <c r="G77" s="1044"/>
      <c r="H77" s="1045"/>
      <c r="I77" s="1032">
        <f>+E77/8</f>
        <v>3.8750035714285715</v>
      </c>
      <c r="J77" s="1033"/>
      <c r="K77" s="1034">
        <f>+E77*30</f>
        <v>930.00085714285717</v>
      </c>
      <c r="L77" s="1034"/>
      <c r="M77" s="6"/>
      <c r="N77" s="1035">
        <f>+I77/6*7</f>
        <v>4.5208375000000007</v>
      </c>
      <c r="O77" s="1035"/>
      <c r="P77" s="6"/>
      <c r="Q77" s="1036">
        <f>+$I$71-I77</f>
        <v>1.3562464285714286</v>
      </c>
      <c r="R77" s="1037"/>
      <c r="U77" s="342">
        <f t="shared" ref="U77:U88" si="74">+AE37+U37+K37+AO15+AE15+U15+K15</f>
        <v>56</v>
      </c>
      <c r="V77" s="343">
        <v>48</v>
      </c>
      <c r="W77" s="344">
        <f>+V77-U77</f>
        <v>-8</v>
      </c>
      <c r="X77" s="345">
        <f t="shared" ref="X77:X88" si="75">+J15+T15+AD15+J37+T37+AD37</f>
        <v>0</v>
      </c>
    </row>
    <row r="78" spans="1:50" s="371" customFormat="1" ht="16.5">
      <c r="A78" s="366">
        <v>6</v>
      </c>
      <c r="B78" s="365" t="s">
        <v>142</v>
      </c>
      <c r="C78" s="1028">
        <f>+G78*6</f>
        <v>186</v>
      </c>
      <c r="D78" s="1029"/>
      <c r="E78" s="1030">
        <f t="shared" si="69"/>
        <v>26.571428571428573</v>
      </c>
      <c r="F78" s="1031"/>
      <c r="G78" s="1044">
        <v>31</v>
      </c>
      <c r="H78" s="1045"/>
      <c r="I78" s="1032">
        <f>+G78/8</f>
        <v>3.875</v>
      </c>
      <c r="J78" s="1033"/>
      <c r="K78" s="1034">
        <f>+G78*30</f>
        <v>930</v>
      </c>
      <c r="L78" s="1034"/>
      <c r="M78" s="374"/>
      <c r="N78" s="1035">
        <f t="shared" ref="N78" si="76">+I78/6*7</f>
        <v>4.5208333333333339</v>
      </c>
      <c r="O78" s="1035"/>
      <c r="P78" s="6"/>
      <c r="Q78" s="1036">
        <f t="shared" ref="Q78:Q88" si="77">+$I$71-I78</f>
        <v>1.3562500000000002</v>
      </c>
      <c r="R78" s="1037"/>
      <c r="S78" s="3"/>
      <c r="T78" s="3"/>
      <c r="U78" s="342">
        <f t="shared" si="74"/>
        <v>24</v>
      </c>
      <c r="V78" s="343">
        <v>48</v>
      </c>
      <c r="W78" s="344">
        <f t="shared" ref="W78" si="78">+V78-U78</f>
        <v>24</v>
      </c>
      <c r="X78" s="345">
        <f t="shared" si="75"/>
        <v>0</v>
      </c>
      <c r="Y78" s="367"/>
      <c r="Z78" s="622"/>
      <c r="AA78" s="622"/>
      <c r="AB78" s="622"/>
      <c r="AC78" s="622"/>
      <c r="AD78" s="622"/>
      <c r="AE78" s="296"/>
      <c r="AF78" s="296"/>
      <c r="AG78" s="621"/>
      <c r="AH78" s="621"/>
      <c r="AI78" s="370"/>
      <c r="AJ78" s="370"/>
      <c r="AK78" s="370"/>
      <c r="AL78" s="370"/>
      <c r="AM78" s="621"/>
      <c r="AN78" s="621"/>
      <c r="AO78" s="621"/>
      <c r="AP78" s="621"/>
      <c r="AQ78" s="621"/>
      <c r="AR78" s="621"/>
      <c r="AS78" s="296"/>
      <c r="AT78" s="296"/>
    </row>
    <row r="79" spans="1:50" ht="16.5">
      <c r="B79" s="359" t="s">
        <v>55</v>
      </c>
      <c r="C79" s="1042">
        <f t="shared" ref="C79:C83" si="79">6*3+7*(28.4286)</f>
        <v>217.00020000000001</v>
      </c>
      <c r="D79" s="1043"/>
      <c r="E79" s="1030">
        <f t="shared" si="69"/>
        <v>31.000028571428572</v>
      </c>
      <c r="F79" s="1031"/>
      <c r="G79" s="1044"/>
      <c r="H79" s="1045"/>
      <c r="I79" s="1032">
        <f t="shared" si="70"/>
        <v>3.8750035714285715</v>
      </c>
      <c r="J79" s="1033"/>
      <c r="K79" s="1034">
        <f t="shared" si="71"/>
        <v>930.00085714285717</v>
      </c>
      <c r="L79" s="1034"/>
      <c r="M79" s="6"/>
      <c r="N79" s="1050">
        <f t="shared" si="72"/>
        <v>4.5208375000000007</v>
      </c>
      <c r="O79" s="1051"/>
      <c r="P79" s="6"/>
      <c r="Q79" s="1048">
        <f t="shared" si="77"/>
        <v>1.3562464285714286</v>
      </c>
      <c r="R79" s="1049"/>
      <c r="U79" s="342">
        <f t="shared" si="74"/>
        <v>62</v>
      </c>
      <c r="V79" s="343">
        <v>48</v>
      </c>
      <c r="W79" s="344">
        <f t="shared" si="73"/>
        <v>-14</v>
      </c>
      <c r="X79" s="345">
        <f t="shared" si="75"/>
        <v>0</v>
      </c>
      <c r="Y79" s="1038">
        <f>+X79*Q79</f>
        <v>0</v>
      </c>
      <c r="Z79" s="1039"/>
      <c r="AA79" s="372"/>
      <c r="AB79" s="622"/>
      <c r="AC79" s="622"/>
      <c r="AD79" s="622"/>
      <c r="AE79" s="296"/>
      <c r="AF79" s="296"/>
      <c r="AG79" s="621"/>
      <c r="AH79" s="621"/>
      <c r="AI79" s="621"/>
      <c r="AJ79" s="621"/>
      <c r="AK79" s="621"/>
      <c r="AL79" s="621"/>
      <c r="AM79" s="621"/>
      <c r="AN79" s="621"/>
      <c r="AO79" s="621"/>
      <c r="AP79" s="621"/>
      <c r="AQ79" s="621"/>
      <c r="AR79" s="621"/>
      <c r="AS79" s="296"/>
      <c r="AT79" s="296"/>
    </row>
    <row r="80" spans="1:50" ht="16.5">
      <c r="B80" s="359" t="s">
        <v>56</v>
      </c>
      <c r="C80" s="1042">
        <f t="shared" si="79"/>
        <v>217.00020000000001</v>
      </c>
      <c r="D80" s="1043"/>
      <c r="E80" s="1030">
        <f t="shared" si="69"/>
        <v>31.000028571428572</v>
      </c>
      <c r="F80" s="1031"/>
      <c r="G80" s="1044"/>
      <c r="H80" s="1045"/>
      <c r="I80" s="1032">
        <f t="shared" si="70"/>
        <v>3.8750035714285715</v>
      </c>
      <c r="J80" s="1033"/>
      <c r="K80" s="1034">
        <f t="shared" si="71"/>
        <v>930.00085714285717</v>
      </c>
      <c r="L80" s="1034"/>
      <c r="M80" s="6"/>
      <c r="N80" s="1050">
        <f t="shared" si="72"/>
        <v>4.5208375000000007</v>
      </c>
      <c r="O80" s="1051"/>
      <c r="P80" s="6"/>
      <c r="Q80" s="1048">
        <f t="shared" si="77"/>
        <v>1.3562464285714286</v>
      </c>
      <c r="R80" s="1049"/>
      <c r="U80" s="342">
        <f t="shared" si="74"/>
        <v>64</v>
      </c>
      <c r="V80" s="343">
        <v>48</v>
      </c>
      <c r="W80" s="344">
        <f t="shared" si="73"/>
        <v>-16</v>
      </c>
      <c r="X80" s="345">
        <f t="shared" si="75"/>
        <v>8</v>
      </c>
      <c r="Y80" s="1038">
        <f>+X80*Q80</f>
        <v>10.849971428571429</v>
      </c>
      <c r="Z80" s="1039"/>
      <c r="AA80" s="372"/>
      <c r="AB80" s="622"/>
      <c r="AC80" s="622"/>
      <c r="AD80" s="622"/>
      <c r="AE80" s="296"/>
      <c r="AF80" s="296"/>
      <c r="AG80" s="621"/>
      <c r="AH80" s="621"/>
      <c r="AI80" s="621"/>
      <c r="AJ80" s="621"/>
      <c r="AK80" s="621"/>
      <c r="AL80" s="621"/>
      <c r="AM80" s="621"/>
      <c r="AN80" s="621"/>
      <c r="AO80" s="621"/>
      <c r="AP80" s="621"/>
      <c r="AQ80" s="621"/>
      <c r="AR80" s="621"/>
      <c r="AS80" s="296"/>
      <c r="AT80" s="296"/>
    </row>
    <row r="81" spans="1:46" ht="16.5">
      <c r="A81" s="366"/>
      <c r="B81" s="359" t="s">
        <v>57</v>
      </c>
      <c r="C81" s="1042">
        <f t="shared" si="79"/>
        <v>217.00020000000001</v>
      </c>
      <c r="D81" s="1043"/>
      <c r="E81" s="1030">
        <f>+C81/7</f>
        <v>31.000028571428572</v>
      </c>
      <c r="F81" s="1031"/>
      <c r="G81" s="1044"/>
      <c r="H81" s="1045"/>
      <c r="I81" s="1032">
        <f t="shared" si="70"/>
        <v>3.8750035714285715</v>
      </c>
      <c r="J81" s="1033"/>
      <c r="K81" s="1034">
        <f t="shared" si="71"/>
        <v>930.00085714285717</v>
      </c>
      <c r="L81" s="1034"/>
      <c r="M81" s="6"/>
      <c r="N81" s="1050">
        <f>+I81/6*7</f>
        <v>4.5208375000000007</v>
      </c>
      <c r="O81" s="1051"/>
      <c r="P81" s="6"/>
      <c r="Q81" s="1048">
        <f t="shared" si="77"/>
        <v>1.3562464285714286</v>
      </c>
      <c r="R81" s="1049"/>
      <c r="U81" s="342">
        <f t="shared" si="74"/>
        <v>48</v>
      </c>
      <c r="V81" s="343">
        <v>48</v>
      </c>
      <c r="W81" s="344">
        <f>+V81-U81</f>
        <v>0</v>
      </c>
      <c r="X81" s="345">
        <f t="shared" si="75"/>
        <v>0</v>
      </c>
      <c r="Y81" s="1038">
        <f>+X81*Q81</f>
        <v>0</v>
      </c>
      <c r="Z81" s="1039"/>
      <c r="AA81" s="372"/>
      <c r="AB81" s="622"/>
      <c r="AC81" s="622"/>
      <c r="AD81" s="622"/>
      <c r="AE81" s="296"/>
      <c r="AF81" s="296"/>
      <c r="AG81" s="621"/>
      <c r="AH81" s="621"/>
      <c r="AI81" s="621"/>
      <c r="AJ81" s="621"/>
      <c r="AK81" s="620"/>
      <c r="AL81" s="620"/>
      <c r="AM81" s="620"/>
      <c r="AN81" s="620"/>
      <c r="AO81" s="620"/>
      <c r="AP81" s="620"/>
      <c r="AQ81" s="620"/>
      <c r="AR81" s="620"/>
      <c r="AS81" s="296"/>
      <c r="AT81" s="296"/>
    </row>
    <row r="82" spans="1:46" ht="16.5">
      <c r="A82" s="366"/>
      <c r="B82" s="359" t="s">
        <v>58</v>
      </c>
      <c r="C82" s="1042">
        <f t="shared" si="79"/>
        <v>217.00020000000001</v>
      </c>
      <c r="D82" s="1043"/>
      <c r="E82" s="1030">
        <f>+C82/7</f>
        <v>31.000028571428572</v>
      </c>
      <c r="F82" s="1031"/>
      <c r="G82" s="1044"/>
      <c r="H82" s="1045"/>
      <c r="I82" s="1032">
        <f t="shared" si="70"/>
        <v>3.8750035714285715</v>
      </c>
      <c r="J82" s="1033"/>
      <c r="K82" s="1034">
        <f t="shared" si="71"/>
        <v>930.00085714285717</v>
      </c>
      <c r="L82" s="1034"/>
      <c r="M82" s="6"/>
      <c r="N82" s="1050">
        <f>+I82/6*7</f>
        <v>4.5208375000000007</v>
      </c>
      <c r="O82" s="1051"/>
      <c r="P82" s="6"/>
      <c r="Q82" s="1048">
        <f t="shared" si="77"/>
        <v>1.3562464285714286</v>
      </c>
      <c r="R82" s="1049"/>
      <c r="U82" s="342">
        <f t="shared" si="74"/>
        <v>48</v>
      </c>
      <c r="V82" s="343">
        <v>48</v>
      </c>
      <c r="W82" s="344">
        <f>+V82-U82</f>
        <v>0</v>
      </c>
      <c r="X82" s="345">
        <f t="shared" si="75"/>
        <v>0</v>
      </c>
      <c r="Z82" s="372"/>
      <c r="AA82" s="372"/>
      <c r="AB82" s="622"/>
      <c r="AC82" s="622"/>
      <c r="AD82" s="622"/>
      <c r="AE82" s="296"/>
      <c r="AF82" s="296"/>
      <c r="AG82" s="621"/>
      <c r="AH82" s="621"/>
      <c r="AI82" s="621"/>
      <c r="AJ82" s="621"/>
      <c r="AK82" s="620"/>
      <c r="AL82" s="620"/>
      <c r="AM82" s="620"/>
      <c r="AN82" s="620"/>
      <c r="AO82" s="620"/>
      <c r="AP82" s="620"/>
      <c r="AQ82" s="620"/>
      <c r="AR82" s="620"/>
      <c r="AS82" s="296"/>
      <c r="AT82" s="296"/>
    </row>
    <row r="83" spans="1:46" ht="16.5">
      <c r="A83" s="366"/>
      <c r="B83" s="359" t="s">
        <v>59</v>
      </c>
      <c r="C83" s="1042">
        <f t="shared" si="79"/>
        <v>217.00020000000001</v>
      </c>
      <c r="D83" s="1043"/>
      <c r="E83" s="1030">
        <f>+C83/7</f>
        <v>31.000028571428572</v>
      </c>
      <c r="F83" s="1031"/>
      <c r="G83" s="1044"/>
      <c r="H83" s="1045"/>
      <c r="I83" s="1032">
        <f t="shared" si="70"/>
        <v>3.8750035714285715</v>
      </c>
      <c r="J83" s="1033"/>
      <c r="K83" s="1034">
        <f t="shared" si="71"/>
        <v>930.00085714285717</v>
      </c>
      <c r="L83" s="1034"/>
      <c r="M83" s="6"/>
      <c r="N83" s="1050">
        <f>+I83/6*7</f>
        <v>4.5208375000000007</v>
      </c>
      <c r="O83" s="1051"/>
      <c r="P83" s="6"/>
      <c r="Q83" s="1048">
        <f t="shared" si="77"/>
        <v>1.3562464285714286</v>
      </c>
      <c r="R83" s="1049"/>
      <c r="U83" s="342">
        <f t="shared" si="74"/>
        <v>40</v>
      </c>
      <c r="V83" s="343">
        <v>48</v>
      </c>
      <c r="W83" s="344">
        <f>+V83-U83</f>
        <v>8</v>
      </c>
      <c r="X83" s="345">
        <f t="shared" si="75"/>
        <v>0</v>
      </c>
      <c r="Z83" s="372"/>
      <c r="AA83" s="372"/>
      <c r="AB83" s="622"/>
      <c r="AC83" s="622"/>
      <c r="AD83" s="622"/>
      <c r="AE83" s="296"/>
      <c r="AF83" s="296"/>
      <c r="AG83" s="621"/>
      <c r="AH83" s="621"/>
      <c r="AI83" s="621"/>
      <c r="AJ83" s="621"/>
      <c r="AK83" s="621"/>
      <c r="AL83" s="621"/>
      <c r="AM83" s="621"/>
      <c r="AN83" s="621"/>
      <c r="AO83" s="621"/>
      <c r="AP83" s="621"/>
      <c r="AQ83" s="621"/>
      <c r="AR83" s="621"/>
      <c r="AS83" s="296"/>
      <c r="AT83" s="296"/>
    </row>
    <row r="84" spans="1:46" ht="16.5">
      <c r="A84" s="1">
        <v>2</v>
      </c>
      <c r="B84" s="340" t="s">
        <v>61</v>
      </c>
      <c r="C84" s="1040">
        <v>304.26666666666665</v>
      </c>
      <c r="D84" s="1041"/>
      <c r="E84" s="1030">
        <f>+C84/7</f>
        <v>43.466666666666661</v>
      </c>
      <c r="F84" s="1031"/>
      <c r="G84" s="341"/>
      <c r="H84" s="341"/>
      <c r="I84" s="1032">
        <f t="shared" si="70"/>
        <v>5.4333333333333327</v>
      </c>
      <c r="J84" s="1033"/>
      <c r="K84" s="1034">
        <f t="shared" si="71"/>
        <v>1303.9999999999998</v>
      </c>
      <c r="L84" s="1034"/>
      <c r="M84" s="6"/>
      <c r="N84" s="1035">
        <f t="shared" si="72"/>
        <v>6.3388888888888886</v>
      </c>
      <c r="O84" s="1035"/>
      <c r="P84" s="6"/>
      <c r="Q84" s="1036">
        <f t="shared" si="77"/>
        <v>-0.2020833333333325</v>
      </c>
      <c r="R84" s="1037"/>
      <c r="U84" s="342">
        <f t="shared" si="74"/>
        <v>48</v>
      </c>
      <c r="V84" s="343">
        <v>48</v>
      </c>
      <c r="W84" s="344">
        <f t="shared" si="73"/>
        <v>0</v>
      </c>
      <c r="X84" s="345">
        <f t="shared" si="75"/>
        <v>0</v>
      </c>
    </row>
    <row r="85" spans="1:46" ht="16.5">
      <c r="A85" s="366"/>
      <c r="B85" s="359" t="s">
        <v>63</v>
      </c>
      <c r="C85" s="1042">
        <f>6*3+7*(28.4286)</f>
        <v>217.00020000000001</v>
      </c>
      <c r="D85" s="1043"/>
      <c r="E85" s="1030">
        <f t="shared" ref="E85:E88" si="80">+C85/7</f>
        <v>31.000028571428572</v>
      </c>
      <c r="F85" s="1031"/>
      <c r="G85" s="1044"/>
      <c r="H85" s="1045"/>
      <c r="I85" s="1032">
        <f t="shared" si="70"/>
        <v>3.8750035714285715</v>
      </c>
      <c r="J85" s="1033"/>
      <c r="K85" s="1034">
        <f t="shared" si="71"/>
        <v>930.00085714285717</v>
      </c>
      <c r="L85" s="1034"/>
      <c r="M85" s="6"/>
      <c r="N85" s="1050">
        <f t="shared" si="72"/>
        <v>4.5208375000000007</v>
      </c>
      <c r="O85" s="1051"/>
      <c r="P85" s="6"/>
      <c r="Q85" s="1048">
        <f t="shared" si="77"/>
        <v>1.3562464285714286</v>
      </c>
      <c r="R85" s="1049"/>
      <c r="U85" s="342">
        <f t="shared" si="74"/>
        <v>64</v>
      </c>
      <c r="V85" s="343">
        <v>48</v>
      </c>
      <c r="W85" s="344">
        <f t="shared" si="73"/>
        <v>-16</v>
      </c>
      <c r="X85" s="345">
        <f t="shared" si="75"/>
        <v>0</v>
      </c>
      <c r="Z85" s="372"/>
      <c r="AA85" s="372"/>
      <c r="AB85" s="622"/>
      <c r="AC85" s="622"/>
      <c r="AD85" s="622"/>
      <c r="AE85" s="296"/>
      <c r="AF85" s="296"/>
      <c r="AG85" s="621"/>
      <c r="AH85" s="621"/>
      <c r="AI85" s="621"/>
      <c r="AJ85" s="621"/>
      <c r="AK85" s="620"/>
      <c r="AL85" s="620"/>
      <c r="AM85" s="620"/>
      <c r="AN85" s="620"/>
      <c r="AO85" s="620"/>
      <c r="AP85" s="620"/>
      <c r="AQ85" s="620"/>
      <c r="AR85" s="620"/>
      <c r="AS85" s="296"/>
      <c r="AT85" s="296"/>
    </row>
    <row r="86" spans="1:46" ht="16.5">
      <c r="A86" s="366"/>
      <c r="B86" s="359" t="s">
        <v>64</v>
      </c>
      <c r="C86" s="1042">
        <f>6*3+7*(28.4286)</f>
        <v>217.00020000000001</v>
      </c>
      <c r="D86" s="1043"/>
      <c r="E86" s="1030">
        <f t="shared" si="80"/>
        <v>31.000028571428572</v>
      </c>
      <c r="F86" s="1031"/>
      <c r="G86" s="1044"/>
      <c r="H86" s="1045"/>
      <c r="I86" s="1032">
        <f t="shared" si="70"/>
        <v>3.8750035714285715</v>
      </c>
      <c r="J86" s="1033"/>
      <c r="K86" s="1034">
        <f t="shared" si="71"/>
        <v>930.00085714285717</v>
      </c>
      <c r="L86" s="1034"/>
      <c r="M86" s="6"/>
      <c r="N86" s="1050">
        <f t="shared" si="72"/>
        <v>4.5208375000000007</v>
      </c>
      <c r="O86" s="1051"/>
      <c r="P86" s="6"/>
      <c r="Q86" s="1048">
        <f t="shared" si="77"/>
        <v>1.3562464285714286</v>
      </c>
      <c r="R86" s="1049"/>
      <c r="U86" s="342">
        <f t="shared" si="74"/>
        <v>40</v>
      </c>
      <c r="V86" s="343">
        <v>48</v>
      </c>
      <c r="W86" s="344">
        <f t="shared" si="73"/>
        <v>8</v>
      </c>
      <c r="X86" s="345">
        <f t="shared" si="75"/>
        <v>0</v>
      </c>
      <c r="Z86" s="372"/>
      <c r="AA86" s="372"/>
      <c r="AB86" s="622"/>
      <c r="AC86" s="622"/>
      <c r="AD86" s="622"/>
      <c r="AE86" s="296"/>
      <c r="AF86" s="296"/>
      <c r="AG86" s="621"/>
      <c r="AH86" s="621"/>
      <c r="AI86" s="621"/>
      <c r="AJ86" s="621"/>
      <c r="AK86" s="620"/>
      <c r="AL86" s="620"/>
      <c r="AM86" s="620"/>
      <c r="AN86" s="620"/>
      <c r="AO86" s="620"/>
      <c r="AP86" s="620"/>
      <c r="AQ86" s="620"/>
      <c r="AR86" s="620"/>
      <c r="AS86" s="296"/>
      <c r="AT86" s="296"/>
    </row>
    <row r="87" spans="1:46" ht="16.5">
      <c r="A87" s="366"/>
      <c r="B87" s="359" t="s">
        <v>143</v>
      </c>
      <c r="C87" s="1028">
        <f>+G87*6</f>
        <v>198</v>
      </c>
      <c r="D87" s="1029"/>
      <c r="E87" s="1030">
        <f t="shared" si="80"/>
        <v>28.285714285714285</v>
      </c>
      <c r="F87" s="1031"/>
      <c r="G87" s="1044">
        <v>33</v>
      </c>
      <c r="H87" s="1045"/>
      <c r="I87" s="1032">
        <f>+G87/8</f>
        <v>4.125</v>
      </c>
      <c r="J87" s="1033"/>
      <c r="K87" s="1034">
        <f>+G87*30</f>
        <v>990</v>
      </c>
      <c r="L87" s="1034"/>
      <c r="M87" s="6"/>
      <c r="N87" s="1050">
        <f t="shared" si="72"/>
        <v>4.8125</v>
      </c>
      <c r="O87" s="1051"/>
      <c r="P87" s="6"/>
      <c r="Q87" s="1048">
        <f t="shared" si="77"/>
        <v>1.1062500000000002</v>
      </c>
      <c r="R87" s="1049"/>
      <c r="U87" s="342">
        <f t="shared" si="74"/>
        <v>48</v>
      </c>
      <c r="V87" s="343">
        <v>48</v>
      </c>
      <c r="W87" s="344">
        <f t="shared" si="73"/>
        <v>0</v>
      </c>
      <c r="X87" s="345">
        <f t="shared" si="75"/>
        <v>0</v>
      </c>
      <c r="Z87" s="372"/>
      <c r="AA87" s="372"/>
      <c r="AB87" s="622"/>
      <c r="AC87" s="622"/>
      <c r="AD87" s="622"/>
      <c r="AE87" s="296"/>
      <c r="AF87" s="296"/>
      <c r="AG87" s="621"/>
      <c r="AH87" s="621"/>
      <c r="AI87" s="621"/>
      <c r="AJ87" s="621"/>
      <c r="AK87" s="620"/>
      <c r="AL87" s="620"/>
      <c r="AM87" s="620"/>
      <c r="AN87" s="620"/>
      <c r="AO87" s="620"/>
      <c r="AP87" s="620"/>
      <c r="AQ87" s="620"/>
      <c r="AR87" s="620"/>
      <c r="AS87" s="296"/>
      <c r="AT87" s="296"/>
    </row>
    <row r="88" spans="1:46" ht="16.5">
      <c r="B88" s="375" t="s">
        <v>65</v>
      </c>
      <c r="C88" s="1054">
        <f>6*3+7*(G88)</f>
        <v>548.33330000000001</v>
      </c>
      <c r="D88" s="1055"/>
      <c r="E88" s="1056">
        <f t="shared" si="80"/>
        <v>78.333328571428567</v>
      </c>
      <c r="F88" s="1057"/>
      <c r="G88" s="1058">
        <v>75.761899999999997</v>
      </c>
      <c r="H88" s="1059"/>
      <c r="I88" s="1060">
        <f>+E88/8</f>
        <v>9.7916660714285708</v>
      </c>
      <c r="J88" s="1061"/>
      <c r="K88" s="1062">
        <f>+E88*30</f>
        <v>2349.9998571428569</v>
      </c>
      <c r="L88" s="1063"/>
      <c r="M88" s="6"/>
      <c r="N88" s="1035">
        <f t="shared" si="72"/>
        <v>11.423610416666666</v>
      </c>
      <c r="O88" s="1035"/>
      <c r="P88" s="6"/>
      <c r="Q88" s="1048">
        <f t="shared" si="77"/>
        <v>-4.5604160714285706</v>
      </c>
      <c r="R88" s="1049"/>
      <c r="U88" s="342">
        <f t="shared" si="74"/>
        <v>0</v>
      </c>
      <c r="V88" s="343">
        <v>48</v>
      </c>
      <c r="W88" s="344">
        <f t="shared" si="73"/>
        <v>48</v>
      </c>
      <c r="X88" s="345">
        <f t="shared" si="75"/>
        <v>0</v>
      </c>
      <c r="Z88" s="372"/>
      <c r="AA88" s="372"/>
      <c r="AB88" s="622"/>
      <c r="AC88" s="622"/>
      <c r="AD88" s="622"/>
      <c r="AE88" s="296"/>
      <c r="AF88" s="296"/>
      <c r="AG88" s="621"/>
      <c r="AH88" s="621"/>
      <c r="AI88" s="621"/>
      <c r="AJ88" s="621"/>
      <c r="AK88" s="621"/>
      <c r="AL88" s="621"/>
      <c r="AM88" s="621"/>
      <c r="AN88" s="621"/>
      <c r="AO88" s="621"/>
      <c r="AP88" s="621"/>
      <c r="AQ88" s="296"/>
      <c r="AR88" s="296"/>
      <c r="AS88" s="296"/>
      <c r="AT88" s="296"/>
    </row>
    <row r="89" spans="1:46">
      <c r="AE89" s="376"/>
      <c r="AF89" s="376"/>
      <c r="AJ89" s="376"/>
      <c r="AK89" s="376"/>
    </row>
    <row r="90" spans="1:46" ht="26.25" thickBot="1">
      <c r="B90" s="377" t="s">
        <v>66</v>
      </c>
      <c r="H90" s="1052">
        <v>43191</v>
      </c>
      <c r="I90" s="1052"/>
      <c r="J90" s="1052"/>
      <c r="K90" s="1052"/>
      <c r="L90" s="1052"/>
      <c r="M90" s="1052"/>
      <c r="N90" s="1052"/>
      <c r="AD90" s="378"/>
      <c r="AE90" s="378"/>
      <c r="AF90" s="378"/>
      <c r="AG90" s="167"/>
      <c r="AH90" s="167"/>
      <c r="AI90" s="167"/>
      <c r="AJ90" s="376"/>
      <c r="AK90" s="376"/>
    </row>
    <row r="91" spans="1:46" ht="16.5" thickBot="1">
      <c r="B91" s="379">
        <v>1100</v>
      </c>
      <c r="C91" s="240" t="s">
        <v>67</v>
      </c>
      <c r="AD91" s="296"/>
      <c r="AE91" s="296"/>
      <c r="AF91" s="296"/>
      <c r="AG91" s="296"/>
      <c r="AH91" s="296"/>
      <c r="AI91" s="296"/>
      <c r="AJ91" s="296"/>
      <c r="AK91" s="296"/>
      <c r="AL91" s="296"/>
      <c r="AM91" s="296"/>
      <c r="AN91" s="296"/>
      <c r="AO91" s="296"/>
      <c r="AP91" s="267"/>
      <c r="AQ91" s="267"/>
      <c r="AR91" s="267"/>
      <c r="AS91" s="267"/>
      <c r="AT91" s="267"/>
    </row>
    <row r="92" spans="1:46" ht="15.75">
      <c r="B92" s="168">
        <f>+B91/30*7</f>
        <v>256.66666666666663</v>
      </c>
      <c r="C92" s="240" t="s">
        <v>68</v>
      </c>
      <c r="D92" s="380"/>
      <c r="O92" s="1053" t="s">
        <v>69</v>
      </c>
      <c r="P92" s="1053"/>
      <c r="Q92" s="1053"/>
      <c r="R92" s="1053"/>
      <c r="S92" s="1053"/>
      <c r="T92" s="1053"/>
      <c r="U92" s="1053"/>
      <c r="V92" s="1053"/>
      <c r="W92" s="1053"/>
      <c r="X92" s="1053"/>
      <c r="Y92" s="1053"/>
      <c r="Z92" s="1053"/>
      <c r="AD92" s="296"/>
      <c r="AE92" s="621"/>
      <c r="AF92" s="621"/>
      <c r="AG92" s="296"/>
      <c r="AH92" s="296"/>
      <c r="AI92" s="296"/>
      <c r="AJ92" s="621"/>
      <c r="AK92" s="621"/>
      <c r="AL92" s="296"/>
      <c r="AM92" s="296"/>
      <c r="AN92" s="296"/>
      <c r="AO92" s="296"/>
      <c r="AP92" s="267"/>
      <c r="AQ92" s="267"/>
      <c r="AR92" s="267"/>
      <c r="AS92" s="267"/>
      <c r="AT92" s="267"/>
    </row>
    <row r="93" spans="1:46">
      <c r="B93" s="168">
        <f>+B92-18</f>
        <v>238.66666666666663</v>
      </c>
      <c r="C93" s="240" t="s">
        <v>70</v>
      </c>
      <c r="O93" s="1053">
        <f>+B91</f>
        <v>1100</v>
      </c>
      <c r="P93" s="1053"/>
      <c r="Q93" s="1053" t="s">
        <v>71</v>
      </c>
      <c r="R93" s="1053"/>
      <c r="S93" s="1053"/>
      <c r="T93" s="1053"/>
      <c r="U93" s="1053"/>
      <c r="V93" s="1053"/>
      <c r="W93" s="1053"/>
      <c r="X93" s="1053"/>
      <c r="Y93" s="1053"/>
      <c r="Z93" s="1053"/>
      <c r="AA93" s="7" t="s">
        <v>72</v>
      </c>
      <c r="AD93" s="296"/>
      <c r="AE93" s="621"/>
      <c r="AF93" s="621"/>
      <c r="AG93" s="296"/>
      <c r="AH93" s="296"/>
      <c r="AI93" s="296"/>
      <c r="AJ93" s="621"/>
      <c r="AK93" s="621"/>
      <c r="AL93" s="296"/>
      <c r="AM93" s="296"/>
      <c r="AN93" s="296"/>
      <c r="AO93" s="296"/>
      <c r="AP93" s="267"/>
      <c r="AQ93" s="267"/>
      <c r="AR93" s="267"/>
      <c r="AS93" s="267"/>
      <c r="AT93" s="267"/>
    </row>
    <row r="94" spans="1:46">
      <c r="B94" s="381">
        <f>+B93/7+0</f>
        <v>34.095238095238088</v>
      </c>
      <c r="C94" s="382" t="s">
        <v>73</v>
      </c>
      <c r="D94" s="383"/>
      <c r="O94" s="1053">
        <f>+O93/30*7</f>
        <v>256.66666666666663</v>
      </c>
      <c r="P94" s="1053"/>
      <c r="Q94" s="1053" t="s">
        <v>74</v>
      </c>
      <c r="R94" s="1053"/>
      <c r="S94" s="1053"/>
      <c r="T94" s="1053"/>
      <c r="U94" s="1053"/>
      <c r="V94" s="1053"/>
      <c r="W94" s="1053"/>
      <c r="X94" s="1053"/>
      <c r="Y94" s="1053"/>
      <c r="Z94" s="1053"/>
      <c r="AA94" s="1064">
        <f>+O94*0.87</f>
        <v>223.29999999999995</v>
      </c>
      <c r="AB94" s="1064"/>
      <c r="AD94" s="296"/>
      <c r="AE94" s="384"/>
      <c r="AF94" s="384"/>
      <c r="AG94" s="296"/>
      <c r="AH94" s="296"/>
      <c r="AI94" s="296"/>
      <c r="AJ94" s="384"/>
      <c r="AK94" s="384"/>
      <c r="AL94" s="385"/>
      <c r="AM94" s="385"/>
      <c r="AN94" s="385"/>
      <c r="AO94" s="385"/>
      <c r="AP94" s="386"/>
      <c r="AQ94" s="386"/>
      <c r="AR94" s="267"/>
      <c r="AS94" s="267"/>
      <c r="AT94" s="267"/>
    </row>
    <row r="95" spans="1:46">
      <c r="O95" s="1053">
        <f>+O94/7</f>
        <v>36.666666666666664</v>
      </c>
      <c r="P95" s="1053"/>
      <c r="Q95" s="1053" t="s">
        <v>75</v>
      </c>
      <c r="R95" s="1053"/>
      <c r="S95" s="1053"/>
      <c r="T95" s="1053"/>
      <c r="U95" s="1053"/>
      <c r="V95" s="1053"/>
      <c r="W95" s="1053"/>
      <c r="X95" s="1053"/>
      <c r="Y95" s="1053"/>
      <c r="Z95" s="1053"/>
      <c r="AD95" s="296"/>
      <c r="AE95" s="621"/>
      <c r="AF95" s="621"/>
      <c r="AG95" s="296"/>
      <c r="AH95" s="296"/>
      <c r="AI95" s="296"/>
      <c r="AJ95" s="621"/>
      <c r="AK95" s="621"/>
      <c r="AL95" s="387"/>
      <c r="AM95" s="387"/>
      <c r="AN95" s="385"/>
      <c r="AO95" s="385"/>
      <c r="AP95" s="386"/>
      <c r="AQ95" s="386"/>
      <c r="AR95" s="267"/>
      <c r="AS95" s="267"/>
      <c r="AT95" s="267"/>
    </row>
    <row r="96" spans="1:46" ht="15.75">
      <c r="B96" s="388">
        <f>+B94</f>
        <v>34.095238095238088</v>
      </c>
      <c r="C96" s="389" t="s">
        <v>76</v>
      </c>
      <c r="D96" s="390"/>
      <c r="E96" s="390"/>
      <c r="F96" s="390"/>
      <c r="O96" s="1065">
        <f>(O94-18)/7</f>
        <v>34.095238095238088</v>
      </c>
      <c r="P96" s="1065"/>
      <c r="Q96" s="1065" t="s">
        <v>77</v>
      </c>
      <c r="R96" s="1065"/>
      <c r="S96" s="1065"/>
      <c r="T96" s="1065"/>
      <c r="U96" s="1065"/>
      <c r="V96" s="1065"/>
      <c r="W96" s="1065"/>
      <c r="X96" s="1065"/>
      <c r="Y96" s="1065"/>
      <c r="Z96" s="1065"/>
      <c r="AD96" s="296"/>
      <c r="AE96" s="391"/>
      <c r="AF96" s="391"/>
      <c r="AG96" s="392"/>
      <c r="AH96" s="392"/>
      <c r="AI96" s="392"/>
      <c r="AJ96" s="391"/>
      <c r="AK96" s="391"/>
      <c r="AL96" s="385"/>
      <c r="AM96" s="385"/>
      <c r="AN96" s="385"/>
      <c r="AO96" s="385"/>
      <c r="AP96" s="386"/>
      <c r="AQ96" s="386"/>
      <c r="AR96" s="267"/>
      <c r="AS96" s="267"/>
      <c r="AT96" s="267"/>
    </row>
    <row r="97" spans="2:46">
      <c r="B97" s="168">
        <v>3</v>
      </c>
      <c r="C97" s="240" t="s">
        <v>78</v>
      </c>
      <c r="O97" s="1053">
        <v>3</v>
      </c>
      <c r="P97" s="1053"/>
      <c r="Q97" s="1053" t="s">
        <v>79</v>
      </c>
      <c r="R97" s="1053"/>
      <c r="S97" s="1053"/>
      <c r="T97" s="1053"/>
      <c r="U97" s="1053"/>
      <c r="V97" s="1053"/>
      <c r="W97" s="1053"/>
      <c r="X97" s="1053"/>
      <c r="Y97" s="1053"/>
      <c r="Z97" s="1053"/>
      <c r="AD97" s="296"/>
      <c r="AE97" s="296"/>
      <c r="AF97" s="391"/>
      <c r="AG97" s="392"/>
      <c r="AH97" s="392"/>
      <c r="AI97" s="392"/>
      <c r="AJ97" s="391"/>
      <c r="AK97" s="296"/>
      <c r="AL97" s="385"/>
      <c r="AM97" s="385"/>
      <c r="AN97" s="385"/>
      <c r="AO97" s="385"/>
      <c r="AP97" s="386"/>
      <c r="AQ97" s="386"/>
      <c r="AR97" s="267"/>
      <c r="AS97" s="267"/>
      <c r="AT97" s="267"/>
    </row>
    <row r="98" spans="2:46">
      <c r="B98" s="381">
        <f>+B97+B96</f>
        <v>37.095238095238088</v>
      </c>
      <c r="C98" s="382" t="s">
        <v>80</v>
      </c>
      <c r="D98" s="393"/>
      <c r="E98" s="394"/>
      <c r="F98" s="395"/>
      <c r="G98" s="393"/>
      <c r="H98" s="393"/>
      <c r="I98" s="395"/>
      <c r="J98" s="393"/>
      <c r="K98" s="396"/>
      <c r="L98" s="396"/>
      <c r="M98" s="383"/>
      <c r="O98" s="1053">
        <f>+O97+O96</f>
        <v>37.095238095238088</v>
      </c>
      <c r="P98" s="1053"/>
      <c r="AD98" s="296"/>
      <c r="AE98" s="621"/>
      <c r="AF98" s="621"/>
      <c r="AG98" s="296"/>
      <c r="AH98" s="296"/>
      <c r="AI98" s="296"/>
      <c r="AJ98" s="621"/>
      <c r="AK98" s="621"/>
      <c r="AL98" s="387"/>
      <c r="AM98" s="387"/>
      <c r="AN98" s="387"/>
      <c r="AO98" s="387"/>
      <c r="AP98" s="397"/>
      <c r="AQ98" s="267"/>
      <c r="AR98" s="267"/>
      <c r="AS98" s="267"/>
      <c r="AT98" s="267"/>
    </row>
    <row r="99" spans="2:46">
      <c r="B99" s="168"/>
      <c r="AD99" s="296"/>
      <c r="AE99" s="398"/>
      <c r="AF99" s="398"/>
      <c r="AG99" s="398"/>
      <c r="AH99" s="296"/>
      <c r="AI99" s="296"/>
      <c r="AJ99" s="398"/>
      <c r="AK99" s="398"/>
      <c r="AL99" s="385"/>
      <c r="AM99" s="296"/>
      <c r="AN99" s="296"/>
      <c r="AO99" s="296"/>
      <c r="AP99" s="267"/>
      <c r="AQ99" s="267"/>
      <c r="AR99" s="267"/>
      <c r="AS99" s="267"/>
      <c r="AT99" s="267"/>
    </row>
    <row r="100" spans="2:46">
      <c r="B100" s="168">
        <f>+B98*6</f>
        <v>222.57142857142853</v>
      </c>
      <c r="C100" s="240" t="s">
        <v>81</v>
      </c>
      <c r="O100" s="1053" t="s">
        <v>82</v>
      </c>
      <c r="P100" s="1053"/>
      <c r="Q100" s="1053"/>
      <c r="R100" s="1053"/>
      <c r="S100" s="1053"/>
      <c r="T100" s="1053"/>
      <c r="U100" s="1053"/>
      <c r="V100" s="1053"/>
      <c r="W100" s="1053"/>
      <c r="X100" s="1053"/>
      <c r="Y100" s="1053"/>
      <c r="Z100" s="1053"/>
      <c r="AD100" s="296"/>
      <c r="AE100" s="296"/>
      <c r="AF100" s="296"/>
      <c r="AG100" s="296"/>
      <c r="AH100" s="296"/>
      <c r="AI100" s="385"/>
      <c r="AJ100" s="385"/>
      <c r="AK100" s="387"/>
      <c r="AL100" s="620"/>
      <c r="AM100" s="621"/>
      <c r="AN100" s="620"/>
      <c r="AO100" s="296"/>
      <c r="AP100" s="267"/>
      <c r="AQ100" s="267"/>
      <c r="AR100" s="267"/>
      <c r="AS100" s="267"/>
      <c r="AT100" s="267"/>
    </row>
    <row r="101" spans="2:46">
      <c r="B101" s="399">
        <f>+B96</f>
        <v>34.095238095238088</v>
      </c>
      <c r="C101" s="400" t="s">
        <v>83</v>
      </c>
      <c r="D101" s="401"/>
      <c r="E101" s="402"/>
      <c r="F101" s="403"/>
      <c r="G101" s="401"/>
      <c r="H101" s="401"/>
      <c r="I101" s="403"/>
      <c r="J101" s="401"/>
      <c r="K101" s="404"/>
      <c r="L101" s="405"/>
      <c r="O101" s="1053">
        <f>+O93*1.1</f>
        <v>1210</v>
      </c>
      <c r="P101" s="1053"/>
      <c r="Q101" s="1053" t="s">
        <v>71</v>
      </c>
      <c r="R101" s="1053"/>
      <c r="S101" s="1053"/>
      <c r="T101" s="1053"/>
      <c r="U101" s="1053"/>
      <c r="V101" s="1053"/>
      <c r="W101" s="1053"/>
      <c r="X101" s="1053"/>
      <c r="Y101" s="1053"/>
      <c r="Z101" s="1053"/>
      <c r="AA101" s="7" t="s">
        <v>84</v>
      </c>
      <c r="AG101" s="267"/>
      <c r="AH101" s="267"/>
      <c r="AI101" s="386"/>
      <c r="AJ101" s="386"/>
      <c r="AK101" s="386"/>
      <c r="AL101" s="267"/>
      <c r="AM101" s="267"/>
      <c r="AN101" s="267"/>
      <c r="AO101" s="267"/>
    </row>
    <row r="102" spans="2:46">
      <c r="B102" s="381">
        <f>+B101+B100</f>
        <v>256.66666666666663</v>
      </c>
      <c r="C102" s="382" t="s">
        <v>85</v>
      </c>
      <c r="D102" s="393"/>
      <c r="E102" s="394"/>
      <c r="F102" s="395"/>
      <c r="G102" s="393"/>
      <c r="H102" s="393"/>
      <c r="I102" s="395"/>
      <c r="J102" s="393"/>
      <c r="K102" s="406"/>
      <c r="L102" s="405"/>
      <c r="O102" s="1053">
        <f>+O101/30*7</f>
        <v>282.33333333333337</v>
      </c>
      <c r="P102" s="1053"/>
      <c r="Q102" s="1053" t="s">
        <v>74</v>
      </c>
      <c r="R102" s="1053"/>
      <c r="S102" s="1053"/>
      <c r="T102" s="1053"/>
      <c r="U102" s="1053"/>
      <c r="V102" s="1053"/>
      <c r="W102" s="1053"/>
      <c r="X102" s="1053"/>
      <c r="Y102" s="1053"/>
      <c r="Z102" s="1053"/>
      <c r="AA102" s="1064">
        <f>+O102*0.87</f>
        <v>245.63000000000002</v>
      </c>
      <c r="AB102" s="1064"/>
      <c r="AG102" s="267"/>
      <c r="AH102" s="267"/>
      <c r="AI102" s="386"/>
      <c r="AJ102" s="386"/>
      <c r="AK102" s="407"/>
      <c r="AL102" s="267"/>
      <c r="AM102" s="267"/>
      <c r="AN102" s="267"/>
      <c r="AO102" s="267"/>
    </row>
    <row r="103" spans="2:46">
      <c r="B103" s="408"/>
      <c r="C103" s="409"/>
      <c r="D103" s="333"/>
      <c r="E103" s="410"/>
      <c r="F103" s="411"/>
      <c r="G103" s="333"/>
      <c r="H103" s="333"/>
      <c r="I103" s="411"/>
      <c r="J103" s="333"/>
      <c r="K103" s="405"/>
      <c r="L103" s="405"/>
      <c r="O103" s="1053">
        <f>+O102/7</f>
        <v>40.333333333333336</v>
      </c>
      <c r="P103" s="1053"/>
      <c r="Q103" s="1053" t="s">
        <v>75</v>
      </c>
      <c r="R103" s="1053"/>
      <c r="S103" s="1053"/>
      <c r="T103" s="1053"/>
      <c r="U103" s="1053"/>
      <c r="V103" s="1053"/>
      <c r="W103" s="1053"/>
      <c r="X103" s="1053"/>
      <c r="Y103" s="1053"/>
      <c r="Z103" s="1053"/>
      <c r="AG103" s="267"/>
      <c r="AH103" s="267"/>
      <c r="AI103" s="412"/>
      <c r="AJ103" s="413"/>
      <c r="AK103" s="407"/>
      <c r="AL103" s="267"/>
      <c r="AM103" s="267"/>
      <c r="AN103" s="267"/>
      <c r="AO103" s="267"/>
    </row>
    <row r="104" spans="2:46" ht="15.75">
      <c r="B104" s="414">
        <f>+B102/7</f>
        <v>36.666666666666664</v>
      </c>
      <c r="C104" s="415" t="s">
        <v>86</v>
      </c>
      <c r="D104" s="416"/>
      <c r="E104" s="417"/>
      <c r="F104" s="418"/>
      <c r="G104" s="419"/>
      <c r="H104" s="419"/>
      <c r="I104" s="411"/>
      <c r="J104" s="333"/>
      <c r="K104" s="405"/>
      <c r="L104" s="405"/>
      <c r="O104" s="1065">
        <f>(O102-18)/7</f>
        <v>37.761904761904766</v>
      </c>
      <c r="P104" s="1065"/>
      <c r="Q104" s="1065" t="s">
        <v>77</v>
      </c>
      <c r="R104" s="1065"/>
      <c r="S104" s="1065"/>
      <c r="T104" s="1065"/>
      <c r="U104" s="1065"/>
      <c r="V104" s="1065"/>
      <c r="W104" s="1065"/>
      <c r="X104" s="1065"/>
      <c r="Y104" s="1065"/>
      <c r="Z104" s="1065"/>
      <c r="AG104" s="267"/>
      <c r="AH104" s="267"/>
      <c r="AI104" s="267"/>
      <c r="AJ104" s="267"/>
      <c r="AK104" s="407"/>
      <c r="AL104" s="267"/>
      <c r="AM104" s="267"/>
      <c r="AN104" s="267"/>
      <c r="AO104" s="267"/>
    </row>
    <row r="105" spans="2:46">
      <c r="B105" s="408"/>
      <c r="C105" s="409"/>
      <c r="D105" s="333"/>
      <c r="E105" s="410"/>
      <c r="F105" s="411"/>
      <c r="G105" s="333"/>
      <c r="H105" s="333"/>
      <c r="I105" s="411"/>
      <c r="J105" s="333"/>
      <c r="K105" s="405"/>
      <c r="L105" s="405"/>
      <c r="O105" s="1053">
        <v>3</v>
      </c>
      <c r="P105" s="1053"/>
      <c r="Q105" s="1053" t="s">
        <v>79</v>
      </c>
      <c r="R105" s="1053"/>
      <c r="S105" s="1053"/>
      <c r="T105" s="1053"/>
      <c r="U105" s="1053"/>
      <c r="V105" s="1053"/>
      <c r="W105" s="1053"/>
      <c r="X105" s="1053"/>
      <c r="Y105" s="1053"/>
      <c r="Z105" s="1053"/>
      <c r="AG105" s="267"/>
      <c r="AH105" s="267"/>
      <c r="AI105" s="267"/>
      <c r="AJ105" s="267"/>
      <c r="AK105" s="267"/>
      <c r="AL105" s="267"/>
      <c r="AM105" s="267"/>
      <c r="AN105" s="267"/>
      <c r="AO105" s="267"/>
    </row>
    <row r="106" spans="2:46">
      <c r="B106" s="408"/>
      <c r="C106" s="409"/>
      <c r="D106" s="333"/>
      <c r="E106" s="410"/>
      <c r="F106" s="411"/>
      <c r="G106" s="333"/>
      <c r="H106" s="333"/>
      <c r="I106" s="411"/>
      <c r="J106" s="333"/>
      <c r="K106" s="405"/>
      <c r="L106" s="405"/>
      <c r="O106" s="1053">
        <f>+O105+O104</f>
        <v>40.761904761904766</v>
      </c>
      <c r="P106" s="1053"/>
      <c r="AG106" s="267"/>
      <c r="AH106" s="267"/>
      <c r="AI106" s="267"/>
      <c r="AJ106" s="267"/>
      <c r="AK106" s="267"/>
      <c r="AL106" s="267"/>
      <c r="AM106" s="267"/>
      <c r="AN106" s="267"/>
      <c r="AO106" s="267"/>
    </row>
    <row r="107" spans="2:46">
      <c r="AG107" s="267"/>
      <c r="AH107" s="267"/>
      <c r="AI107" s="267"/>
      <c r="AJ107" s="267"/>
      <c r="AK107" s="267"/>
      <c r="AL107" s="267"/>
      <c r="AM107" s="267"/>
      <c r="AN107" s="267"/>
      <c r="AO107" s="267"/>
    </row>
    <row r="108" spans="2:46" ht="26.25" thickBot="1">
      <c r="B108" s="377" t="s">
        <v>87</v>
      </c>
      <c r="H108" s="1052">
        <v>43167</v>
      </c>
      <c r="I108" s="1052"/>
      <c r="J108" s="1052"/>
      <c r="K108" s="1052"/>
      <c r="L108" s="1052"/>
      <c r="M108" s="1052"/>
      <c r="N108" s="1052"/>
      <c r="O108" s="420" t="s">
        <v>88</v>
      </c>
      <c r="P108" s="421"/>
      <c r="Q108" s="422"/>
      <c r="AG108" s="267"/>
      <c r="AH108" s="267"/>
      <c r="AI108" s="267"/>
      <c r="AJ108" s="267"/>
      <c r="AK108" s="267"/>
      <c r="AL108" s="267"/>
      <c r="AM108" s="267"/>
      <c r="AN108" s="267"/>
      <c r="AO108" s="267"/>
    </row>
    <row r="109" spans="2:46" ht="16.5" thickBot="1">
      <c r="B109" s="379">
        <v>850</v>
      </c>
      <c r="C109" s="240" t="s">
        <v>67</v>
      </c>
      <c r="AD109" s="296"/>
      <c r="AE109" s="296"/>
      <c r="AF109" s="296"/>
      <c r="AG109" s="296"/>
      <c r="AH109" s="296"/>
      <c r="AI109" s="296"/>
      <c r="AJ109" s="296"/>
      <c r="AK109" s="296"/>
      <c r="AL109" s="296"/>
      <c r="AM109" s="296"/>
      <c r="AN109" s="296"/>
      <c r="AO109" s="296"/>
      <c r="AP109" s="267"/>
      <c r="AQ109" s="267"/>
      <c r="AR109" s="267"/>
      <c r="AS109" s="267"/>
      <c r="AT109" s="267"/>
    </row>
    <row r="110" spans="2:46" ht="15.75">
      <c r="B110" s="423">
        <f>+B109/30*7</f>
        <v>198.33333333333331</v>
      </c>
      <c r="C110" s="240" t="s">
        <v>68</v>
      </c>
      <c r="D110" s="380"/>
      <c r="O110" s="1053" t="s">
        <v>69</v>
      </c>
      <c r="P110" s="1053"/>
      <c r="Q110" s="1053"/>
      <c r="R110" s="1053"/>
      <c r="S110" s="1053"/>
      <c r="T110" s="1053"/>
      <c r="U110" s="1053"/>
      <c r="V110" s="1053"/>
      <c r="W110" s="1053"/>
      <c r="X110" s="1053"/>
      <c r="Y110" s="1053"/>
      <c r="Z110" s="1053"/>
      <c r="AD110" s="296"/>
      <c r="AE110" s="621"/>
      <c r="AF110" s="621"/>
      <c r="AG110" s="296"/>
      <c r="AH110" s="296"/>
      <c r="AI110" s="296"/>
      <c r="AJ110" s="621"/>
      <c r="AK110" s="621"/>
      <c r="AL110" s="296"/>
      <c r="AM110" s="296"/>
      <c r="AN110" s="296"/>
      <c r="AO110" s="296"/>
      <c r="AP110" s="267"/>
      <c r="AQ110" s="267"/>
      <c r="AR110" s="267"/>
      <c r="AS110" s="267"/>
      <c r="AT110" s="267"/>
    </row>
    <row r="111" spans="2:46">
      <c r="B111" s="423">
        <f>+B110-18</f>
        <v>180.33333333333331</v>
      </c>
      <c r="C111" s="240" t="s">
        <v>70</v>
      </c>
      <c r="O111" s="1053">
        <f>+B109</f>
        <v>850</v>
      </c>
      <c r="P111" s="1053"/>
      <c r="Q111" s="1053" t="s">
        <v>71</v>
      </c>
      <c r="R111" s="1053"/>
      <c r="S111" s="1053"/>
      <c r="T111" s="1053"/>
      <c r="U111" s="1053"/>
      <c r="V111" s="1053"/>
      <c r="W111" s="1053"/>
      <c r="X111" s="1053"/>
      <c r="Y111" s="1053"/>
      <c r="Z111" s="1053"/>
      <c r="AA111" s="7" t="s">
        <v>72</v>
      </c>
      <c r="AD111" s="296"/>
      <c r="AE111" s="996">
        <v>198.32</v>
      </c>
      <c r="AF111" s="996"/>
      <c r="AG111" s="996"/>
      <c r="AH111" s="296"/>
      <c r="AI111" s="996"/>
      <c r="AJ111" s="996"/>
      <c r="AK111" s="996"/>
      <c r="AL111" s="1068">
        <f>+AL112+AL113</f>
        <v>192.18149689334777</v>
      </c>
      <c r="AM111" s="1068"/>
      <c r="AN111" s="1068"/>
      <c r="AO111" s="1068">
        <f>+AL111-18</f>
        <v>174.18149689334777</v>
      </c>
      <c r="AP111" s="1068"/>
      <c r="AQ111" s="1068"/>
      <c r="AR111" s="267"/>
      <c r="AS111" s="267"/>
      <c r="AT111" s="267"/>
    </row>
    <row r="112" spans="2:46">
      <c r="B112" s="424">
        <f>+B111/7</f>
        <v>25.761904761904759</v>
      </c>
      <c r="C112" s="382" t="s">
        <v>73</v>
      </c>
      <c r="D112" s="383"/>
      <c r="O112" s="1053">
        <f>+O111/30*7</f>
        <v>198.33333333333331</v>
      </c>
      <c r="P112" s="1053"/>
      <c r="Q112" s="1053" t="s">
        <v>74</v>
      </c>
      <c r="R112" s="1053"/>
      <c r="S112" s="1053"/>
      <c r="T112" s="1053"/>
      <c r="U112" s="1053"/>
      <c r="V112" s="1053"/>
      <c r="W112" s="1053"/>
      <c r="X112" s="1053"/>
      <c r="Y112" s="1053"/>
      <c r="Z112" s="1053"/>
      <c r="AA112" s="1064">
        <f>+O112*0.87</f>
        <v>172.54999999999998</v>
      </c>
      <c r="AB112" s="1064"/>
      <c r="AD112" s="296"/>
      <c r="AE112" s="996">
        <v>22.89</v>
      </c>
      <c r="AF112" s="996"/>
      <c r="AG112" s="996"/>
      <c r="AH112" s="296"/>
      <c r="AI112" s="1069">
        <f>+AE112/AE111</f>
        <v>0.11541952400161357</v>
      </c>
      <c r="AJ112" s="1069"/>
      <c r="AK112" s="1069"/>
      <c r="AL112" s="1068">
        <f>+AI112*AL113/AI113</f>
        <v>22.181496893347781</v>
      </c>
      <c r="AM112" s="1068"/>
      <c r="AN112" s="1068"/>
      <c r="AO112" s="1070">
        <f>+AO111/7</f>
        <v>24.883070984763968</v>
      </c>
      <c r="AP112" s="1071"/>
      <c r="AQ112" s="1072"/>
      <c r="AR112" s="267"/>
      <c r="AS112" s="267"/>
      <c r="AT112" s="267"/>
    </row>
    <row r="113" spans="2:46">
      <c r="O113" s="1053">
        <f>+O112/7</f>
        <v>28.333333333333332</v>
      </c>
      <c r="P113" s="1053"/>
      <c r="Q113" s="1053" t="s">
        <v>75</v>
      </c>
      <c r="R113" s="1053"/>
      <c r="S113" s="1053"/>
      <c r="T113" s="1053"/>
      <c r="U113" s="1053"/>
      <c r="V113" s="1053"/>
      <c r="W113" s="1053"/>
      <c r="X113" s="1053"/>
      <c r="Y113" s="1053"/>
      <c r="Z113" s="1053"/>
      <c r="AD113" s="296"/>
      <c r="AE113" s="996">
        <v>175.43</v>
      </c>
      <c r="AF113" s="996"/>
      <c r="AG113" s="996"/>
      <c r="AH113" s="296"/>
      <c r="AI113" s="1066">
        <f>1-AI112</f>
        <v>0.88458047599838641</v>
      </c>
      <c r="AJ113" s="1067"/>
      <c r="AK113" s="1067"/>
      <c r="AL113" s="1068">
        <v>170</v>
      </c>
      <c r="AM113" s="1068"/>
      <c r="AN113" s="1068"/>
      <c r="AO113" s="996"/>
      <c r="AP113" s="996"/>
      <c r="AQ113" s="996"/>
      <c r="AR113" s="267"/>
      <c r="AS113" s="267"/>
      <c r="AT113" s="267"/>
    </row>
    <row r="114" spans="2:46" ht="15.75">
      <c r="B114" s="388">
        <f>+B112</f>
        <v>25.761904761904759</v>
      </c>
      <c r="C114" s="389" t="s">
        <v>76</v>
      </c>
      <c r="D114" s="390"/>
      <c r="E114" s="390"/>
      <c r="F114" s="390"/>
      <c r="O114" s="1065">
        <f>(O112-18)/7</f>
        <v>25.761904761904759</v>
      </c>
      <c r="P114" s="1065"/>
      <c r="Q114" s="1065" t="s">
        <v>77</v>
      </c>
      <c r="R114" s="1065"/>
      <c r="S114" s="1065"/>
      <c r="T114" s="1065"/>
      <c r="U114" s="1065"/>
      <c r="V114" s="1065"/>
      <c r="W114" s="1065"/>
      <c r="X114" s="1065"/>
      <c r="Y114" s="1065"/>
      <c r="Z114" s="1065"/>
      <c r="AD114" s="296"/>
      <c r="AE114" s="996"/>
      <c r="AF114" s="996"/>
      <c r="AG114" s="996"/>
      <c r="AH114" s="296"/>
      <c r="AI114" s="1067"/>
      <c r="AJ114" s="1067"/>
      <c r="AK114" s="1067"/>
      <c r="AL114" s="296"/>
      <c r="AM114" s="385"/>
      <c r="AN114" s="385"/>
      <c r="AO114" s="385"/>
      <c r="AP114" s="386"/>
      <c r="AQ114" s="386"/>
      <c r="AR114" s="267"/>
      <c r="AS114" s="267"/>
      <c r="AT114" s="267"/>
    </row>
    <row r="115" spans="2:46">
      <c r="B115" s="168">
        <v>3</v>
      </c>
      <c r="C115" s="240" t="s">
        <v>78</v>
      </c>
      <c r="O115" s="1053">
        <v>3</v>
      </c>
      <c r="P115" s="1053"/>
      <c r="Q115" s="1053" t="s">
        <v>79</v>
      </c>
      <c r="R115" s="1053"/>
      <c r="S115" s="1053"/>
      <c r="T115" s="1053"/>
      <c r="U115" s="1053"/>
      <c r="V115" s="1053"/>
      <c r="W115" s="1053"/>
      <c r="X115" s="1053"/>
      <c r="Y115" s="1053"/>
      <c r="Z115" s="1053"/>
      <c r="AD115" s="296"/>
      <c r="AE115" s="996">
        <v>198.39</v>
      </c>
      <c r="AF115" s="996"/>
      <c r="AG115" s="996"/>
      <c r="AH115" s="296"/>
      <c r="AI115" s="1067">
        <v>198.32</v>
      </c>
      <c r="AJ115" s="1067"/>
      <c r="AK115" s="1067"/>
      <c r="AL115" s="296"/>
      <c r="AM115" s="385"/>
      <c r="AN115" s="385"/>
      <c r="AO115" s="385"/>
      <c r="AP115" s="386"/>
      <c r="AQ115" s="386"/>
      <c r="AR115" s="267"/>
      <c r="AS115" s="267"/>
      <c r="AT115" s="267"/>
    </row>
    <row r="116" spans="2:46">
      <c r="B116" s="381">
        <f>+B115+B114</f>
        <v>28.761904761904759</v>
      </c>
      <c r="C116" s="382" t="s">
        <v>80</v>
      </c>
      <c r="D116" s="393"/>
      <c r="E116" s="394"/>
      <c r="F116" s="395"/>
      <c r="G116" s="393"/>
      <c r="H116" s="393"/>
      <c r="I116" s="395"/>
      <c r="J116" s="393"/>
      <c r="K116" s="396"/>
      <c r="L116" s="396"/>
      <c r="M116" s="383"/>
      <c r="O116" s="1053">
        <f>+O115+O114</f>
        <v>28.761904761904759</v>
      </c>
      <c r="P116" s="1053"/>
      <c r="AD116" s="296"/>
      <c r="AE116" s="1073">
        <f>+AE115/7*30</f>
        <v>850.24285714285702</v>
      </c>
      <c r="AF116" s="1073"/>
      <c r="AG116" s="1073"/>
      <c r="AH116" s="296"/>
      <c r="AI116" s="1074">
        <f>+AI115/7*30</f>
        <v>849.94285714285718</v>
      </c>
      <c r="AJ116" s="1074"/>
      <c r="AK116" s="1074"/>
      <c r="AL116" s="296"/>
      <c r="AM116" s="387"/>
      <c r="AN116" s="387"/>
      <c r="AO116" s="387"/>
      <c r="AP116" s="397"/>
      <c r="AQ116" s="267"/>
      <c r="AR116" s="267"/>
      <c r="AS116" s="267"/>
      <c r="AT116" s="267"/>
    </row>
    <row r="117" spans="2:46">
      <c r="B117" s="168"/>
      <c r="AD117" s="296"/>
      <c r="AE117" s="296"/>
      <c r="AF117" s="296"/>
      <c r="AG117" s="296"/>
      <c r="AH117" s="296"/>
      <c r="AI117" s="296"/>
      <c r="AJ117" s="296"/>
      <c r="AK117" s="296"/>
      <c r="AL117" s="296"/>
      <c r="AM117" s="296"/>
      <c r="AN117" s="296"/>
      <c r="AO117" s="296"/>
      <c r="AP117" s="267"/>
      <c r="AQ117" s="267"/>
      <c r="AR117" s="267"/>
      <c r="AS117" s="267"/>
      <c r="AT117" s="267"/>
    </row>
    <row r="118" spans="2:46">
      <c r="B118" s="168">
        <f>+B116*6</f>
        <v>172.57142857142856</v>
      </c>
      <c r="C118" s="240" t="s">
        <v>81</v>
      </c>
      <c r="O118" s="1053" t="s">
        <v>82</v>
      </c>
      <c r="P118" s="1053"/>
      <c r="Q118" s="1053"/>
      <c r="R118" s="1053"/>
      <c r="S118" s="1053"/>
      <c r="T118" s="1053"/>
      <c r="U118" s="1053"/>
      <c r="V118" s="1053"/>
      <c r="W118" s="1053"/>
      <c r="X118" s="1053"/>
      <c r="Y118" s="1053"/>
      <c r="Z118" s="1053"/>
      <c r="AD118" s="296"/>
      <c r="AE118" s="296"/>
      <c r="AF118" s="296"/>
      <c r="AG118" s="296"/>
      <c r="AH118" s="296"/>
      <c r="AI118" s="385"/>
      <c r="AJ118" s="385"/>
      <c r="AK118" s="387"/>
      <c r="AL118" s="620"/>
      <c r="AM118" s="621"/>
      <c r="AN118" s="620"/>
      <c r="AO118" s="296"/>
      <c r="AP118" s="267"/>
      <c r="AQ118" s="267"/>
      <c r="AR118" s="267"/>
      <c r="AS118" s="267"/>
      <c r="AT118" s="267"/>
    </row>
    <row r="119" spans="2:46">
      <c r="B119" s="399">
        <f>+B114</f>
        <v>25.761904761904759</v>
      </c>
      <c r="C119" s="400" t="s">
        <v>83</v>
      </c>
      <c r="D119" s="401"/>
      <c r="E119" s="402"/>
      <c r="F119" s="403"/>
      <c r="G119" s="401"/>
      <c r="H119" s="401"/>
      <c r="I119" s="403"/>
      <c r="J119" s="401"/>
      <c r="K119" s="404"/>
      <c r="L119" s="405"/>
      <c r="O119" s="1053">
        <f>+O111*1.1</f>
        <v>935.00000000000011</v>
      </c>
      <c r="P119" s="1053"/>
      <c r="Q119" s="1053" t="s">
        <v>71</v>
      </c>
      <c r="R119" s="1053"/>
      <c r="S119" s="1053"/>
      <c r="T119" s="1053"/>
      <c r="U119" s="1053"/>
      <c r="V119" s="1053"/>
      <c r="W119" s="1053"/>
      <c r="X119" s="1053"/>
      <c r="Y119" s="1053"/>
      <c r="Z119" s="1053"/>
      <c r="AA119" s="7" t="s">
        <v>84</v>
      </c>
      <c r="AG119" s="267"/>
      <c r="AH119" s="267"/>
      <c r="AI119" s="386"/>
      <c r="AJ119" s="386"/>
      <c r="AK119" s="386"/>
      <c r="AL119" s="267"/>
      <c r="AM119" s="267"/>
      <c r="AN119" s="267"/>
      <c r="AO119" s="267"/>
    </row>
    <row r="120" spans="2:46">
      <c r="B120" s="381">
        <f>+B119+B118</f>
        <v>198.33333333333331</v>
      </c>
      <c r="C120" s="382" t="s">
        <v>85</v>
      </c>
      <c r="D120" s="393"/>
      <c r="E120" s="394"/>
      <c r="F120" s="395"/>
      <c r="G120" s="393"/>
      <c r="H120" s="393"/>
      <c r="I120" s="395"/>
      <c r="J120" s="393"/>
      <c r="K120" s="406"/>
      <c r="L120" s="405"/>
      <c r="O120" s="1053">
        <f>+O119/30*7</f>
        <v>218.16666666666669</v>
      </c>
      <c r="P120" s="1053"/>
      <c r="Q120" s="1053" t="s">
        <v>74</v>
      </c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64">
        <f>+O120*0.87</f>
        <v>189.80500000000001</v>
      </c>
      <c r="AB120" s="1064"/>
      <c r="AG120" s="267"/>
      <c r="AH120" s="267"/>
      <c r="AI120" s="386"/>
      <c r="AJ120" s="386"/>
      <c r="AK120" s="407"/>
      <c r="AL120" s="267"/>
      <c r="AM120" s="267"/>
      <c r="AN120" s="267"/>
      <c r="AO120" s="267"/>
    </row>
    <row r="121" spans="2:46">
      <c r="B121" s="408"/>
      <c r="C121" s="409"/>
      <c r="D121" s="333"/>
      <c r="E121" s="410"/>
      <c r="F121" s="411"/>
      <c r="G121" s="333"/>
      <c r="H121" s="333"/>
      <c r="I121" s="411"/>
      <c r="J121" s="333"/>
      <c r="K121" s="405"/>
      <c r="L121" s="405"/>
      <c r="O121" s="1053">
        <f>+O120/7</f>
        <v>31.166666666666668</v>
      </c>
      <c r="P121" s="1053"/>
      <c r="Q121" s="1053" t="s">
        <v>75</v>
      </c>
      <c r="R121" s="1053"/>
      <c r="S121" s="1053"/>
      <c r="T121" s="1053"/>
      <c r="U121" s="1053"/>
      <c r="V121" s="1053"/>
      <c r="W121" s="1053"/>
      <c r="X121" s="1053"/>
      <c r="Y121" s="1053"/>
      <c r="Z121" s="1053"/>
      <c r="AG121" s="267"/>
      <c r="AH121" s="267"/>
      <c r="AI121" s="412"/>
      <c r="AJ121" s="413"/>
      <c r="AK121" s="407"/>
      <c r="AL121" s="267"/>
      <c r="AM121" s="267"/>
      <c r="AN121" s="267"/>
      <c r="AO121" s="267"/>
    </row>
    <row r="122" spans="2:46" ht="15.75">
      <c r="B122" s="426">
        <f>+B120/7</f>
        <v>28.333333333333332</v>
      </c>
      <c r="C122" s="415" t="s">
        <v>86</v>
      </c>
      <c r="D122" s="416"/>
      <c r="E122" s="417"/>
      <c r="F122" s="411"/>
      <c r="G122" s="333"/>
      <c r="H122" s="333"/>
      <c r="I122" s="411"/>
      <c r="J122" s="333"/>
      <c r="K122" s="405"/>
      <c r="L122" s="405"/>
      <c r="O122" s="1065">
        <f>(O120-18)/7</f>
        <v>28.595238095238098</v>
      </c>
      <c r="P122" s="1065"/>
      <c r="Q122" s="1065" t="s">
        <v>77</v>
      </c>
      <c r="R122" s="1065"/>
      <c r="S122" s="1065"/>
      <c r="T122" s="1065"/>
      <c r="U122" s="1065"/>
      <c r="V122" s="1065"/>
      <c r="W122" s="1065"/>
      <c r="X122" s="1065"/>
      <c r="Y122" s="1065"/>
      <c r="Z122" s="1065"/>
      <c r="AG122" s="267"/>
      <c r="AH122" s="267"/>
      <c r="AI122" s="267"/>
      <c r="AJ122" s="267"/>
      <c r="AK122" s="407"/>
      <c r="AL122" s="267"/>
      <c r="AM122" s="267"/>
      <c r="AN122" s="267"/>
      <c r="AO122" s="267"/>
    </row>
    <row r="123" spans="2:46">
      <c r="B123" s="408"/>
      <c r="C123" s="409"/>
      <c r="D123" s="333"/>
      <c r="E123" s="410"/>
      <c r="F123" s="411"/>
      <c r="G123" s="333"/>
      <c r="H123" s="333"/>
      <c r="I123" s="411"/>
      <c r="J123" s="333"/>
      <c r="K123" s="405"/>
      <c r="L123" s="405"/>
      <c r="O123" s="1053">
        <v>3</v>
      </c>
      <c r="P123" s="1053"/>
      <c r="Q123" s="1053" t="s">
        <v>79</v>
      </c>
      <c r="R123" s="1053"/>
      <c r="S123" s="1053"/>
      <c r="T123" s="1053"/>
      <c r="U123" s="1053"/>
      <c r="V123" s="1053"/>
      <c r="W123" s="1053"/>
      <c r="X123" s="1053"/>
      <c r="Y123" s="1053"/>
      <c r="Z123" s="1053"/>
      <c r="AG123" s="267"/>
      <c r="AH123" s="267"/>
      <c r="AI123" s="267"/>
      <c r="AJ123" s="267"/>
      <c r="AK123" s="267"/>
      <c r="AL123" s="267"/>
      <c r="AM123" s="267"/>
      <c r="AN123" s="267"/>
      <c r="AO123" s="267"/>
    </row>
    <row r="124" spans="2:46">
      <c r="B124" s="408">
        <v>28.333333333333332</v>
      </c>
      <c r="C124" s="409"/>
      <c r="D124" s="333"/>
      <c r="E124" s="410"/>
      <c r="F124" s="411"/>
      <c r="G124" s="333"/>
      <c r="H124" s="333"/>
      <c r="I124" s="411"/>
      <c r="J124" s="333"/>
      <c r="K124" s="405"/>
      <c r="L124" s="405"/>
      <c r="O124" s="1053">
        <f>+O123+O122</f>
        <v>31.595238095238098</v>
      </c>
      <c r="P124" s="1053"/>
      <c r="AG124" s="267"/>
      <c r="AH124" s="267"/>
      <c r="AI124" s="267"/>
      <c r="AJ124" s="267"/>
      <c r="AK124" s="267"/>
      <c r="AL124" s="267"/>
      <c r="AM124" s="267"/>
      <c r="AN124" s="267"/>
      <c r="AO124" s="267"/>
    </row>
    <row r="125" spans="2:46">
      <c r="B125" s="168"/>
      <c r="AG125" s="267"/>
      <c r="AH125" s="267"/>
      <c r="AI125" s="267"/>
      <c r="AJ125" s="267"/>
      <c r="AK125" s="267"/>
      <c r="AL125" s="267"/>
      <c r="AM125" s="267"/>
      <c r="AN125" s="267"/>
      <c r="AO125" s="267"/>
    </row>
    <row r="126" spans="2:46">
      <c r="B126" s="168"/>
      <c r="AG126" s="267"/>
      <c r="AH126" s="267"/>
      <c r="AI126" s="267"/>
      <c r="AJ126" s="267"/>
      <c r="AK126" s="267"/>
      <c r="AL126" s="267"/>
      <c r="AM126" s="267"/>
      <c r="AN126" s="267"/>
      <c r="AO126" s="267"/>
    </row>
    <row r="127" spans="2:46" ht="26.25" thickBot="1">
      <c r="B127" s="377" t="s">
        <v>89</v>
      </c>
      <c r="H127" s="1052">
        <v>42922</v>
      </c>
      <c r="I127" s="1052"/>
      <c r="J127" s="1052"/>
      <c r="K127" s="1052"/>
      <c r="L127" s="1052"/>
      <c r="M127" s="1052"/>
      <c r="N127" s="1052"/>
      <c r="AD127" s="378"/>
      <c r="AE127" s="378"/>
      <c r="AF127" s="378"/>
      <c r="AG127" s="167"/>
      <c r="AH127" s="167"/>
      <c r="AI127" s="167"/>
      <c r="AJ127" s="376"/>
      <c r="AK127" s="376"/>
    </row>
    <row r="128" spans="2:46" ht="16.5" thickBot="1">
      <c r="B128" s="379">
        <v>1231.53</v>
      </c>
      <c r="C128" s="240" t="s">
        <v>67</v>
      </c>
      <c r="AD128" s="296"/>
      <c r="AE128" s="296"/>
      <c r="AF128" s="296"/>
      <c r="AG128" s="296"/>
      <c r="AH128" s="296"/>
      <c r="AI128" s="296"/>
      <c r="AJ128" s="296"/>
      <c r="AK128" s="296"/>
      <c r="AL128" s="296"/>
      <c r="AM128" s="296"/>
      <c r="AN128" s="296"/>
      <c r="AO128" s="296"/>
      <c r="AP128" s="267"/>
      <c r="AQ128" s="267"/>
      <c r="AR128" s="267"/>
      <c r="AS128" s="267"/>
      <c r="AT128" s="267"/>
    </row>
    <row r="129" spans="2:46" ht="15.75">
      <c r="B129" s="168">
        <f>+B128/30*7</f>
        <v>287.35700000000003</v>
      </c>
      <c r="C129" s="240" t="s">
        <v>68</v>
      </c>
      <c r="D129" s="380"/>
      <c r="O129" s="1053" t="s">
        <v>69</v>
      </c>
      <c r="P129" s="1053"/>
      <c r="Q129" s="1053"/>
      <c r="R129" s="1053"/>
      <c r="S129" s="1053"/>
      <c r="T129" s="1053"/>
      <c r="U129" s="1053"/>
      <c r="V129" s="1053"/>
      <c r="W129" s="1053"/>
      <c r="X129" s="1053"/>
      <c r="Y129" s="1053"/>
      <c r="Z129" s="1053"/>
      <c r="AD129" s="296"/>
      <c r="AE129" s="621"/>
      <c r="AF129" s="621"/>
      <c r="AG129" s="296"/>
      <c r="AH129" s="296"/>
      <c r="AI129" s="296"/>
      <c r="AJ129" s="621"/>
      <c r="AK129" s="621"/>
      <c r="AL129" s="296"/>
      <c r="AM129" s="296"/>
      <c r="AN129" s="296"/>
      <c r="AO129" s="296"/>
      <c r="AP129" s="267"/>
      <c r="AQ129" s="267"/>
      <c r="AR129" s="267"/>
      <c r="AS129" s="267"/>
      <c r="AT129" s="267"/>
    </row>
    <row r="130" spans="2:46">
      <c r="B130" s="168">
        <f>+B129-18</f>
        <v>269.35700000000003</v>
      </c>
      <c r="C130" s="240" t="s">
        <v>70</v>
      </c>
      <c r="O130" s="1053">
        <f>+B128</f>
        <v>1231.53</v>
      </c>
      <c r="P130" s="1053"/>
      <c r="Q130" s="1053" t="s">
        <v>71</v>
      </c>
      <c r="R130" s="1053"/>
      <c r="S130" s="1053"/>
      <c r="T130" s="1053"/>
      <c r="U130" s="1053"/>
      <c r="V130" s="1053"/>
      <c r="W130" s="1053"/>
      <c r="X130" s="1053"/>
      <c r="Y130" s="1053"/>
      <c r="Z130" s="1053"/>
      <c r="AA130" s="7" t="s">
        <v>72</v>
      </c>
      <c r="AD130" s="296"/>
      <c r="AE130" s="621"/>
      <c r="AF130" s="621"/>
      <c r="AG130" s="296"/>
      <c r="AH130" s="296"/>
      <c r="AI130" s="296"/>
      <c r="AJ130" s="621"/>
      <c r="AK130" s="621"/>
      <c r="AL130" s="296"/>
      <c r="AM130" s="296"/>
      <c r="AN130" s="296"/>
      <c r="AO130" s="296"/>
      <c r="AP130" s="267"/>
      <c r="AQ130" s="267"/>
      <c r="AR130" s="267"/>
      <c r="AS130" s="267"/>
      <c r="AT130" s="267"/>
    </row>
    <row r="131" spans="2:46">
      <c r="B131" s="381">
        <f>+B130/7+0</f>
        <v>38.479571428571433</v>
      </c>
      <c r="C131" s="382" t="s">
        <v>73</v>
      </c>
      <c r="D131" s="383"/>
      <c r="O131" s="1053">
        <f>+O130/30*7</f>
        <v>287.35700000000003</v>
      </c>
      <c r="P131" s="1053"/>
      <c r="Q131" s="1053" t="s">
        <v>74</v>
      </c>
      <c r="R131" s="1053"/>
      <c r="S131" s="1053"/>
      <c r="T131" s="1053"/>
      <c r="U131" s="1053"/>
      <c r="V131" s="1053"/>
      <c r="W131" s="1053"/>
      <c r="X131" s="1053"/>
      <c r="Y131" s="1053"/>
      <c r="Z131" s="1053"/>
      <c r="AA131" s="1064">
        <f>+O131*0.87</f>
        <v>250.00059000000002</v>
      </c>
      <c r="AB131" s="1064"/>
      <c r="AD131" s="296"/>
      <c r="AE131" s="384"/>
      <c r="AF131" s="384"/>
      <c r="AG131" s="296"/>
      <c r="AH131" s="296"/>
      <c r="AI131" s="296"/>
      <c r="AJ131" s="384"/>
      <c r="AK131" s="384"/>
      <c r="AL131" s="385"/>
      <c r="AM131" s="385"/>
      <c r="AN131" s="385"/>
      <c r="AO131" s="385"/>
      <c r="AP131" s="386"/>
      <c r="AQ131" s="386"/>
      <c r="AR131" s="267"/>
      <c r="AS131" s="267"/>
      <c r="AT131" s="267"/>
    </row>
    <row r="132" spans="2:46">
      <c r="O132" s="1053">
        <f>+O131/7</f>
        <v>41.051000000000002</v>
      </c>
      <c r="P132" s="1053"/>
      <c r="Q132" s="1053" t="s">
        <v>75</v>
      </c>
      <c r="R132" s="1053"/>
      <c r="S132" s="1053"/>
      <c r="T132" s="1053"/>
      <c r="U132" s="1053"/>
      <c r="V132" s="1053"/>
      <c r="W132" s="1053"/>
      <c r="X132" s="1053"/>
      <c r="Y132" s="1053"/>
      <c r="Z132" s="1053"/>
      <c r="AD132" s="296"/>
      <c r="AE132" s="621"/>
      <c r="AF132" s="621"/>
      <c r="AG132" s="296"/>
      <c r="AH132" s="296"/>
      <c r="AI132" s="296"/>
      <c r="AJ132" s="621"/>
      <c r="AK132" s="621"/>
      <c r="AL132" s="387"/>
      <c r="AM132" s="387"/>
      <c r="AN132" s="385"/>
      <c r="AO132" s="385"/>
      <c r="AP132" s="386"/>
      <c r="AQ132" s="386"/>
      <c r="AR132" s="267"/>
      <c r="AS132" s="267"/>
      <c r="AT132" s="267"/>
    </row>
    <row r="133" spans="2:46" ht="15.75">
      <c r="B133" s="427">
        <f>+B131</f>
        <v>38.479571428571433</v>
      </c>
      <c r="C133" s="389" t="s">
        <v>76</v>
      </c>
      <c r="D133" s="390"/>
      <c r="E133" s="390"/>
      <c r="F133" s="390"/>
      <c r="O133" s="1065">
        <f>(O131-18)/7</f>
        <v>38.479571428571433</v>
      </c>
      <c r="P133" s="1065"/>
      <c r="Q133" s="1065" t="s">
        <v>77</v>
      </c>
      <c r="R133" s="1065"/>
      <c r="S133" s="1065"/>
      <c r="T133" s="1065"/>
      <c r="U133" s="1065"/>
      <c r="V133" s="1065"/>
      <c r="W133" s="1065"/>
      <c r="X133" s="1065"/>
      <c r="Y133" s="1065"/>
      <c r="Z133" s="1065"/>
      <c r="AD133" s="296"/>
      <c r="AE133" s="391"/>
      <c r="AF133" s="391"/>
      <c r="AG133" s="392"/>
      <c r="AH133" s="392"/>
      <c r="AI133" s="392"/>
      <c r="AJ133" s="391"/>
      <c r="AK133" s="391"/>
      <c r="AL133" s="385"/>
      <c r="AM133" s="385"/>
      <c r="AN133" s="385"/>
      <c r="AO133" s="385"/>
      <c r="AP133" s="386"/>
      <c r="AQ133" s="386"/>
      <c r="AR133" s="267"/>
      <c r="AS133" s="267"/>
      <c r="AT133" s="267"/>
    </row>
    <row r="134" spans="2:46">
      <c r="B134" s="168">
        <v>3</v>
      </c>
      <c r="C134" s="240" t="s">
        <v>78</v>
      </c>
      <c r="O134" s="1053">
        <v>3</v>
      </c>
      <c r="P134" s="1053"/>
      <c r="Q134" s="1053" t="s">
        <v>79</v>
      </c>
      <c r="R134" s="1053"/>
      <c r="S134" s="1053"/>
      <c r="T134" s="1053"/>
      <c r="U134" s="1053"/>
      <c r="V134" s="1053"/>
      <c r="W134" s="1053"/>
      <c r="X134" s="1053"/>
      <c r="Y134" s="1053"/>
      <c r="Z134" s="1053"/>
      <c r="AD134" s="296"/>
      <c r="AE134" s="296"/>
      <c r="AF134" s="391"/>
      <c r="AG134" s="392"/>
      <c r="AH134" s="392"/>
      <c r="AI134" s="392"/>
      <c r="AJ134" s="391"/>
      <c r="AK134" s="296"/>
      <c r="AL134" s="385"/>
      <c r="AM134" s="385"/>
      <c r="AN134" s="385"/>
      <c r="AO134" s="385"/>
      <c r="AP134" s="386"/>
      <c r="AQ134" s="386"/>
      <c r="AR134" s="267"/>
      <c r="AS134" s="267"/>
      <c r="AT134" s="267"/>
    </row>
    <row r="135" spans="2:46">
      <c r="B135" s="381">
        <f>+B134+B133</f>
        <v>41.479571428571433</v>
      </c>
      <c r="C135" s="382" t="s">
        <v>80</v>
      </c>
      <c r="D135" s="393"/>
      <c r="E135" s="394"/>
      <c r="F135" s="395"/>
      <c r="G135" s="393"/>
      <c r="H135" s="393"/>
      <c r="I135" s="395"/>
      <c r="J135" s="393"/>
      <c r="K135" s="396"/>
      <c r="L135" s="396"/>
      <c r="M135" s="383"/>
      <c r="O135" s="1053">
        <f>+O134+O133</f>
        <v>41.479571428571433</v>
      </c>
      <c r="P135" s="1053"/>
      <c r="AD135" s="296"/>
      <c r="AE135" s="621"/>
      <c r="AF135" s="621"/>
      <c r="AG135" s="296"/>
      <c r="AH135" s="296"/>
      <c r="AI135" s="296"/>
      <c r="AJ135" s="621"/>
      <c r="AK135" s="621"/>
      <c r="AL135" s="387"/>
      <c r="AM135" s="387"/>
      <c r="AN135" s="387"/>
      <c r="AO135" s="387"/>
      <c r="AP135" s="397"/>
      <c r="AQ135" s="267"/>
      <c r="AR135" s="267"/>
      <c r="AS135" s="267"/>
      <c r="AT135" s="267"/>
    </row>
    <row r="136" spans="2:46">
      <c r="B136" s="168"/>
      <c r="AD136" s="296"/>
      <c r="AE136" s="398"/>
      <c r="AF136" s="398"/>
      <c r="AG136" s="398"/>
      <c r="AH136" s="296"/>
      <c r="AI136" s="296"/>
      <c r="AJ136" s="398"/>
      <c r="AK136" s="398"/>
      <c r="AL136" s="385"/>
      <c r="AM136" s="296"/>
      <c r="AN136" s="296"/>
      <c r="AO136" s="296"/>
      <c r="AP136" s="267"/>
      <c r="AQ136" s="267"/>
      <c r="AR136" s="267"/>
      <c r="AS136" s="267"/>
      <c r="AT136" s="267"/>
    </row>
    <row r="137" spans="2:46">
      <c r="B137" s="168">
        <f>+B135*6</f>
        <v>248.8774285714286</v>
      </c>
      <c r="C137" s="240" t="s">
        <v>81</v>
      </c>
      <c r="O137" s="1053" t="s">
        <v>82</v>
      </c>
      <c r="P137" s="1053"/>
      <c r="Q137" s="1053"/>
      <c r="R137" s="1053"/>
      <c r="S137" s="1053"/>
      <c r="T137" s="1053"/>
      <c r="U137" s="1053"/>
      <c r="V137" s="1053"/>
      <c r="W137" s="1053"/>
      <c r="X137" s="1053"/>
      <c r="Y137" s="1053"/>
      <c r="Z137" s="1053"/>
      <c r="AD137" s="296"/>
      <c r="AE137" s="296"/>
      <c r="AF137" s="296"/>
      <c r="AG137" s="296"/>
      <c r="AH137" s="296"/>
      <c r="AI137" s="385"/>
      <c r="AJ137" s="385"/>
      <c r="AK137" s="387"/>
      <c r="AL137" s="620"/>
      <c r="AM137" s="621"/>
      <c r="AN137" s="620"/>
      <c r="AO137" s="296"/>
      <c r="AP137" s="267"/>
      <c r="AQ137" s="267"/>
      <c r="AR137" s="267"/>
      <c r="AS137" s="267"/>
      <c r="AT137" s="267"/>
    </row>
    <row r="138" spans="2:46">
      <c r="B138" s="399">
        <f>+B133</f>
        <v>38.479571428571433</v>
      </c>
      <c r="C138" s="400" t="s">
        <v>83</v>
      </c>
      <c r="D138" s="401"/>
      <c r="E138" s="402"/>
      <c r="F138" s="403"/>
      <c r="G138" s="401"/>
      <c r="H138" s="401"/>
      <c r="I138" s="403"/>
      <c r="J138" s="401"/>
      <c r="K138" s="404"/>
      <c r="L138" s="405"/>
      <c r="O138" s="1053">
        <f>+O130*1.1</f>
        <v>1354.683</v>
      </c>
      <c r="P138" s="1053"/>
      <c r="Q138" s="1053" t="s">
        <v>71</v>
      </c>
      <c r="R138" s="1053"/>
      <c r="S138" s="1053"/>
      <c r="T138" s="1053"/>
      <c r="U138" s="1053"/>
      <c r="V138" s="1053"/>
      <c r="W138" s="1053"/>
      <c r="X138" s="1053"/>
      <c r="Y138" s="1053"/>
      <c r="Z138" s="1053"/>
      <c r="AA138" s="7" t="s">
        <v>84</v>
      </c>
      <c r="AG138" s="267"/>
      <c r="AH138" s="267"/>
      <c r="AI138" s="386"/>
      <c r="AJ138" s="386"/>
      <c r="AK138" s="386"/>
      <c r="AL138" s="267"/>
      <c r="AM138" s="267"/>
      <c r="AN138" s="267"/>
      <c r="AO138" s="267"/>
    </row>
    <row r="139" spans="2:46">
      <c r="B139" s="381">
        <f>+B138+B137</f>
        <v>287.35700000000003</v>
      </c>
      <c r="C139" s="382" t="s">
        <v>85</v>
      </c>
      <c r="D139" s="393"/>
      <c r="E139" s="394"/>
      <c r="F139" s="395"/>
      <c r="G139" s="393"/>
      <c r="H139" s="393"/>
      <c r="I139" s="395"/>
      <c r="J139" s="393"/>
      <c r="K139" s="406"/>
      <c r="L139" s="405"/>
      <c r="O139" s="1053">
        <f>+O138/30*7</f>
        <v>316.09270000000004</v>
      </c>
      <c r="P139" s="1053"/>
      <c r="Q139" s="1053" t="s">
        <v>74</v>
      </c>
      <c r="R139" s="1053"/>
      <c r="S139" s="1053"/>
      <c r="T139" s="1053"/>
      <c r="U139" s="1053"/>
      <c r="V139" s="1053"/>
      <c r="W139" s="1053"/>
      <c r="X139" s="1053"/>
      <c r="Y139" s="1053"/>
      <c r="Z139" s="1053"/>
      <c r="AA139" s="1064">
        <f>+O139*0.87</f>
        <v>275.00064900000001</v>
      </c>
      <c r="AB139" s="1064"/>
      <c r="AG139" s="267"/>
      <c r="AH139" s="267"/>
      <c r="AI139" s="386"/>
      <c r="AJ139" s="386"/>
      <c r="AK139" s="407"/>
      <c r="AL139" s="267"/>
      <c r="AM139" s="267"/>
      <c r="AN139" s="267"/>
      <c r="AO139" s="267"/>
    </row>
    <row r="140" spans="2:46">
      <c r="B140" s="408"/>
      <c r="C140" s="409"/>
      <c r="D140" s="333"/>
      <c r="E140" s="410"/>
      <c r="F140" s="411"/>
      <c r="G140" s="333"/>
      <c r="H140" s="333"/>
      <c r="I140" s="411"/>
      <c r="J140" s="333"/>
      <c r="K140" s="405"/>
      <c r="L140" s="405"/>
      <c r="O140" s="1053">
        <f>+O139/7</f>
        <v>45.156100000000002</v>
      </c>
      <c r="P140" s="1053"/>
      <c r="Q140" s="1053" t="s">
        <v>75</v>
      </c>
      <c r="R140" s="1053"/>
      <c r="S140" s="1053"/>
      <c r="T140" s="1053"/>
      <c r="U140" s="1053"/>
      <c r="V140" s="1053"/>
      <c r="W140" s="1053"/>
      <c r="X140" s="1053"/>
      <c r="Y140" s="1053"/>
      <c r="Z140" s="1053"/>
      <c r="AG140" s="267"/>
      <c r="AH140" s="267"/>
      <c r="AI140" s="412"/>
      <c r="AJ140" s="413"/>
      <c r="AK140" s="407"/>
      <c r="AL140" s="267"/>
      <c r="AM140" s="267"/>
      <c r="AN140" s="267"/>
      <c r="AO140" s="267"/>
    </row>
    <row r="141" spans="2:46" ht="15.75">
      <c r="B141" s="426">
        <f>+B139/7</f>
        <v>41.051000000000002</v>
      </c>
      <c r="C141" s="415" t="s">
        <v>86</v>
      </c>
      <c r="D141" s="416"/>
      <c r="E141" s="417"/>
      <c r="F141" s="418"/>
      <c r="G141" s="419"/>
      <c r="H141" s="419"/>
      <c r="I141" s="411"/>
      <c r="J141" s="333"/>
      <c r="K141" s="405"/>
      <c r="L141" s="405"/>
      <c r="O141" s="1065">
        <f>(O139-18)/7</f>
        <v>42.584671428571433</v>
      </c>
      <c r="P141" s="1065"/>
      <c r="Q141" s="1065" t="s">
        <v>77</v>
      </c>
      <c r="R141" s="1065"/>
      <c r="S141" s="1065"/>
      <c r="T141" s="1065"/>
      <c r="U141" s="1065"/>
      <c r="V141" s="1065"/>
      <c r="W141" s="1065"/>
      <c r="X141" s="1065"/>
      <c r="Y141" s="1065"/>
      <c r="Z141" s="1065"/>
      <c r="AG141" s="267"/>
      <c r="AH141" s="267"/>
      <c r="AI141" s="267"/>
      <c r="AJ141" s="267"/>
      <c r="AK141" s="407"/>
      <c r="AL141" s="267"/>
      <c r="AM141" s="267"/>
      <c r="AN141" s="267"/>
      <c r="AO141" s="267"/>
    </row>
    <row r="142" spans="2:46">
      <c r="B142" s="408"/>
      <c r="C142" s="409"/>
      <c r="D142" s="333"/>
      <c r="E142" s="410"/>
      <c r="F142" s="411"/>
      <c r="G142" s="333"/>
      <c r="H142" s="333"/>
      <c r="I142" s="411"/>
      <c r="J142" s="333"/>
      <c r="K142" s="405"/>
      <c r="L142" s="405"/>
      <c r="O142" s="1053">
        <v>3</v>
      </c>
      <c r="P142" s="1053"/>
      <c r="Q142" s="1053" t="s">
        <v>79</v>
      </c>
      <c r="R142" s="1053"/>
      <c r="S142" s="1053"/>
      <c r="T142" s="1053"/>
      <c r="U142" s="1053"/>
      <c r="V142" s="1053"/>
      <c r="W142" s="1053"/>
      <c r="X142" s="1053"/>
      <c r="Y142" s="1053"/>
      <c r="Z142" s="1053"/>
      <c r="AG142" s="267"/>
      <c r="AH142" s="267"/>
      <c r="AI142" s="267"/>
      <c r="AJ142" s="267"/>
      <c r="AK142" s="267"/>
      <c r="AL142" s="267"/>
      <c r="AM142" s="267"/>
      <c r="AN142" s="267"/>
      <c r="AO142" s="267"/>
    </row>
    <row r="143" spans="2:46">
      <c r="B143" s="408"/>
      <c r="C143" s="409"/>
      <c r="D143" s="333"/>
      <c r="E143" s="410"/>
      <c r="F143" s="411"/>
      <c r="G143" s="333"/>
      <c r="H143" s="333"/>
      <c r="I143" s="411"/>
      <c r="J143" s="333"/>
      <c r="K143" s="405"/>
      <c r="L143" s="405"/>
      <c r="O143" s="1053">
        <f>+O142+O141</f>
        <v>45.584671428571433</v>
      </c>
      <c r="P143" s="1053"/>
      <c r="AG143" s="267"/>
      <c r="AH143" s="267"/>
      <c r="AI143" s="267"/>
      <c r="AJ143" s="267"/>
      <c r="AK143" s="267"/>
      <c r="AL143" s="267"/>
      <c r="AM143" s="267"/>
      <c r="AN143" s="267"/>
      <c r="AO143" s="267"/>
    </row>
    <row r="144" spans="2:46">
      <c r="B144" s="168"/>
      <c r="AG144" s="267"/>
      <c r="AH144" s="267"/>
      <c r="AI144" s="267"/>
      <c r="AJ144" s="267"/>
      <c r="AK144" s="267"/>
      <c r="AL144" s="267"/>
      <c r="AM144" s="267"/>
      <c r="AN144" s="267"/>
      <c r="AO144" s="267"/>
    </row>
    <row r="145" spans="2:46" ht="26.25" thickBot="1">
      <c r="B145" s="377" t="s">
        <v>53</v>
      </c>
      <c r="H145" s="1052">
        <v>42744</v>
      </c>
      <c r="I145" s="1052"/>
      <c r="J145" s="1052"/>
      <c r="K145" s="1052"/>
      <c r="L145" s="1052"/>
      <c r="M145" s="1052"/>
      <c r="N145" s="1052"/>
      <c r="AD145" s="378"/>
      <c r="AE145" s="378"/>
      <c r="AF145" s="378"/>
      <c r="AG145" s="167"/>
      <c r="AH145" s="167"/>
      <c r="AI145" s="167"/>
      <c r="AJ145" s="376"/>
      <c r="AK145" s="376"/>
    </row>
    <row r="146" spans="2:46" ht="16.5" thickBot="1">
      <c r="B146" s="379">
        <v>1232.1400000000001</v>
      </c>
      <c r="C146" s="240" t="s">
        <v>67</v>
      </c>
      <c r="AD146" s="296"/>
      <c r="AE146" s="296"/>
      <c r="AF146" s="296"/>
      <c r="AG146" s="296"/>
      <c r="AH146" s="296"/>
      <c r="AI146" s="296"/>
      <c r="AJ146" s="296"/>
      <c r="AK146" s="296"/>
      <c r="AL146" s="296"/>
      <c r="AM146" s="296"/>
      <c r="AN146" s="296"/>
      <c r="AO146" s="296"/>
      <c r="AP146" s="267"/>
      <c r="AQ146" s="267"/>
      <c r="AR146" s="267"/>
      <c r="AS146" s="267"/>
      <c r="AT146" s="267"/>
    </row>
    <row r="147" spans="2:46" ht="15.75">
      <c r="B147" s="168">
        <f>+B146/30*7</f>
        <v>287.49933333333337</v>
      </c>
      <c r="C147" s="240" t="s">
        <v>68</v>
      </c>
      <c r="D147" s="380"/>
      <c r="O147" s="1053" t="s">
        <v>69</v>
      </c>
      <c r="P147" s="1053"/>
      <c r="Q147" s="1053"/>
      <c r="R147" s="1053"/>
      <c r="S147" s="1053"/>
      <c r="T147" s="1053"/>
      <c r="U147" s="1053"/>
      <c r="V147" s="1053"/>
      <c r="W147" s="1053"/>
      <c r="X147" s="1053"/>
      <c r="Y147" s="1053"/>
      <c r="Z147" s="1053"/>
      <c r="AD147" s="296"/>
      <c r="AE147" s="621"/>
      <c r="AF147" s="621"/>
      <c r="AG147" s="296"/>
      <c r="AH147" s="296"/>
      <c r="AI147" s="296"/>
      <c r="AJ147" s="621"/>
      <c r="AK147" s="621"/>
      <c r="AL147" s="296"/>
      <c r="AM147" s="296"/>
      <c r="AN147" s="296"/>
      <c r="AO147" s="296"/>
      <c r="AP147" s="267"/>
      <c r="AQ147" s="267"/>
      <c r="AR147" s="267"/>
      <c r="AS147" s="267"/>
      <c r="AT147" s="267"/>
    </row>
    <row r="148" spans="2:46">
      <c r="B148" s="168">
        <f>+B147-18</f>
        <v>269.49933333333337</v>
      </c>
      <c r="C148" s="240" t="s">
        <v>70</v>
      </c>
      <c r="O148" s="1053">
        <f>+B146</f>
        <v>1232.1400000000001</v>
      </c>
      <c r="P148" s="1053"/>
      <c r="Q148" s="1053" t="s">
        <v>71</v>
      </c>
      <c r="R148" s="1053"/>
      <c r="S148" s="1053"/>
      <c r="T148" s="1053"/>
      <c r="U148" s="1053"/>
      <c r="V148" s="1053"/>
      <c r="W148" s="1053"/>
      <c r="X148" s="1053"/>
      <c r="Y148" s="1053"/>
      <c r="Z148" s="1053"/>
      <c r="AA148" s="7" t="s">
        <v>72</v>
      </c>
      <c r="AD148" s="296"/>
      <c r="AE148" s="621"/>
      <c r="AF148" s="621"/>
      <c r="AG148" s="296"/>
      <c r="AH148" s="296"/>
      <c r="AI148" s="296"/>
      <c r="AJ148" s="621"/>
      <c r="AK148" s="621"/>
      <c r="AL148" s="296"/>
      <c r="AM148" s="296"/>
      <c r="AN148" s="296"/>
      <c r="AO148" s="296"/>
      <c r="AP148" s="267"/>
      <c r="AQ148" s="267"/>
      <c r="AR148" s="267"/>
      <c r="AS148" s="267"/>
      <c r="AT148" s="267"/>
    </row>
    <row r="149" spans="2:46">
      <c r="B149" s="381">
        <f>+B148/7+0</f>
        <v>38.499904761904766</v>
      </c>
      <c r="C149" s="382" t="s">
        <v>73</v>
      </c>
      <c r="D149" s="383"/>
      <c r="O149" s="1053">
        <f>+O148/30*7</f>
        <v>287.49933333333337</v>
      </c>
      <c r="P149" s="1053"/>
      <c r="Q149" s="1053" t="s">
        <v>74</v>
      </c>
      <c r="R149" s="1053"/>
      <c r="S149" s="1053"/>
      <c r="T149" s="1053"/>
      <c r="U149" s="1053"/>
      <c r="V149" s="1053"/>
      <c r="W149" s="1053"/>
      <c r="X149" s="1053"/>
      <c r="Y149" s="1053"/>
      <c r="Z149" s="1053"/>
      <c r="AA149" s="1064">
        <f>+O149*0.87</f>
        <v>250.12442000000001</v>
      </c>
      <c r="AB149" s="1064"/>
      <c r="AD149" s="296"/>
      <c r="AE149" s="384"/>
      <c r="AF149" s="384"/>
      <c r="AG149" s="296"/>
      <c r="AH149" s="296"/>
      <c r="AI149" s="296"/>
      <c r="AJ149" s="384"/>
      <c r="AK149" s="384"/>
      <c r="AL149" s="385"/>
      <c r="AM149" s="385"/>
      <c r="AN149" s="385"/>
      <c r="AO149" s="385"/>
      <c r="AP149" s="386"/>
      <c r="AQ149" s="386"/>
      <c r="AR149" s="267"/>
      <c r="AS149" s="267"/>
      <c r="AT149" s="267"/>
    </row>
    <row r="150" spans="2:46">
      <c r="O150" s="1053">
        <f>+O149/7</f>
        <v>41.071333333333335</v>
      </c>
      <c r="P150" s="1053"/>
      <c r="Q150" s="1053" t="s">
        <v>75</v>
      </c>
      <c r="R150" s="1053"/>
      <c r="S150" s="1053"/>
      <c r="T150" s="1053"/>
      <c r="U150" s="1053"/>
      <c r="V150" s="1053"/>
      <c r="W150" s="1053"/>
      <c r="X150" s="1053"/>
      <c r="Y150" s="1053"/>
      <c r="Z150" s="1053"/>
      <c r="AD150" s="296"/>
      <c r="AE150" s="621"/>
      <c r="AF150" s="621"/>
      <c r="AG150" s="296"/>
      <c r="AH150" s="296"/>
      <c r="AI150" s="296"/>
      <c r="AJ150" s="621"/>
      <c r="AK150" s="621"/>
      <c r="AL150" s="387"/>
      <c r="AM150" s="387"/>
      <c r="AN150" s="385"/>
      <c r="AO150" s="385"/>
      <c r="AP150" s="386"/>
      <c r="AQ150" s="386"/>
      <c r="AR150" s="267"/>
      <c r="AS150" s="267"/>
      <c r="AT150" s="267"/>
    </row>
    <row r="151" spans="2:46" ht="15.75">
      <c r="B151" s="427">
        <f>+B149</f>
        <v>38.499904761904766</v>
      </c>
      <c r="C151" s="389" t="s">
        <v>76</v>
      </c>
      <c r="D151" s="390"/>
      <c r="E151" s="390"/>
      <c r="F151" s="390"/>
      <c r="O151" s="1065">
        <f>(O149-18)/7</f>
        <v>38.499904761904766</v>
      </c>
      <c r="P151" s="1065"/>
      <c r="Q151" s="1065" t="s">
        <v>77</v>
      </c>
      <c r="R151" s="1065"/>
      <c r="S151" s="1065"/>
      <c r="T151" s="1065"/>
      <c r="U151" s="1065"/>
      <c r="V151" s="1065"/>
      <c r="W151" s="1065"/>
      <c r="X151" s="1065"/>
      <c r="Y151" s="1065"/>
      <c r="Z151" s="1065"/>
      <c r="AD151" s="296"/>
      <c r="AE151" s="391"/>
      <c r="AF151" s="391"/>
      <c r="AG151" s="392"/>
      <c r="AH151" s="392"/>
      <c r="AI151" s="392"/>
      <c r="AJ151" s="391"/>
      <c r="AK151" s="391"/>
      <c r="AL151" s="385"/>
      <c r="AM151" s="385"/>
      <c r="AN151" s="385"/>
      <c r="AO151" s="385"/>
      <c r="AP151" s="386"/>
      <c r="AQ151" s="386"/>
      <c r="AR151" s="267"/>
      <c r="AS151" s="267"/>
      <c r="AT151" s="267"/>
    </row>
    <row r="152" spans="2:46">
      <c r="B152" s="168">
        <v>3</v>
      </c>
      <c r="C152" s="240" t="s">
        <v>78</v>
      </c>
      <c r="O152" s="1053">
        <v>3</v>
      </c>
      <c r="P152" s="1053"/>
      <c r="Q152" s="1053" t="s">
        <v>79</v>
      </c>
      <c r="R152" s="1053"/>
      <c r="S152" s="1053"/>
      <c r="T152" s="1053"/>
      <c r="U152" s="1053"/>
      <c r="V152" s="1053"/>
      <c r="W152" s="1053"/>
      <c r="X152" s="1053"/>
      <c r="Y152" s="1053"/>
      <c r="Z152" s="1053"/>
      <c r="AD152" s="296"/>
      <c r="AE152" s="296"/>
      <c r="AF152" s="996">
        <v>993814365</v>
      </c>
      <c r="AG152" s="996"/>
      <c r="AH152" s="996"/>
      <c r="AI152" s="996"/>
      <c r="AJ152" s="996"/>
      <c r="AK152" s="296"/>
      <c r="AL152" s="385"/>
      <c r="AM152" s="385"/>
      <c r="AN152" s="385"/>
      <c r="AO152" s="385"/>
      <c r="AP152" s="386"/>
      <c r="AQ152" s="386"/>
      <c r="AR152" s="267"/>
      <c r="AS152" s="267"/>
      <c r="AT152" s="267"/>
    </row>
    <row r="153" spans="2:46">
      <c r="B153" s="381">
        <f>+B152+B151</f>
        <v>41.499904761904766</v>
      </c>
      <c r="C153" s="382" t="s">
        <v>80</v>
      </c>
      <c r="D153" s="393"/>
      <c r="E153" s="394"/>
      <c r="F153" s="395"/>
      <c r="G153" s="393"/>
      <c r="H153" s="393"/>
      <c r="I153" s="395"/>
      <c r="J153" s="393"/>
      <c r="K153" s="396"/>
      <c r="L153" s="396"/>
      <c r="M153" s="383"/>
      <c r="O153" s="1053">
        <f>+O152+O151</f>
        <v>41.499904761904766</v>
      </c>
      <c r="P153" s="1053"/>
      <c r="AD153" s="296"/>
      <c r="AE153" s="621"/>
      <c r="AF153" s="621"/>
      <c r="AG153" s="296"/>
      <c r="AH153" s="296"/>
      <c r="AI153" s="296"/>
      <c r="AJ153" s="621"/>
      <c r="AK153" s="621"/>
      <c r="AL153" s="387"/>
      <c r="AM153" s="387"/>
      <c r="AN153" s="387"/>
      <c r="AO153" s="387"/>
      <c r="AP153" s="397"/>
      <c r="AQ153" s="267"/>
      <c r="AR153" s="267"/>
      <c r="AS153" s="267"/>
      <c r="AT153" s="267"/>
    </row>
    <row r="154" spans="2:46">
      <c r="B154" s="168"/>
      <c r="AD154" s="296"/>
      <c r="AE154" s="398"/>
      <c r="AF154" s="398"/>
      <c r="AG154" s="398"/>
      <c r="AH154" s="296"/>
      <c r="AI154" s="296"/>
      <c r="AJ154" s="398"/>
      <c r="AK154" s="398"/>
      <c r="AL154" s="385"/>
      <c r="AM154" s="296"/>
      <c r="AN154" s="296"/>
      <c r="AO154" s="296"/>
      <c r="AP154" s="267"/>
      <c r="AQ154" s="267"/>
      <c r="AR154" s="267"/>
      <c r="AS154" s="267"/>
      <c r="AT154" s="267"/>
    </row>
    <row r="155" spans="2:46">
      <c r="B155" s="168">
        <f>+B153*6</f>
        <v>248.99942857142861</v>
      </c>
      <c r="C155" s="240" t="s">
        <v>81</v>
      </c>
      <c r="O155" s="1053" t="s">
        <v>82</v>
      </c>
      <c r="P155" s="1053"/>
      <c r="Q155" s="1053"/>
      <c r="R155" s="1053"/>
      <c r="S155" s="1053"/>
      <c r="T155" s="1053"/>
      <c r="U155" s="1053"/>
      <c r="V155" s="1053"/>
      <c r="W155" s="1053"/>
      <c r="X155" s="1053"/>
      <c r="Y155" s="1053"/>
      <c r="Z155" s="1053"/>
      <c r="AD155" s="296"/>
      <c r="AE155" s="296"/>
      <c r="AF155" s="296"/>
      <c r="AG155" s="296"/>
      <c r="AH155" s="296"/>
      <c r="AI155" s="385"/>
      <c r="AJ155" s="385"/>
      <c r="AK155" s="387"/>
      <c r="AL155" s="620"/>
      <c r="AM155" s="621"/>
      <c r="AN155" s="620"/>
      <c r="AO155" s="296"/>
      <c r="AP155" s="267"/>
      <c r="AQ155" s="267"/>
      <c r="AR155" s="267"/>
      <c r="AS155" s="267"/>
      <c r="AT155" s="267"/>
    </row>
    <row r="156" spans="2:46">
      <c r="B156" s="399">
        <f>+B151</f>
        <v>38.499904761904766</v>
      </c>
      <c r="C156" s="400" t="s">
        <v>83</v>
      </c>
      <c r="D156" s="401"/>
      <c r="E156" s="402"/>
      <c r="F156" s="403"/>
      <c r="G156" s="401"/>
      <c r="H156" s="401"/>
      <c r="I156" s="403"/>
      <c r="J156" s="401"/>
      <c r="K156" s="404"/>
      <c r="L156" s="405"/>
      <c r="O156" s="1053">
        <f>+O148*1.1</f>
        <v>1355.3540000000003</v>
      </c>
      <c r="P156" s="1053"/>
      <c r="Q156" s="1053" t="s">
        <v>71</v>
      </c>
      <c r="R156" s="1053"/>
      <c r="S156" s="1053"/>
      <c r="T156" s="1053"/>
      <c r="U156" s="1053"/>
      <c r="V156" s="1053"/>
      <c r="W156" s="1053"/>
      <c r="X156" s="1053"/>
      <c r="Y156" s="1053"/>
      <c r="Z156" s="1053"/>
      <c r="AA156" s="7" t="s">
        <v>84</v>
      </c>
      <c r="AG156" s="267"/>
      <c r="AH156" s="267"/>
      <c r="AI156" s="386"/>
      <c r="AJ156" s="386"/>
      <c r="AK156" s="386"/>
      <c r="AL156" s="267"/>
      <c r="AM156" s="267"/>
      <c r="AN156" s="267"/>
      <c r="AO156" s="267"/>
    </row>
    <row r="157" spans="2:46">
      <c r="B157" s="381">
        <f>+B156+B155</f>
        <v>287.49933333333337</v>
      </c>
      <c r="C157" s="382" t="s">
        <v>85</v>
      </c>
      <c r="D157" s="393"/>
      <c r="E157" s="394"/>
      <c r="F157" s="395"/>
      <c r="G157" s="393"/>
      <c r="H157" s="393"/>
      <c r="I157" s="395"/>
      <c r="J157" s="393"/>
      <c r="K157" s="406"/>
      <c r="L157" s="405"/>
      <c r="O157" s="1053">
        <f>+O156/30*7</f>
        <v>316.2492666666667</v>
      </c>
      <c r="P157" s="1053"/>
      <c r="Q157" s="1053" t="s">
        <v>74</v>
      </c>
      <c r="R157" s="1053"/>
      <c r="S157" s="1053"/>
      <c r="T157" s="1053"/>
      <c r="U157" s="1053"/>
      <c r="V157" s="1053"/>
      <c r="W157" s="1053"/>
      <c r="X157" s="1053"/>
      <c r="Y157" s="1053"/>
      <c r="Z157" s="1053"/>
      <c r="AA157" s="1064">
        <f>+O157*0.87</f>
        <v>275.13686200000001</v>
      </c>
      <c r="AB157" s="1064"/>
      <c r="AG157" s="267"/>
      <c r="AH157" s="267"/>
      <c r="AI157" s="386"/>
      <c r="AJ157" s="386"/>
      <c r="AK157" s="407"/>
      <c r="AL157" s="267"/>
      <c r="AM157" s="267"/>
      <c r="AN157" s="267"/>
      <c r="AO157" s="267"/>
    </row>
    <row r="158" spans="2:46">
      <c r="B158" s="408"/>
      <c r="C158" s="409"/>
      <c r="D158" s="333"/>
      <c r="E158" s="410"/>
      <c r="F158" s="411"/>
      <c r="G158" s="333"/>
      <c r="H158" s="333"/>
      <c r="I158" s="411"/>
      <c r="J158" s="333"/>
      <c r="K158" s="405"/>
      <c r="L158" s="405"/>
      <c r="O158" s="1053">
        <f>+O157/7</f>
        <v>45.178466666666672</v>
      </c>
      <c r="P158" s="1053"/>
      <c r="Q158" s="1053" t="s">
        <v>75</v>
      </c>
      <c r="R158" s="1053"/>
      <c r="S158" s="1053"/>
      <c r="T158" s="1053"/>
      <c r="U158" s="1053"/>
      <c r="V158" s="1053"/>
      <c r="W158" s="1053"/>
      <c r="X158" s="1053"/>
      <c r="Y158" s="1053"/>
      <c r="Z158" s="1053"/>
      <c r="AG158" s="267"/>
      <c r="AH158" s="267"/>
      <c r="AI158" s="412"/>
      <c r="AJ158" s="413"/>
      <c r="AK158" s="407"/>
      <c r="AL158" s="267"/>
      <c r="AM158" s="267"/>
      <c r="AN158" s="267"/>
      <c r="AO158" s="267"/>
    </row>
    <row r="159" spans="2:46" ht="15.75">
      <c r="B159" s="426">
        <f>+B157/7</f>
        <v>41.071333333333335</v>
      </c>
      <c r="C159" s="415" t="s">
        <v>86</v>
      </c>
      <c r="D159" s="416"/>
      <c r="E159" s="417"/>
      <c r="F159" s="418"/>
      <c r="G159" s="419"/>
      <c r="H159" s="419"/>
      <c r="I159" s="411"/>
      <c r="J159" s="333"/>
      <c r="K159" s="405"/>
      <c r="L159" s="405"/>
      <c r="O159" s="1065">
        <f>(O157-18)/7</f>
        <v>42.607038095238103</v>
      </c>
      <c r="P159" s="1065"/>
      <c r="Q159" s="1065" t="s">
        <v>77</v>
      </c>
      <c r="R159" s="1065"/>
      <c r="S159" s="1065"/>
      <c r="T159" s="1065"/>
      <c r="U159" s="1065"/>
      <c r="V159" s="1065"/>
      <c r="W159" s="1065"/>
      <c r="X159" s="1065"/>
      <c r="Y159" s="1065"/>
      <c r="Z159" s="1065"/>
      <c r="AG159" s="267"/>
      <c r="AH159" s="267"/>
      <c r="AI159" s="267"/>
      <c r="AJ159" s="267"/>
      <c r="AK159" s="407"/>
      <c r="AL159" s="267"/>
      <c r="AM159" s="267"/>
      <c r="AN159" s="267"/>
      <c r="AO159" s="267"/>
    </row>
    <row r="160" spans="2:46">
      <c r="B160" s="408"/>
      <c r="C160" s="409"/>
      <c r="D160" s="333"/>
      <c r="E160" s="410"/>
      <c r="F160" s="411"/>
      <c r="G160" s="333"/>
      <c r="H160" s="333"/>
      <c r="I160" s="411"/>
      <c r="J160" s="333"/>
      <c r="K160" s="405"/>
      <c r="L160" s="405"/>
      <c r="O160" s="1053">
        <v>3</v>
      </c>
      <c r="P160" s="1053"/>
      <c r="Q160" s="1053" t="s">
        <v>79</v>
      </c>
      <c r="R160" s="1053"/>
      <c r="S160" s="1053"/>
      <c r="T160" s="1053"/>
      <c r="U160" s="1053"/>
      <c r="V160" s="1053"/>
      <c r="W160" s="1053"/>
      <c r="X160" s="1053"/>
      <c r="Y160" s="1053"/>
      <c r="Z160" s="1053"/>
      <c r="AG160" s="267"/>
      <c r="AH160" s="267"/>
      <c r="AI160" s="267"/>
      <c r="AJ160" s="267"/>
      <c r="AK160" s="267"/>
      <c r="AL160" s="267"/>
      <c r="AM160" s="267"/>
      <c r="AN160" s="267"/>
      <c r="AO160" s="267"/>
    </row>
    <row r="161" spans="2:46">
      <c r="B161" s="408"/>
      <c r="C161" s="409"/>
      <c r="D161" s="333"/>
      <c r="E161" s="410"/>
      <c r="F161" s="411"/>
      <c r="G161" s="333"/>
      <c r="H161" s="333"/>
      <c r="I161" s="411"/>
      <c r="J161" s="333"/>
      <c r="K161" s="405"/>
      <c r="L161" s="405"/>
      <c r="O161" s="1053">
        <f>+O160+O159</f>
        <v>45.607038095238103</v>
      </c>
      <c r="P161" s="1053"/>
      <c r="AG161" s="267"/>
      <c r="AH161" s="267"/>
      <c r="AI161" s="267"/>
      <c r="AJ161" s="267"/>
      <c r="AK161" s="267"/>
      <c r="AL161" s="267"/>
      <c r="AM161" s="267"/>
      <c r="AN161" s="267"/>
      <c r="AO161" s="267"/>
    </row>
    <row r="162" spans="2:46">
      <c r="B162" s="168"/>
      <c r="AG162" s="267"/>
      <c r="AH162" s="267"/>
      <c r="AI162" s="267"/>
      <c r="AJ162" s="267"/>
      <c r="AK162" s="267"/>
      <c r="AL162" s="267"/>
      <c r="AM162" s="267"/>
      <c r="AN162" s="267"/>
      <c r="AO162" s="267"/>
    </row>
    <row r="163" spans="2:46">
      <c r="AG163" s="267"/>
      <c r="AH163" s="267"/>
      <c r="AI163" s="267"/>
      <c r="AJ163" s="267"/>
      <c r="AK163" s="267"/>
      <c r="AL163" s="267"/>
      <c r="AM163" s="267"/>
      <c r="AN163" s="267"/>
      <c r="AO163" s="267"/>
    </row>
    <row r="164" spans="2:46">
      <c r="AG164" s="267"/>
      <c r="AH164" s="267"/>
      <c r="AI164" s="267"/>
      <c r="AJ164" s="267"/>
      <c r="AK164" s="267"/>
      <c r="AL164" s="267"/>
      <c r="AM164" s="267"/>
      <c r="AN164" s="267"/>
      <c r="AO164" s="267"/>
    </row>
    <row r="165" spans="2:46" ht="26.25" thickBot="1">
      <c r="B165" s="377" t="s">
        <v>90</v>
      </c>
      <c r="H165" s="1052">
        <v>42736</v>
      </c>
      <c r="I165" s="1052"/>
      <c r="J165" s="1052"/>
      <c r="K165" s="1052"/>
      <c r="L165" s="1052"/>
      <c r="M165" s="1052"/>
      <c r="N165" s="1052"/>
      <c r="AG165" s="267"/>
      <c r="AH165" s="267"/>
      <c r="AI165" s="267"/>
      <c r="AJ165" s="267"/>
      <c r="AK165" s="267"/>
      <c r="AL165" s="267"/>
      <c r="AM165" s="267"/>
      <c r="AN165" s="267"/>
      <c r="AO165" s="267"/>
    </row>
    <row r="166" spans="2:46" ht="16.5" thickBot="1">
      <c r="B166" s="379">
        <v>850</v>
      </c>
      <c r="C166" s="240" t="s">
        <v>67</v>
      </c>
      <c r="AD166" s="296"/>
      <c r="AE166" s="296"/>
      <c r="AF166" s="296"/>
      <c r="AG166" s="296"/>
      <c r="AH166" s="296"/>
      <c r="AI166" s="296"/>
      <c r="AJ166" s="296"/>
      <c r="AK166" s="296"/>
      <c r="AL166" s="296"/>
      <c r="AM166" s="296"/>
      <c r="AN166" s="296"/>
      <c r="AO166" s="296"/>
      <c r="AP166" s="267"/>
      <c r="AQ166" s="267"/>
      <c r="AR166" s="267"/>
      <c r="AS166" s="267"/>
      <c r="AT166" s="267"/>
    </row>
    <row r="167" spans="2:46" ht="15.75">
      <c r="B167" s="168">
        <f>+B166/30*7</f>
        <v>198.33333333333331</v>
      </c>
      <c r="C167" s="240" t="s">
        <v>68</v>
      </c>
      <c r="D167" s="380"/>
      <c r="O167" s="1053" t="s">
        <v>69</v>
      </c>
      <c r="P167" s="1053"/>
      <c r="Q167" s="1053"/>
      <c r="R167" s="1053"/>
      <c r="S167" s="1053"/>
      <c r="T167" s="1053"/>
      <c r="U167" s="1053"/>
      <c r="V167" s="1053"/>
      <c r="W167" s="1053"/>
      <c r="X167" s="1053"/>
      <c r="Y167" s="1053"/>
      <c r="Z167" s="1053"/>
      <c r="AD167" s="296"/>
      <c r="AE167" s="621"/>
      <c r="AF167" s="621"/>
      <c r="AG167" s="296"/>
      <c r="AH167" s="296"/>
      <c r="AI167" s="296"/>
      <c r="AJ167" s="621"/>
      <c r="AK167" s="621"/>
      <c r="AL167" s="296"/>
      <c r="AM167" s="296"/>
      <c r="AN167" s="296"/>
      <c r="AO167" s="296"/>
      <c r="AP167" s="267"/>
      <c r="AQ167" s="267"/>
      <c r="AR167" s="267"/>
      <c r="AS167" s="267"/>
      <c r="AT167" s="267"/>
    </row>
    <row r="168" spans="2:46">
      <c r="B168" s="168">
        <f>+B167-18</f>
        <v>180.33333333333331</v>
      </c>
      <c r="C168" s="240" t="s">
        <v>70</v>
      </c>
      <c r="O168" s="1053">
        <f>+B166</f>
        <v>850</v>
      </c>
      <c r="P168" s="1053"/>
      <c r="Q168" s="1053" t="s">
        <v>71</v>
      </c>
      <c r="R168" s="1053"/>
      <c r="S168" s="1053"/>
      <c r="T168" s="1053"/>
      <c r="U168" s="1053"/>
      <c r="V168" s="1053"/>
      <c r="W168" s="1053"/>
      <c r="X168" s="1053"/>
      <c r="Y168" s="1053"/>
      <c r="Z168" s="1053"/>
      <c r="AA168" s="7" t="s">
        <v>72</v>
      </c>
      <c r="AD168" s="428" t="s">
        <v>91</v>
      </c>
      <c r="AE168" s="429"/>
      <c r="AF168" s="429"/>
      <c r="AG168" s="1075">
        <v>233.32</v>
      </c>
      <c r="AH168" s="1075"/>
      <c r="AI168" s="430"/>
      <c r="AJ168" s="1076">
        <f>233.32-AG168</f>
        <v>0</v>
      </c>
      <c r="AK168" s="1076"/>
      <c r="AL168" s="431"/>
      <c r="AM168" s="296"/>
      <c r="AN168" s="296"/>
      <c r="AO168" s="296"/>
      <c r="AP168" s="267"/>
      <c r="AQ168" s="267"/>
      <c r="AR168" s="267"/>
      <c r="AS168" s="267"/>
      <c r="AT168" s="267"/>
    </row>
    <row r="169" spans="2:46">
      <c r="B169" s="381">
        <f>+B168/7</f>
        <v>25.761904761904759</v>
      </c>
      <c r="C169" s="382" t="s">
        <v>73</v>
      </c>
      <c r="D169" s="383"/>
      <c r="O169" s="1053">
        <f>+O168/30*7</f>
        <v>198.33333333333331</v>
      </c>
      <c r="P169" s="1053"/>
      <c r="Q169" s="1053" t="s">
        <v>74</v>
      </c>
      <c r="R169" s="1053"/>
      <c r="S169" s="1053"/>
      <c r="T169" s="1053"/>
      <c r="U169" s="1053"/>
      <c r="V169" s="1053"/>
      <c r="W169" s="1053"/>
      <c r="X169" s="1053"/>
      <c r="Y169" s="1053"/>
      <c r="Z169" s="1053"/>
      <c r="AA169" s="1064">
        <f>+O169*0.87</f>
        <v>172.54999999999998</v>
      </c>
      <c r="AB169" s="1064"/>
      <c r="AD169" s="432" t="s">
        <v>92</v>
      </c>
      <c r="AE169" s="433"/>
      <c r="AF169" s="433"/>
      <c r="AG169" s="1077">
        <f>218.15-19.83</f>
        <v>198.32</v>
      </c>
      <c r="AH169" s="1077"/>
      <c r="AI169" s="434"/>
      <c r="AJ169" s="1078">
        <f>233.32-AG169</f>
        <v>35</v>
      </c>
      <c r="AK169" s="1078"/>
      <c r="AL169" s="435"/>
      <c r="AM169" s="385"/>
      <c r="AN169" s="385"/>
      <c r="AO169" s="385"/>
      <c r="AP169" s="386"/>
      <c r="AQ169" s="386"/>
      <c r="AR169" s="267"/>
      <c r="AS169" s="267"/>
      <c r="AT169" s="267"/>
    </row>
    <row r="170" spans="2:46">
      <c r="O170" s="1053">
        <f>+O169/7</f>
        <v>28.333333333333332</v>
      </c>
      <c r="P170" s="1053"/>
      <c r="Q170" s="1053" t="s">
        <v>75</v>
      </c>
      <c r="R170" s="1053"/>
      <c r="S170" s="1053"/>
      <c r="T170" s="1053"/>
      <c r="U170" s="1053"/>
      <c r="V170" s="1053"/>
      <c r="W170" s="1053"/>
      <c r="X170" s="1053"/>
      <c r="Y170" s="1053"/>
      <c r="Z170" s="1053"/>
      <c r="AD170" s="432" t="s">
        <v>93</v>
      </c>
      <c r="AE170" s="436"/>
      <c r="AF170" s="436"/>
      <c r="AG170" s="1077">
        <f>218.15-19.83</f>
        <v>198.32</v>
      </c>
      <c r="AH170" s="1077"/>
      <c r="AI170" s="434"/>
      <c r="AJ170" s="1078">
        <f>233.32-AG170</f>
        <v>35</v>
      </c>
      <c r="AK170" s="1078"/>
      <c r="AL170" s="437"/>
      <c r="AM170" s="387"/>
      <c r="AN170" s="385"/>
      <c r="AO170" s="385"/>
      <c r="AP170" s="386"/>
      <c r="AQ170" s="386"/>
      <c r="AR170" s="267"/>
      <c r="AS170" s="267"/>
      <c r="AT170" s="267"/>
    </row>
    <row r="171" spans="2:46" ht="15.75">
      <c r="B171" s="427">
        <f>+B169</f>
        <v>25.761904761904759</v>
      </c>
      <c r="C171" s="389" t="s">
        <v>76</v>
      </c>
      <c r="D171" s="390"/>
      <c r="E171" s="390"/>
      <c r="F171" s="390"/>
      <c r="O171" s="1065">
        <f>(O169-18)/7</f>
        <v>25.761904761904759</v>
      </c>
      <c r="P171" s="1065"/>
      <c r="Q171" s="1065" t="s">
        <v>77</v>
      </c>
      <c r="R171" s="1065"/>
      <c r="S171" s="1065"/>
      <c r="T171" s="1065"/>
      <c r="U171" s="1065"/>
      <c r="V171" s="1065"/>
      <c r="W171" s="1065"/>
      <c r="X171" s="1065"/>
      <c r="Y171" s="1065"/>
      <c r="Z171" s="1065"/>
      <c r="AD171" s="432" t="s">
        <v>94</v>
      </c>
      <c r="AE171" s="438"/>
      <c r="AF171" s="438"/>
      <c r="AG171" s="1077">
        <f>228.07-29.75</f>
        <v>198.32</v>
      </c>
      <c r="AH171" s="1077"/>
      <c r="AI171" s="439"/>
      <c r="AJ171" s="1078">
        <f>233.32-AG171</f>
        <v>35</v>
      </c>
      <c r="AK171" s="1078"/>
      <c r="AL171" s="435"/>
      <c r="AM171" s="385"/>
      <c r="AN171" s="385"/>
      <c r="AO171" s="385"/>
      <c r="AP171" s="386"/>
      <c r="AQ171" s="386"/>
      <c r="AR171" s="267"/>
      <c r="AS171" s="267"/>
      <c r="AT171" s="267"/>
    </row>
    <row r="172" spans="2:46">
      <c r="B172" s="168">
        <v>3</v>
      </c>
      <c r="C172" s="240" t="s">
        <v>78</v>
      </c>
      <c r="O172" s="1053">
        <v>3</v>
      </c>
      <c r="P172" s="1053"/>
      <c r="Q172" s="1053" t="s">
        <v>79</v>
      </c>
      <c r="R172" s="1053"/>
      <c r="S172" s="1053"/>
      <c r="T172" s="1053"/>
      <c r="U172" s="1053"/>
      <c r="V172" s="1053"/>
      <c r="W172" s="1053"/>
      <c r="X172" s="1053"/>
      <c r="Y172" s="1053"/>
      <c r="Z172" s="1053"/>
      <c r="AD172" s="432" t="s">
        <v>95</v>
      </c>
      <c r="AE172" s="434"/>
      <c r="AF172" s="438"/>
      <c r="AG172" s="1077">
        <f>208.24-9.92</f>
        <v>198.32000000000002</v>
      </c>
      <c r="AH172" s="1077"/>
      <c r="AI172" s="439"/>
      <c r="AJ172" s="1078">
        <f>233.32-AG172</f>
        <v>34.999999999999972</v>
      </c>
      <c r="AK172" s="1078"/>
      <c r="AL172" s="435"/>
      <c r="AM172" s="385"/>
      <c r="AN172" s="385"/>
      <c r="AO172" s="385"/>
      <c r="AP172" s="386"/>
      <c r="AQ172" s="386"/>
      <c r="AR172" s="267"/>
      <c r="AS172" s="267"/>
      <c r="AT172" s="267"/>
    </row>
    <row r="173" spans="2:46">
      <c r="B173" s="381">
        <f>+B172+B171</f>
        <v>28.761904761904759</v>
      </c>
      <c r="C173" s="382" t="s">
        <v>80</v>
      </c>
      <c r="D173" s="393"/>
      <c r="E173" s="394"/>
      <c r="F173" s="395"/>
      <c r="G173" s="393"/>
      <c r="H173" s="393"/>
      <c r="I173" s="395"/>
      <c r="J173" s="393"/>
      <c r="K173" s="396"/>
      <c r="L173" s="396"/>
      <c r="M173" s="383"/>
      <c r="O173" s="1053">
        <f>+O172+O171</f>
        <v>28.761904761904759</v>
      </c>
      <c r="P173" s="1053"/>
      <c r="AD173" s="440"/>
      <c r="AE173" s="436"/>
      <c r="AF173" s="436"/>
      <c r="AG173" s="441" t="s">
        <v>96</v>
      </c>
      <c r="AH173" s="442"/>
      <c r="AI173" s="434"/>
      <c r="AJ173" s="436"/>
      <c r="AK173" s="1079">
        <f>SUM(AJ168:AK172)</f>
        <v>139.99999999999997</v>
      </c>
      <c r="AL173" s="1080"/>
      <c r="AM173" s="387"/>
      <c r="AN173" s="387"/>
      <c r="AO173" s="387"/>
      <c r="AP173" s="397"/>
      <c r="AQ173" s="267"/>
      <c r="AR173" s="267"/>
      <c r="AS173" s="267"/>
      <c r="AT173" s="267"/>
    </row>
    <row r="174" spans="2:46">
      <c r="B174" s="168"/>
      <c r="AD174" s="443"/>
      <c r="AE174" s="444"/>
      <c r="AF174" s="444"/>
      <c r="AG174" s="445"/>
      <c r="AH174" s="446"/>
      <c r="AI174" s="447" t="s">
        <v>97</v>
      </c>
      <c r="AJ174" s="444"/>
      <c r="AK174" s="444"/>
      <c r="AL174" s="448"/>
      <c r="AM174" s="296"/>
      <c r="AN174" s="296"/>
      <c r="AO174" s="296"/>
      <c r="AP174" s="267"/>
      <c r="AQ174" s="267"/>
      <c r="AR174" s="267"/>
      <c r="AS174" s="267"/>
      <c r="AT174" s="267"/>
    </row>
    <row r="175" spans="2:46">
      <c r="B175" s="168">
        <f>+B173*6</f>
        <v>172.57142857142856</v>
      </c>
      <c r="C175" s="240" t="s">
        <v>81</v>
      </c>
      <c r="O175" s="1053" t="s">
        <v>82</v>
      </c>
      <c r="P175" s="1053"/>
      <c r="Q175" s="1053"/>
      <c r="R175" s="1053"/>
      <c r="S175" s="1053"/>
      <c r="T175" s="1053"/>
      <c r="U175" s="1053"/>
      <c r="V175" s="1053"/>
      <c r="W175" s="1053"/>
      <c r="X175" s="1053"/>
      <c r="Y175" s="1053"/>
      <c r="Z175" s="1053"/>
      <c r="AD175" s="296"/>
      <c r="AE175" s="296"/>
      <c r="AF175" s="296"/>
      <c r="AG175" s="296"/>
      <c r="AH175" s="296"/>
      <c r="AI175" s="385"/>
      <c r="AJ175" s="385"/>
      <c r="AK175" s="387"/>
      <c r="AL175" s="620"/>
      <c r="AM175" s="621"/>
      <c r="AN175" s="620"/>
      <c r="AO175" s="296"/>
      <c r="AP175" s="267"/>
      <c r="AQ175" s="267"/>
      <c r="AR175" s="267"/>
      <c r="AS175" s="267"/>
      <c r="AT175" s="267"/>
    </row>
    <row r="176" spans="2:46">
      <c r="B176" s="399">
        <f>+B171</f>
        <v>25.761904761904759</v>
      </c>
      <c r="C176" s="400" t="s">
        <v>83</v>
      </c>
      <c r="D176" s="401"/>
      <c r="E176" s="402"/>
      <c r="F176" s="403"/>
      <c r="G176" s="401"/>
      <c r="H176" s="401"/>
      <c r="I176" s="403"/>
      <c r="J176" s="401"/>
      <c r="K176" s="404"/>
      <c r="L176" s="405"/>
      <c r="O176" s="1053">
        <f>+O168*1.1</f>
        <v>935.00000000000011</v>
      </c>
      <c r="P176" s="1053"/>
      <c r="Q176" s="1053" t="s">
        <v>71</v>
      </c>
      <c r="R176" s="1053"/>
      <c r="S176" s="1053"/>
      <c r="T176" s="1053"/>
      <c r="U176" s="1053"/>
      <c r="V176" s="1053"/>
      <c r="W176" s="1053"/>
      <c r="X176" s="1053"/>
      <c r="Y176" s="1053"/>
      <c r="Z176" s="1053"/>
      <c r="AA176" s="7" t="s">
        <v>84</v>
      </c>
      <c r="AG176" s="267"/>
      <c r="AH176" s="267"/>
      <c r="AI176" s="386"/>
      <c r="AJ176" s="386"/>
      <c r="AK176" s="386"/>
      <c r="AL176" s="267"/>
      <c r="AM176" s="267"/>
      <c r="AN176" s="267"/>
      <c r="AO176" s="267"/>
    </row>
    <row r="177" spans="2:46">
      <c r="B177" s="381">
        <f>+B176+B175</f>
        <v>198.33333333333331</v>
      </c>
      <c r="C177" s="382" t="s">
        <v>85</v>
      </c>
      <c r="D177" s="393"/>
      <c r="E177" s="394"/>
      <c r="F177" s="395"/>
      <c r="G177" s="393"/>
      <c r="H177" s="393"/>
      <c r="I177" s="395"/>
      <c r="J177" s="393"/>
      <c r="K177" s="406"/>
      <c r="L177" s="405"/>
      <c r="O177" s="1053">
        <f>+O176/30*7</f>
        <v>218.16666666666669</v>
      </c>
      <c r="P177" s="1053"/>
      <c r="Q177" s="1053" t="s">
        <v>74</v>
      </c>
      <c r="R177" s="1053"/>
      <c r="S177" s="1053"/>
      <c r="T177" s="1053"/>
      <c r="U177" s="1053"/>
      <c r="V177" s="1053"/>
      <c r="W177" s="1053"/>
      <c r="X177" s="1053"/>
      <c r="Y177" s="1053"/>
      <c r="Z177" s="1053"/>
      <c r="AA177" s="1064">
        <f>+O177*0.87</f>
        <v>189.80500000000001</v>
      </c>
      <c r="AB177" s="1064"/>
      <c r="AG177" s="267"/>
      <c r="AH177" s="267"/>
      <c r="AI177" s="386"/>
      <c r="AJ177" s="386"/>
      <c r="AK177" s="407"/>
      <c r="AL177" s="267"/>
      <c r="AM177" s="267"/>
      <c r="AN177" s="267"/>
      <c r="AO177" s="267"/>
    </row>
    <row r="178" spans="2:46">
      <c r="B178" s="408"/>
      <c r="C178" s="409"/>
      <c r="D178" s="333"/>
      <c r="E178" s="410"/>
      <c r="F178" s="411"/>
      <c r="G178" s="333"/>
      <c r="H178" s="333"/>
      <c r="I178" s="411"/>
      <c r="J178" s="333"/>
      <c r="K178" s="405"/>
      <c r="L178" s="405"/>
      <c r="O178" s="1053">
        <f>+O177/7</f>
        <v>31.166666666666668</v>
      </c>
      <c r="P178" s="1053"/>
      <c r="Q178" s="1053" t="s">
        <v>75</v>
      </c>
      <c r="R178" s="1053"/>
      <c r="S178" s="1053"/>
      <c r="T178" s="1053"/>
      <c r="U178" s="1053"/>
      <c r="V178" s="1053"/>
      <c r="W178" s="1053"/>
      <c r="X178" s="1053"/>
      <c r="Y178" s="1053"/>
      <c r="Z178" s="1053"/>
      <c r="AG178" s="267"/>
      <c r="AH178" s="267"/>
      <c r="AI178" s="412"/>
      <c r="AJ178" s="413"/>
      <c r="AK178" s="407"/>
      <c r="AL178" s="267"/>
      <c r="AM178" s="267"/>
      <c r="AN178" s="267"/>
      <c r="AO178" s="267"/>
    </row>
    <row r="179" spans="2:46">
      <c r="B179" s="449">
        <f>+B177/7</f>
        <v>28.333333333333332</v>
      </c>
      <c r="C179" s="450" t="s">
        <v>86</v>
      </c>
      <c r="F179" s="411"/>
      <c r="G179" s="333"/>
      <c r="H179" s="333"/>
      <c r="I179" s="411"/>
      <c r="J179" s="333"/>
      <c r="K179" s="405"/>
      <c r="L179" s="405"/>
      <c r="O179" s="1065">
        <f>(O177-18)/7</f>
        <v>28.595238095238098</v>
      </c>
      <c r="P179" s="1065"/>
      <c r="Q179" s="1065" t="s">
        <v>77</v>
      </c>
      <c r="R179" s="1065"/>
      <c r="S179" s="1065"/>
      <c r="T179" s="1065"/>
      <c r="U179" s="1065"/>
      <c r="V179" s="1065"/>
      <c r="W179" s="1065"/>
      <c r="X179" s="1065"/>
      <c r="Y179" s="1065"/>
      <c r="Z179" s="1065"/>
      <c r="AG179" s="267"/>
      <c r="AH179" s="267"/>
      <c r="AI179" s="267"/>
      <c r="AJ179" s="267"/>
      <c r="AK179" s="407"/>
      <c r="AL179" s="267"/>
      <c r="AM179" s="267"/>
      <c r="AN179" s="267"/>
      <c r="AO179" s="267"/>
    </row>
    <row r="180" spans="2:46">
      <c r="B180" s="408"/>
      <c r="C180" s="409"/>
      <c r="D180" s="333"/>
      <c r="E180" s="410"/>
      <c r="F180" s="411"/>
      <c r="G180" s="333"/>
      <c r="H180" s="333"/>
      <c r="I180" s="411"/>
      <c r="J180" s="333"/>
      <c r="K180" s="405"/>
      <c r="L180" s="405"/>
      <c r="O180" s="1053">
        <v>3</v>
      </c>
      <c r="P180" s="1053"/>
      <c r="Q180" s="1053" t="s">
        <v>79</v>
      </c>
      <c r="R180" s="1053"/>
      <c r="S180" s="1053"/>
      <c r="T180" s="1053"/>
      <c r="U180" s="1053"/>
      <c r="V180" s="1053"/>
      <c r="W180" s="1053"/>
      <c r="X180" s="1053"/>
      <c r="Y180" s="1053"/>
      <c r="Z180" s="1053"/>
      <c r="AG180" s="267"/>
      <c r="AH180" s="267"/>
      <c r="AI180" s="267"/>
      <c r="AJ180" s="267"/>
      <c r="AK180" s="267"/>
      <c r="AL180" s="267"/>
      <c r="AM180" s="267"/>
      <c r="AN180" s="267"/>
      <c r="AO180" s="267"/>
    </row>
    <row r="181" spans="2:46">
      <c r="B181" s="408"/>
      <c r="C181" s="409"/>
      <c r="D181" s="333"/>
      <c r="E181" s="410"/>
      <c r="F181" s="411"/>
      <c r="G181" s="333"/>
      <c r="H181" s="333"/>
      <c r="I181" s="411"/>
      <c r="J181" s="333"/>
      <c r="K181" s="405"/>
      <c r="L181" s="405"/>
      <c r="O181" s="1053">
        <f>+O180+O179</f>
        <v>31.595238095238098</v>
      </c>
      <c r="P181" s="1053"/>
      <c r="AG181" s="267"/>
      <c r="AH181" s="267"/>
      <c r="AI181" s="267"/>
      <c r="AJ181" s="267"/>
      <c r="AK181" s="267"/>
      <c r="AL181" s="267"/>
      <c r="AM181" s="267"/>
      <c r="AN181" s="267"/>
      <c r="AO181" s="267"/>
    </row>
    <row r="182" spans="2:46">
      <c r="B182" s="168"/>
      <c r="AG182" s="267"/>
      <c r="AH182" s="267"/>
      <c r="AI182" s="267"/>
      <c r="AJ182" s="267"/>
      <c r="AK182" s="267"/>
      <c r="AL182" s="267"/>
      <c r="AM182" s="267"/>
      <c r="AN182" s="267"/>
      <c r="AO182" s="267"/>
    </row>
    <row r="183" spans="2:46">
      <c r="AG183" s="267"/>
      <c r="AH183" s="267"/>
      <c r="AI183" s="267"/>
      <c r="AJ183" s="267"/>
      <c r="AK183" s="267"/>
      <c r="AL183" s="267"/>
      <c r="AM183" s="267"/>
      <c r="AN183" s="267"/>
      <c r="AO183" s="267"/>
    </row>
    <row r="184" spans="2:46" ht="15.75" thickBot="1">
      <c r="AG184" s="267"/>
      <c r="AH184" s="267"/>
      <c r="AI184" s="267"/>
      <c r="AJ184" s="267"/>
      <c r="AK184" s="267"/>
      <c r="AL184" s="267"/>
      <c r="AM184" s="267"/>
      <c r="AN184" s="267"/>
      <c r="AO184" s="267"/>
    </row>
    <row r="185" spans="2:46" ht="17.25" thickTop="1" thickBot="1">
      <c r="B185" s="451">
        <f>850+80</f>
        <v>930</v>
      </c>
      <c r="C185" s="452" t="s">
        <v>67</v>
      </c>
      <c r="D185" s="453"/>
      <c r="E185" s="454" t="s">
        <v>98</v>
      </c>
      <c r="F185" s="455"/>
      <c r="G185" s="453"/>
      <c r="H185" s="453"/>
      <c r="I185" s="455"/>
      <c r="J185" s="453"/>
      <c r="K185" s="456"/>
      <c r="L185" s="456"/>
      <c r="M185" s="453"/>
      <c r="N185" s="453"/>
      <c r="O185" s="453"/>
      <c r="P185" s="453"/>
      <c r="Q185" s="453"/>
      <c r="R185" s="453"/>
      <c r="S185" s="453"/>
      <c r="T185" s="453"/>
      <c r="U185" s="453"/>
      <c r="V185" s="453"/>
      <c r="W185" s="453"/>
      <c r="X185" s="453"/>
      <c r="Y185" s="453"/>
      <c r="Z185" s="453"/>
      <c r="AA185" s="457"/>
      <c r="AB185" s="457"/>
      <c r="AC185" s="458"/>
      <c r="AD185" s="296"/>
      <c r="AE185" s="296"/>
      <c r="AF185" s="296"/>
      <c r="AG185" s="296"/>
      <c r="AH185" s="296"/>
      <c r="AI185" s="296"/>
      <c r="AJ185" s="296"/>
      <c r="AK185" s="296"/>
      <c r="AL185" s="296"/>
      <c r="AM185" s="296"/>
      <c r="AN185" s="296"/>
      <c r="AO185" s="296"/>
      <c r="AP185" s="267"/>
      <c r="AQ185" s="267"/>
      <c r="AR185" s="267"/>
      <c r="AS185" s="267"/>
      <c r="AT185" s="267"/>
    </row>
    <row r="186" spans="2:46" ht="15.75">
      <c r="B186" s="459">
        <f>+B185/30*7</f>
        <v>217</v>
      </c>
      <c r="C186" s="409" t="s">
        <v>68</v>
      </c>
      <c r="D186" s="460"/>
      <c r="E186" s="410"/>
      <c r="F186" s="411"/>
      <c r="G186" s="333"/>
      <c r="H186" s="333"/>
      <c r="I186" s="411"/>
      <c r="J186" s="333"/>
      <c r="K186" s="405"/>
      <c r="L186" s="405"/>
      <c r="M186" s="333"/>
      <c r="N186" s="333"/>
      <c r="O186" s="1053" t="s">
        <v>69</v>
      </c>
      <c r="P186" s="1053"/>
      <c r="Q186" s="1053"/>
      <c r="R186" s="1053"/>
      <c r="S186" s="1053"/>
      <c r="T186" s="1053"/>
      <c r="U186" s="1053"/>
      <c r="V186" s="1053"/>
      <c r="W186" s="1053"/>
      <c r="X186" s="1053"/>
      <c r="Y186" s="1053"/>
      <c r="Z186" s="1053"/>
      <c r="AA186" s="167"/>
      <c r="AB186" s="167"/>
      <c r="AC186" s="461"/>
      <c r="AD186" s="296"/>
      <c r="AE186" s="621"/>
      <c r="AF186" s="621"/>
      <c r="AG186" s="296"/>
      <c r="AH186" s="296"/>
      <c r="AI186" s="296"/>
      <c r="AJ186" s="621"/>
      <c r="AK186" s="621"/>
      <c r="AL186" s="296"/>
      <c r="AM186" s="296"/>
      <c r="AN186" s="296"/>
      <c r="AO186" s="296"/>
      <c r="AP186" s="267"/>
      <c r="AQ186" s="267"/>
      <c r="AR186" s="267"/>
      <c r="AS186" s="267"/>
      <c r="AT186" s="267"/>
    </row>
    <row r="187" spans="2:46">
      <c r="B187" s="459">
        <f>+B186-18</f>
        <v>199</v>
      </c>
      <c r="C187" s="409" t="s">
        <v>70</v>
      </c>
      <c r="D187" s="333"/>
      <c r="E187" s="410"/>
      <c r="F187" s="411"/>
      <c r="G187" s="333"/>
      <c r="H187" s="333"/>
      <c r="I187" s="411"/>
      <c r="J187" s="333"/>
      <c r="K187" s="405"/>
      <c r="L187" s="405"/>
      <c r="M187" s="333"/>
      <c r="N187" s="333"/>
      <c r="O187" s="1053">
        <f>+B185</f>
        <v>930</v>
      </c>
      <c r="P187" s="1053"/>
      <c r="Q187" s="1053" t="s">
        <v>71</v>
      </c>
      <c r="R187" s="1053"/>
      <c r="S187" s="1053"/>
      <c r="T187" s="1053"/>
      <c r="U187" s="1053"/>
      <c r="V187" s="1053"/>
      <c r="W187" s="1053"/>
      <c r="X187" s="1053"/>
      <c r="Y187" s="1053"/>
      <c r="Z187" s="1053"/>
      <c r="AA187" s="167" t="s">
        <v>72</v>
      </c>
      <c r="AB187" s="167"/>
      <c r="AC187" s="461"/>
      <c r="AD187" s="296"/>
      <c r="AE187" s="621"/>
      <c r="AF187" s="621"/>
      <c r="AG187" s="296"/>
      <c r="AH187" s="296"/>
      <c r="AI187" s="296"/>
      <c r="AJ187" s="621"/>
      <c r="AK187" s="621"/>
      <c r="AL187" s="296"/>
      <c r="AM187" s="296"/>
      <c r="AN187" s="296"/>
      <c r="AO187" s="296"/>
      <c r="AP187" s="267"/>
      <c r="AQ187" s="267"/>
      <c r="AR187" s="267"/>
      <c r="AS187" s="267"/>
      <c r="AT187" s="267"/>
    </row>
    <row r="188" spans="2:46">
      <c r="B188" s="462">
        <f>+B187/7</f>
        <v>28.428571428571427</v>
      </c>
      <c r="C188" s="382" t="s">
        <v>73</v>
      </c>
      <c r="D188" s="383"/>
      <c r="E188" s="410"/>
      <c r="F188" s="411"/>
      <c r="G188" s="333"/>
      <c r="H188" s="333"/>
      <c r="I188" s="411"/>
      <c r="J188" s="333"/>
      <c r="K188" s="405"/>
      <c r="L188" s="405"/>
      <c r="M188" s="333"/>
      <c r="N188" s="333"/>
      <c r="O188" s="1053">
        <f>+O187/30*7</f>
        <v>217</v>
      </c>
      <c r="P188" s="1053"/>
      <c r="Q188" s="1053" t="s">
        <v>74</v>
      </c>
      <c r="R188" s="1053"/>
      <c r="S188" s="1053"/>
      <c r="T188" s="1053"/>
      <c r="U188" s="1053"/>
      <c r="V188" s="1053"/>
      <c r="W188" s="1053"/>
      <c r="X188" s="1053"/>
      <c r="Y188" s="1053"/>
      <c r="Z188" s="1053"/>
      <c r="AA188" s="1064">
        <f>+O188*0.87</f>
        <v>188.79</v>
      </c>
      <c r="AB188" s="1064"/>
      <c r="AC188" s="461"/>
      <c r="AD188" s="296"/>
      <c r="AE188" s="384"/>
      <c r="AF188" s="384"/>
      <c r="AG188" s="296"/>
      <c r="AH188" s="296"/>
      <c r="AI188" s="296"/>
      <c r="AJ188" s="384"/>
      <c r="AK188" s="384"/>
      <c r="AL188" s="385"/>
      <c r="AM188" s="385"/>
      <c r="AN188" s="385"/>
      <c r="AO188" s="385"/>
      <c r="AP188" s="386"/>
      <c r="AQ188" s="386"/>
      <c r="AR188" s="267"/>
      <c r="AS188" s="267"/>
      <c r="AT188" s="267"/>
    </row>
    <row r="189" spans="2:46">
      <c r="B189" s="463"/>
      <c r="C189" s="333"/>
      <c r="D189" s="333"/>
      <c r="E189" s="410"/>
      <c r="F189" s="411"/>
      <c r="G189" s="333"/>
      <c r="H189" s="333"/>
      <c r="I189" s="411"/>
      <c r="J189" s="333"/>
      <c r="K189" s="405"/>
      <c r="L189" s="405"/>
      <c r="M189" s="333"/>
      <c r="N189" s="333"/>
      <c r="O189" s="1053">
        <f>+O188/7</f>
        <v>31</v>
      </c>
      <c r="P189" s="1053"/>
      <c r="Q189" s="1053" t="s">
        <v>75</v>
      </c>
      <c r="R189" s="1053"/>
      <c r="S189" s="1053"/>
      <c r="T189" s="1053"/>
      <c r="U189" s="1053"/>
      <c r="V189" s="1053"/>
      <c r="W189" s="1053"/>
      <c r="X189" s="1053"/>
      <c r="Y189" s="1053"/>
      <c r="Z189" s="1053"/>
      <c r="AA189" s="167"/>
      <c r="AB189" s="167"/>
      <c r="AC189" s="461"/>
      <c r="AD189" s="296"/>
      <c r="AE189" s="621"/>
      <c r="AF189" s="621"/>
      <c r="AG189" s="296"/>
      <c r="AH189" s="296"/>
      <c r="AI189" s="296"/>
      <c r="AJ189" s="621"/>
      <c r="AK189" s="621"/>
      <c r="AL189" s="387"/>
      <c r="AM189" s="387"/>
      <c r="AN189" s="385"/>
      <c r="AO189" s="385"/>
      <c r="AP189" s="386"/>
      <c r="AQ189" s="386"/>
      <c r="AR189" s="267"/>
      <c r="AS189" s="267"/>
      <c r="AT189" s="267"/>
    </row>
    <row r="190" spans="2:46" ht="15.75">
      <c r="B190" s="464">
        <f>+B188</f>
        <v>28.428571428571427</v>
      </c>
      <c r="C190" s="465" t="s">
        <v>76</v>
      </c>
      <c r="D190" s="418"/>
      <c r="E190" s="418"/>
      <c r="F190" s="418"/>
      <c r="G190" s="333"/>
      <c r="H190" s="333"/>
      <c r="I190" s="411"/>
      <c r="J190" s="333"/>
      <c r="K190" s="405"/>
      <c r="L190" s="405"/>
      <c r="M190" s="333"/>
      <c r="N190" s="333"/>
      <c r="O190" s="1065">
        <f>(O188-18)/7</f>
        <v>28.428571428571427</v>
      </c>
      <c r="P190" s="1065"/>
      <c r="Q190" s="1065" t="s">
        <v>77</v>
      </c>
      <c r="R190" s="1065"/>
      <c r="S190" s="1065"/>
      <c r="T190" s="1065"/>
      <c r="U190" s="1065"/>
      <c r="V190" s="1065"/>
      <c r="W190" s="1065"/>
      <c r="X190" s="1065"/>
      <c r="Y190" s="1065"/>
      <c r="Z190" s="1065"/>
      <c r="AA190" s="167"/>
      <c r="AB190" s="167"/>
      <c r="AC190" s="461"/>
      <c r="AD190" s="296"/>
      <c r="AE190" s="391"/>
      <c r="AF190" s="391"/>
      <c r="AG190" s="392"/>
      <c r="AH190" s="392"/>
      <c r="AI190" s="392"/>
      <c r="AJ190" s="391"/>
      <c r="AK190" s="391"/>
      <c r="AL190" s="385"/>
      <c r="AM190" s="385"/>
      <c r="AN190" s="385"/>
      <c r="AO190" s="385"/>
      <c r="AP190" s="386"/>
      <c r="AQ190" s="386"/>
      <c r="AR190" s="267"/>
      <c r="AS190" s="267"/>
      <c r="AT190" s="267"/>
    </row>
    <row r="191" spans="2:46">
      <c r="B191" s="459">
        <v>3</v>
      </c>
      <c r="C191" s="409" t="s">
        <v>78</v>
      </c>
      <c r="D191" s="333"/>
      <c r="E191" s="410"/>
      <c r="F191" s="411"/>
      <c r="G191" s="333"/>
      <c r="H191" s="333"/>
      <c r="I191" s="411"/>
      <c r="J191" s="333"/>
      <c r="K191" s="405"/>
      <c r="L191" s="405"/>
      <c r="M191" s="333"/>
      <c r="N191" s="333"/>
      <c r="O191" s="1053">
        <v>3</v>
      </c>
      <c r="P191" s="1053"/>
      <c r="Q191" s="1053" t="s">
        <v>79</v>
      </c>
      <c r="R191" s="1053"/>
      <c r="S191" s="1053"/>
      <c r="T191" s="1053"/>
      <c r="U191" s="1053"/>
      <c r="V191" s="1053"/>
      <c r="W191" s="1053"/>
      <c r="X191" s="1053"/>
      <c r="Y191" s="1053"/>
      <c r="Z191" s="1053"/>
      <c r="AA191" s="167"/>
      <c r="AB191" s="167"/>
      <c r="AC191" s="461"/>
      <c r="AD191" s="296"/>
      <c r="AE191" s="296"/>
      <c r="AF191" s="391"/>
      <c r="AG191" s="392"/>
      <c r="AH191" s="392"/>
      <c r="AI191" s="392"/>
      <c r="AJ191" s="391"/>
      <c r="AK191" s="391"/>
      <c r="AL191" s="385"/>
      <c r="AM191" s="385"/>
      <c r="AN191" s="385"/>
      <c r="AO191" s="385"/>
      <c r="AP191" s="386"/>
      <c r="AQ191" s="386"/>
      <c r="AR191" s="267"/>
      <c r="AS191" s="267"/>
      <c r="AT191" s="267"/>
    </row>
    <row r="192" spans="2:46">
      <c r="B192" s="462">
        <f>+B191+B190</f>
        <v>31.428571428571427</v>
      </c>
      <c r="C192" s="382" t="s">
        <v>80</v>
      </c>
      <c r="D192" s="393"/>
      <c r="E192" s="394"/>
      <c r="F192" s="395"/>
      <c r="G192" s="393"/>
      <c r="H192" s="393"/>
      <c r="I192" s="395"/>
      <c r="J192" s="393"/>
      <c r="K192" s="396"/>
      <c r="L192" s="396"/>
      <c r="M192" s="383"/>
      <c r="N192" s="333"/>
      <c r="O192" s="1053">
        <f>+O191+O190</f>
        <v>31.428571428571427</v>
      </c>
      <c r="P192" s="105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  <c r="AA192" s="167"/>
      <c r="AB192" s="167"/>
      <c r="AC192" s="461"/>
      <c r="AD192" s="296"/>
      <c r="AE192" s="621"/>
      <c r="AF192" s="621"/>
      <c r="AG192" s="296"/>
      <c r="AH192" s="296"/>
      <c r="AI192" s="296"/>
      <c r="AJ192" s="621"/>
      <c r="AK192" s="621"/>
      <c r="AL192" s="387"/>
      <c r="AM192" s="387"/>
      <c r="AN192" s="387"/>
      <c r="AO192" s="387"/>
      <c r="AP192" s="397"/>
      <c r="AQ192" s="267"/>
      <c r="AR192" s="267"/>
      <c r="AS192" s="267"/>
      <c r="AT192" s="267"/>
    </row>
    <row r="193" spans="2:50">
      <c r="B193" s="459"/>
      <c r="C193" s="333"/>
      <c r="D193" s="333"/>
      <c r="E193" s="410"/>
      <c r="F193" s="411"/>
      <c r="G193" s="333"/>
      <c r="H193" s="333"/>
      <c r="I193" s="411"/>
      <c r="J193" s="333"/>
      <c r="K193" s="405"/>
      <c r="L193" s="405"/>
      <c r="M193" s="333"/>
      <c r="N193" s="333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  <c r="AA193" s="167"/>
      <c r="AB193" s="167"/>
      <c r="AC193" s="461"/>
      <c r="AD193" s="296"/>
      <c r="AE193" s="398"/>
      <c r="AF193" s="398"/>
      <c r="AG193" s="398"/>
      <c r="AH193" s="296"/>
      <c r="AI193" s="296"/>
      <c r="AJ193" s="398"/>
      <c r="AK193" s="398"/>
      <c r="AL193" s="385"/>
      <c r="AM193" s="296"/>
      <c r="AN193" s="296"/>
      <c r="AO193" s="296"/>
      <c r="AP193" s="267"/>
      <c r="AQ193" s="267"/>
      <c r="AR193" s="267"/>
      <c r="AS193" s="267"/>
      <c r="AT193" s="267"/>
    </row>
    <row r="194" spans="2:50">
      <c r="B194" s="459">
        <f>+B192*6</f>
        <v>188.57142857142856</v>
      </c>
      <c r="C194" s="409" t="s">
        <v>81</v>
      </c>
      <c r="D194" s="333"/>
      <c r="E194" s="410"/>
      <c r="F194" s="411"/>
      <c r="G194" s="333"/>
      <c r="H194" s="333"/>
      <c r="I194" s="411"/>
      <c r="J194" s="333"/>
      <c r="K194" s="405"/>
      <c r="L194" s="405"/>
      <c r="M194" s="333"/>
      <c r="N194" s="333"/>
      <c r="O194" s="1053" t="s">
        <v>82</v>
      </c>
      <c r="P194" s="1053"/>
      <c r="Q194" s="1053"/>
      <c r="R194" s="1053"/>
      <c r="S194" s="1053"/>
      <c r="T194" s="1053"/>
      <c r="U194" s="1053"/>
      <c r="V194" s="1053"/>
      <c r="W194" s="1053"/>
      <c r="X194" s="1053"/>
      <c r="Y194" s="1053"/>
      <c r="Z194" s="1053"/>
      <c r="AA194" s="167"/>
      <c r="AB194" s="167"/>
      <c r="AC194" s="461"/>
      <c r="AD194" s="296"/>
      <c r="AE194" s="296"/>
      <c r="AF194" s="296"/>
      <c r="AG194" s="296"/>
      <c r="AH194" s="296"/>
      <c r="AI194" s="385"/>
      <c r="AJ194" s="385"/>
      <c r="AK194" s="387"/>
      <c r="AL194" s="620"/>
      <c r="AM194" s="621"/>
      <c r="AN194" s="620"/>
      <c r="AO194" s="296"/>
      <c r="AP194" s="267"/>
      <c r="AQ194" s="267"/>
      <c r="AR194" s="267"/>
      <c r="AS194" s="267"/>
      <c r="AT194" s="267"/>
    </row>
    <row r="195" spans="2:50">
      <c r="B195" s="466">
        <f>+B190</f>
        <v>28.428571428571427</v>
      </c>
      <c r="C195" s="400" t="s">
        <v>83</v>
      </c>
      <c r="D195" s="401"/>
      <c r="E195" s="402"/>
      <c r="F195" s="403"/>
      <c r="G195" s="401"/>
      <c r="H195" s="401"/>
      <c r="I195" s="403"/>
      <c r="J195" s="401"/>
      <c r="K195" s="404"/>
      <c r="L195" s="405"/>
      <c r="M195" s="333"/>
      <c r="N195" s="333"/>
      <c r="O195" s="1053">
        <f>+O187*1.1</f>
        <v>1023.0000000000001</v>
      </c>
      <c r="P195" s="1053"/>
      <c r="Q195" s="1053" t="s">
        <v>71</v>
      </c>
      <c r="R195" s="1053"/>
      <c r="S195" s="1053"/>
      <c r="T195" s="1053"/>
      <c r="U195" s="1053"/>
      <c r="V195" s="1053"/>
      <c r="W195" s="1053"/>
      <c r="X195" s="1053"/>
      <c r="Y195" s="1053"/>
      <c r="Z195" s="1053"/>
      <c r="AA195" s="167" t="s">
        <v>84</v>
      </c>
      <c r="AB195" s="167"/>
      <c r="AC195" s="461"/>
      <c r="AG195" s="267"/>
      <c r="AH195" s="267"/>
      <c r="AI195" s="386"/>
      <c r="AJ195" s="386"/>
      <c r="AK195" s="386"/>
      <c r="AL195" s="267"/>
      <c r="AM195" s="267"/>
      <c r="AN195" s="267"/>
      <c r="AO195" s="267"/>
    </row>
    <row r="196" spans="2:50">
      <c r="B196" s="462">
        <f>+B195+B194</f>
        <v>216.99999999999997</v>
      </c>
      <c r="C196" s="382" t="s">
        <v>85</v>
      </c>
      <c r="D196" s="393"/>
      <c r="E196" s="394"/>
      <c r="F196" s="395"/>
      <c r="G196" s="393"/>
      <c r="H196" s="393"/>
      <c r="I196" s="395"/>
      <c r="J196" s="393"/>
      <c r="K196" s="406"/>
      <c r="L196" s="405"/>
      <c r="M196" s="333"/>
      <c r="N196" s="333"/>
      <c r="O196" s="1053">
        <f>+O195/30*7</f>
        <v>238.70000000000002</v>
      </c>
      <c r="P196" s="1053"/>
      <c r="Q196" s="1053" t="s">
        <v>74</v>
      </c>
      <c r="R196" s="1053"/>
      <c r="S196" s="1053"/>
      <c r="T196" s="1053"/>
      <c r="U196" s="1053"/>
      <c r="V196" s="1053"/>
      <c r="W196" s="1053"/>
      <c r="X196" s="1053"/>
      <c r="Y196" s="1053"/>
      <c r="Z196" s="1053"/>
      <c r="AA196" s="1064">
        <f>+O196*0.87</f>
        <v>207.66900000000001</v>
      </c>
      <c r="AB196" s="1064"/>
      <c r="AC196" s="461"/>
      <c r="AG196" s="267"/>
      <c r="AH196" s="267"/>
      <c r="AI196" s="386"/>
      <c r="AJ196" s="386"/>
      <c r="AK196" s="407"/>
      <c r="AL196" s="267"/>
      <c r="AM196" s="267"/>
      <c r="AN196" s="267"/>
      <c r="AO196" s="267"/>
    </row>
    <row r="197" spans="2:50">
      <c r="B197" s="459"/>
      <c r="C197" s="409"/>
      <c r="D197" s="333"/>
      <c r="E197" s="410"/>
      <c r="F197" s="411"/>
      <c r="G197" s="333"/>
      <c r="H197" s="333"/>
      <c r="I197" s="411"/>
      <c r="J197" s="333"/>
      <c r="K197" s="405"/>
      <c r="L197" s="405"/>
      <c r="M197" s="333"/>
      <c r="N197" s="333"/>
      <c r="O197" s="1053">
        <f>+O196/7</f>
        <v>34.1</v>
      </c>
      <c r="P197" s="1053"/>
      <c r="Q197" s="1053" t="s">
        <v>75</v>
      </c>
      <c r="R197" s="1053"/>
      <c r="S197" s="1053"/>
      <c r="T197" s="1053"/>
      <c r="U197" s="1053"/>
      <c r="V197" s="1053"/>
      <c r="W197" s="1053"/>
      <c r="X197" s="1053"/>
      <c r="Y197" s="1053"/>
      <c r="Z197" s="1053"/>
      <c r="AA197" s="167"/>
      <c r="AB197" s="167"/>
      <c r="AC197" s="461"/>
      <c r="AG197" s="267"/>
      <c r="AH197" s="267"/>
      <c r="AI197" s="412"/>
      <c r="AJ197" s="413"/>
      <c r="AK197" s="407"/>
      <c r="AL197" s="267"/>
      <c r="AM197" s="267"/>
      <c r="AN197" s="267"/>
      <c r="AO197" s="267"/>
    </row>
    <row r="198" spans="2:50">
      <c r="B198" s="467">
        <f>+B196/7</f>
        <v>30.999999999999996</v>
      </c>
      <c r="C198" s="468" t="s">
        <v>86</v>
      </c>
      <c r="D198" s="333"/>
      <c r="E198" s="410"/>
      <c r="F198" s="411"/>
      <c r="G198" s="333"/>
      <c r="H198" s="333"/>
      <c r="I198" s="411"/>
      <c r="J198" s="333"/>
      <c r="K198" s="405"/>
      <c r="L198" s="405"/>
      <c r="M198" s="333"/>
      <c r="N198" s="333"/>
      <c r="O198" s="1065">
        <f>(O196-18)/7</f>
        <v>31.528571428571432</v>
      </c>
      <c r="P198" s="1065"/>
      <c r="Q198" s="1065" t="s">
        <v>77</v>
      </c>
      <c r="R198" s="1065"/>
      <c r="S198" s="1065"/>
      <c r="T198" s="1065"/>
      <c r="U198" s="1065"/>
      <c r="V198" s="1065"/>
      <c r="W198" s="1065"/>
      <c r="X198" s="1065"/>
      <c r="Y198" s="1065"/>
      <c r="Z198" s="1065"/>
      <c r="AA198" s="167"/>
      <c r="AB198" s="167"/>
      <c r="AC198" s="461"/>
      <c r="AG198" s="267"/>
      <c r="AH198" s="267"/>
      <c r="AI198" s="267"/>
      <c r="AJ198" s="267"/>
      <c r="AK198" s="407"/>
      <c r="AL198" s="267"/>
      <c r="AM198" s="267"/>
      <c r="AN198" s="267"/>
      <c r="AO198" s="267"/>
    </row>
    <row r="199" spans="2:50">
      <c r="B199" s="459"/>
      <c r="C199" s="409"/>
      <c r="D199" s="333"/>
      <c r="E199" s="410"/>
      <c r="F199" s="411"/>
      <c r="G199" s="333"/>
      <c r="H199" s="333"/>
      <c r="I199" s="411"/>
      <c r="J199" s="333"/>
      <c r="K199" s="405"/>
      <c r="L199" s="405"/>
      <c r="M199" s="333"/>
      <c r="N199" s="333"/>
      <c r="O199" s="1053">
        <v>3</v>
      </c>
      <c r="P199" s="1053"/>
      <c r="Q199" s="1053" t="s">
        <v>79</v>
      </c>
      <c r="R199" s="1053"/>
      <c r="S199" s="1053"/>
      <c r="T199" s="1053"/>
      <c r="U199" s="1053"/>
      <c r="V199" s="1053"/>
      <c r="W199" s="1053"/>
      <c r="X199" s="1053"/>
      <c r="Y199" s="1053"/>
      <c r="Z199" s="1053"/>
      <c r="AA199" s="167"/>
      <c r="AB199" s="167"/>
      <c r="AC199" s="461"/>
      <c r="AG199" s="267"/>
      <c r="AH199" s="267"/>
      <c r="AI199" s="267"/>
      <c r="AJ199" s="267"/>
      <c r="AK199" s="267"/>
      <c r="AL199" s="267"/>
      <c r="AM199" s="267"/>
      <c r="AN199" s="267"/>
      <c r="AO199" s="267"/>
    </row>
    <row r="200" spans="2:50" ht="15.75" thickBot="1">
      <c r="B200" s="469"/>
      <c r="C200" s="470"/>
      <c r="D200" s="471"/>
      <c r="E200" s="472"/>
      <c r="F200" s="473"/>
      <c r="G200" s="471"/>
      <c r="H200" s="471"/>
      <c r="I200" s="473"/>
      <c r="J200" s="471"/>
      <c r="K200" s="474"/>
      <c r="L200" s="474"/>
      <c r="M200" s="471"/>
      <c r="N200" s="471"/>
      <c r="O200" s="1081">
        <f>+O199+O198</f>
        <v>34.528571428571432</v>
      </c>
      <c r="P200" s="1081"/>
      <c r="Q200" s="471"/>
      <c r="R200" s="471"/>
      <c r="S200" s="471"/>
      <c r="T200" s="471"/>
      <c r="U200" s="471"/>
      <c r="V200" s="471"/>
      <c r="W200" s="471"/>
      <c r="X200" s="471"/>
      <c r="Y200" s="471"/>
      <c r="Z200" s="471"/>
      <c r="AA200" s="475"/>
      <c r="AB200" s="475"/>
      <c r="AC200" s="476"/>
      <c r="AG200" s="267"/>
      <c r="AH200" s="267"/>
      <c r="AI200" s="267"/>
      <c r="AJ200" s="267"/>
      <c r="AK200" s="267"/>
      <c r="AL200" s="267"/>
      <c r="AM200" s="267"/>
      <c r="AN200" s="267"/>
      <c r="AO200" s="267"/>
    </row>
    <row r="201" spans="2:50" ht="15.75" thickTop="1">
      <c r="B201" s="168"/>
      <c r="AG201" s="267"/>
      <c r="AH201" s="267"/>
      <c r="AI201" s="267"/>
      <c r="AJ201" s="267"/>
      <c r="AK201" s="267"/>
      <c r="AL201" s="267"/>
      <c r="AM201" s="267"/>
      <c r="AN201" s="267"/>
      <c r="AO201" s="267"/>
    </row>
    <row r="202" spans="2:50" ht="3" customHeight="1">
      <c r="Q202" s="308"/>
      <c r="R202" s="309"/>
      <c r="S202" s="310"/>
      <c r="T202" s="311"/>
      <c r="AA202" s="3"/>
      <c r="AB202" s="256"/>
      <c r="AC202" s="256"/>
      <c r="AD202" s="256"/>
      <c r="AE202" s="256"/>
      <c r="AF202" s="256"/>
      <c r="AG202" s="256"/>
      <c r="AH202" s="256"/>
      <c r="AI202" s="256"/>
      <c r="AJ202" s="256"/>
      <c r="AK202" s="256"/>
      <c r="AL202" s="256"/>
      <c r="AM202" s="254"/>
      <c r="AN202" s="254"/>
      <c r="AO202" s="254"/>
      <c r="AP202" s="254"/>
      <c r="AQ202" s="253"/>
      <c r="AS202" s="255"/>
      <c r="AT202" s="255"/>
      <c r="AX202" s="257"/>
    </row>
    <row r="203" spans="2:50" ht="14.1" customHeight="1">
      <c r="B203" s="7" t="s">
        <v>29</v>
      </c>
      <c r="C203" s="997" t="s">
        <v>30</v>
      </c>
      <c r="D203" s="997"/>
      <c r="E203" s="997" t="s">
        <v>31</v>
      </c>
      <c r="F203" s="997"/>
      <c r="G203" s="998" t="s">
        <v>32</v>
      </c>
      <c r="H203" s="999"/>
      <c r="I203" s="1004" t="s">
        <v>33</v>
      </c>
      <c r="J203" s="1005"/>
      <c r="K203" s="1006" t="s">
        <v>34</v>
      </c>
      <c r="L203" s="1006"/>
      <c r="M203" s="6"/>
      <c r="N203" s="1007" t="s">
        <v>35</v>
      </c>
      <c r="O203" s="1007"/>
      <c r="P203" s="6"/>
      <c r="Q203" s="1008" t="s">
        <v>36</v>
      </c>
      <c r="R203" s="1009"/>
      <c r="U203" s="1019" t="s">
        <v>37</v>
      </c>
      <c r="V203" s="1022" t="s">
        <v>38</v>
      </c>
      <c r="W203" s="1025" t="s">
        <v>39</v>
      </c>
      <c r="X203" s="983" t="s">
        <v>40</v>
      </c>
      <c r="AA203" s="3"/>
      <c r="AB203" s="256"/>
      <c r="AC203" s="256"/>
      <c r="AD203" s="256"/>
      <c r="AE203" s="256"/>
      <c r="AF203" s="256"/>
      <c r="AG203" s="256"/>
      <c r="AH203" s="256"/>
      <c r="AI203" s="256"/>
      <c r="AJ203" s="256"/>
      <c r="AK203" s="256"/>
      <c r="AL203" s="256"/>
      <c r="AM203" s="254"/>
      <c r="AN203" s="254"/>
      <c r="AO203" s="254"/>
      <c r="AP203" s="254"/>
      <c r="AQ203" s="253"/>
      <c r="AS203" s="255"/>
      <c r="AT203" s="255"/>
      <c r="AX203" s="257"/>
    </row>
    <row r="204" spans="2:50" ht="14.1" customHeight="1">
      <c r="B204" s="7" t="s">
        <v>41</v>
      </c>
      <c r="C204" s="997"/>
      <c r="D204" s="997"/>
      <c r="E204" s="997"/>
      <c r="F204" s="997"/>
      <c r="G204" s="1000"/>
      <c r="H204" s="1001"/>
      <c r="I204" s="1004"/>
      <c r="J204" s="1005"/>
      <c r="K204" s="1006"/>
      <c r="L204" s="1006"/>
      <c r="M204" s="6"/>
      <c r="N204" s="1007"/>
      <c r="O204" s="1007"/>
      <c r="P204" s="6"/>
      <c r="Q204" s="1010"/>
      <c r="R204" s="1011"/>
      <c r="U204" s="1020"/>
      <c r="V204" s="1023"/>
      <c r="W204" s="1026"/>
      <c r="X204" s="984"/>
      <c r="AA204" s="3"/>
      <c r="AB204" s="256"/>
      <c r="AC204" s="256"/>
      <c r="AD204" s="256"/>
      <c r="AE204" s="256"/>
      <c r="AF204" s="256"/>
      <c r="AG204" s="256"/>
      <c r="AH204" s="256"/>
      <c r="AI204" s="256"/>
      <c r="AJ204" s="256"/>
      <c r="AK204" s="256"/>
      <c r="AL204" s="256"/>
      <c r="AM204" s="254"/>
      <c r="AN204" s="254"/>
      <c r="AO204" s="254"/>
      <c r="AP204" s="254"/>
      <c r="AQ204" s="253"/>
      <c r="AS204" s="255"/>
      <c r="AT204" s="255"/>
      <c r="AX204" s="257"/>
    </row>
    <row r="205" spans="2:50" ht="14.1" customHeight="1">
      <c r="B205" s="7" t="s">
        <v>42</v>
      </c>
      <c r="C205" s="997"/>
      <c r="D205" s="997"/>
      <c r="E205" s="997"/>
      <c r="F205" s="997"/>
      <c r="G205" s="1000"/>
      <c r="H205" s="1001"/>
      <c r="I205" s="1004"/>
      <c r="J205" s="1005"/>
      <c r="K205" s="1006"/>
      <c r="L205" s="1006"/>
      <c r="M205" s="6"/>
      <c r="N205" s="1007"/>
      <c r="O205" s="1007"/>
      <c r="P205" s="6"/>
      <c r="Q205" s="1012"/>
      <c r="R205" s="1013"/>
      <c r="U205" s="1020"/>
      <c r="V205" s="1023"/>
      <c r="W205" s="1026"/>
      <c r="X205" s="984"/>
      <c r="AA205" s="3"/>
      <c r="AB205" s="256"/>
      <c r="AC205" s="256"/>
      <c r="AD205" s="256"/>
      <c r="AE205" s="256"/>
      <c r="AF205" s="256"/>
      <c r="AG205" s="256"/>
      <c r="AH205" s="256"/>
      <c r="AI205" s="256"/>
      <c r="AJ205" s="256"/>
      <c r="AK205" s="256"/>
      <c r="AL205" s="256"/>
      <c r="AM205" s="254"/>
      <c r="AN205" s="254"/>
      <c r="AO205" s="254"/>
      <c r="AP205" s="254"/>
      <c r="AQ205" s="253"/>
      <c r="AS205" s="255"/>
      <c r="AT205" s="255"/>
      <c r="AV205" s="254"/>
      <c r="AX205" s="257"/>
    </row>
    <row r="206" spans="2:50" ht="26.25">
      <c r="B206" s="325" t="s">
        <v>44</v>
      </c>
      <c r="C206" s="986">
        <f>+E206*7</f>
        <v>198.33333333333331</v>
      </c>
      <c r="D206" s="986"/>
      <c r="E206" s="987">
        <f>+K206/30</f>
        <v>28.333333333333332</v>
      </c>
      <c r="F206" s="987"/>
      <c r="G206" s="1000"/>
      <c r="H206" s="1001"/>
      <c r="I206" s="988">
        <f>+E206/8</f>
        <v>3.5416666666666665</v>
      </c>
      <c r="J206" s="989"/>
      <c r="K206" s="990">
        <v>850</v>
      </c>
      <c r="L206" s="990"/>
      <c r="M206" s="326"/>
      <c r="N206" s="991">
        <f>+I206/6*7</f>
        <v>4.1319444444444446</v>
      </c>
      <c r="O206" s="992"/>
      <c r="P206" s="326"/>
      <c r="Q206" s="993">
        <f>+$I$71-I206</f>
        <v>1.6895833333333337</v>
      </c>
      <c r="R206" s="993"/>
      <c r="U206" s="1020"/>
      <c r="V206" s="1023"/>
      <c r="W206" s="1026"/>
      <c r="X206" s="984"/>
      <c r="AA206" s="3"/>
      <c r="AB206" s="3"/>
      <c r="AC206" s="3"/>
      <c r="AD206" s="3"/>
    </row>
    <row r="207" spans="2:50" ht="24.75">
      <c r="B207" s="332" t="s">
        <v>46</v>
      </c>
      <c r="C207" s="1014">
        <f>+E207*7</f>
        <v>267.75</v>
      </c>
      <c r="D207" s="1014"/>
      <c r="E207" s="1015">
        <f>+K207/30</f>
        <v>38.25</v>
      </c>
      <c r="F207" s="1015"/>
      <c r="G207" s="1002"/>
      <c r="H207" s="1003"/>
      <c r="I207" s="1016">
        <f>+E207/8</f>
        <v>4.78125</v>
      </c>
      <c r="J207" s="1017"/>
      <c r="K207" s="1018">
        <f>+K206*1.35</f>
        <v>1147.5</v>
      </c>
      <c r="L207" s="1018"/>
      <c r="M207" s="326"/>
      <c r="N207" s="991">
        <f>+I207/6*7</f>
        <v>5.578125</v>
      </c>
      <c r="O207" s="992"/>
      <c r="P207" s="326"/>
      <c r="Q207" s="993">
        <f>+$I$71-I207</f>
        <v>0.45000000000000018</v>
      </c>
      <c r="R207" s="993"/>
      <c r="U207" s="1020"/>
      <c r="V207" s="1023"/>
      <c r="W207" s="1026"/>
      <c r="X207" s="984"/>
      <c r="Z207" s="477"/>
      <c r="AA207" s="622"/>
      <c r="AB207" s="622"/>
      <c r="AC207" s="622"/>
      <c r="AD207" s="622"/>
      <c r="AE207" s="296"/>
      <c r="AF207" s="296"/>
      <c r="AG207" s="478"/>
      <c r="AH207" s="296"/>
      <c r="AI207" s="296"/>
      <c r="AJ207" s="296"/>
      <c r="AK207" s="296"/>
      <c r="AL207" s="296"/>
      <c r="AM207" s="296"/>
      <c r="AN207" s="296"/>
      <c r="AO207" s="296"/>
      <c r="AP207" s="296"/>
      <c r="AQ207" s="296"/>
      <c r="AR207" s="296"/>
      <c r="AS207" s="296"/>
      <c r="AT207" s="296"/>
    </row>
    <row r="208" spans="2:50" ht="2.1" customHeight="1">
      <c r="B208" s="334"/>
      <c r="C208" s="258"/>
      <c r="D208" s="258"/>
      <c r="G208" s="335"/>
      <c r="H208" s="335"/>
      <c r="I208" s="336"/>
      <c r="J208" s="336"/>
      <c r="K208" s="337"/>
      <c r="L208" s="337"/>
      <c r="M208" s="6"/>
      <c r="N208" s="338"/>
      <c r="O208" s="338"/>
      <c r="P208" s="6"/>
      <c r="Q208" s="339"/>
      <c r="R208" s="339"/>
      <c r="U208" s="1021"/>
      <c r="V208" s="1024"/>
      <c r="W208" s="1027"/>
      <c r="X208" s="985"/>
      <c r="Z208" s="477"/>
      <c r="AA208" s="622"/>
      <c r="AB208" s="622"/>
      <c r="AC208" s="622"/>
      <c r="AD208" s="622"/>
      <c r="AE208" s="296"/>
      <c r="AF208" s="296"/>
      <c r="AG208" s="478"/>
      <c r="AH208" s="296"/>
      <c r="AI208" s="296"/>
      <c r="AJ208" s="296"/>
      <c r="AK208" s="296"/>
      <c r="AL208" s="296"/>
      <c r="AM208" s="296"/>
      <c r="AN208" s="296"/>
      <c r="AO208" s="296"/>
      <c r="AP208" s="296"/>
      <c r="AQ208" s="296"/>
      <c r="AR208" s="296"/>
      <c r="AS208" s="296"/>
      <c r="AT208" s="296"/>
    </row>
    <row r="209" spans="1:46" ht="16.5">
      <c r="A209" s="1">
        <v>1</v>
      </c>
      <c r="B209" s="340" t="s">
        <v>47</v>
      </c>
      <c r="C209" s="1040">
        <f>6*3+7*33.8</f>
        <v>254.59999999999997</v>
      </c>
      <c r="D209" s="1041"/>
      <c r="E209" s="1030">
        <f t="shared" ref="E209:E216" si="81">+C209/7</f>
        <v>36.371428571428567</v>
      </c>
      <c r="F209" s="1031"/>
      <c r="G209" s="341"/>
      <c r="H209" s="341"/>
      <c r="I209" s="1032">
        <f t="shared" ref="I209:I216" si="82">+E209/8</f>
        <v>4.5464285714285708</v>
      </c>
      <c r="J209" s="1033"/>
      <c r="K209" s="1034">
        <f t="shared" ref="K209:K219" si="83">+E209*30</f>
        <v>1091.1428571428569</v>
      </c>
      <c r="L209" s="1034"/>
      <c r="M209" s="6"/>
      <c r="N209" s="1035">
        <f t="shared" ref="N209:N223" si="84">+I209/6*7</f>
        <v>5.3041666666666654</v>
      </c>
      <c r="O209" s="1035"/>
      <c r="P209" s="6"/>
      <c r="Q209" s="1036">
        <f t="shared" ref="Q209:Q223" si="85">+$I$71-I209</f>
        <v>0.68482142857142936</v>
      </c>
      <c r="R209" s="1037"/>
      <c r="U209" s="342">
        <f t="shared" ref="U209:U215" si="86">+AE170+U170+K170+AO149+AE149+U149+K149</f>
        <v>0</v>
      </c>
      <c r="V209" s="343">
        <v>48</v>
      </c>
      <c r="W209" s="344">
        <f t="shared" ref="W209:W223" si="87">+V209-U209</f>
        <v>48</v>
      </c>
      <c r="X209" s="345" t="e">
        <f t="shared" ref="X209:X215" si="88">+J149+T149+AD149+J170+T170+AD170</f>
        <v>#VALUE!</v>
      </c>
      <c r="Z209" s="477"/>
      <c r="AA209" s="622"/>
      <c r="AB209" s="622"/>
      <c r="AC209" s="622"/>
      <c r="AD209" s="622"/>
      <c r="AE209" s="296"/>
      <c r="AF209" s="296"/>
      <c r="AG209" s="478"/>
      <c r="AH209" s="296"/>
      <c r="AI209" s="296"/>
      <c r="AJ209" s="296"/>
      <c r="AK209" s="296"/>
      <c r="AL209" s="296"/>
      <c r="AM209" s="296"/>
      <c r="AN209" s="296"/>
      <c r="AO209" s="296"/>
      <c r="AP209" s="296"/>
      <c r="AQ209" s="296"/>
      <c r="AR209" s="296"/>
      <c r="AS209" s="296"/>
      <c r="AT209" s="296"/>
    </row>
    <row r="210" spans="1:46" ht="16.5">
      <c r="A210" s="1">
        <v>2</v>
      </c>
      <c r="B210" s="340" t="s">
        <v>48</v>
      </c>
      <c r="C210" s="1040">
        <f>6*3+7*38.5</f>
        <v>287.5</v>
      </c>
      <c r="D210" s="1041"/>
      <c r="E210" s="1030">
        <f t="shared" si="81"/>
        <v>41.071428571428569</v>
      </c>
      <c r="F210" s="1031"/>
      <c r="G210" s="341"/>
      <c r="H210" s="341"/>
      <c r="I210" s="1032">
        <f t="shared" si="82"/>
        <v>5.1339285714285712</v>
      </c>
      <c r="J210" s="1033"/>
      <c r="K210" s="1034">
        <f t="shared" si="83"/>
        <v>1232.1428571428571</v>
      </c>
      <c r="L210" s="1034"/>
      <c r="M210" s="6"/>
      <c r="N210" s="1035">
        <f t="shared" si="84"/>
        <v>5.989583333333333</v>
      </c>
      <c r="O210" s="1035"/>
      <c r="P210" s="6"/>
      <c r="Q210" s="1036">
        <f t="shared" si="85"/>
        <v>9.7321428571429003E-2</v>
      </c>
      <c r="R210" s="1037"/>
      <c r="U210" s="342">
        <f t="shared" si="86"/>
        <v>0</v>
      </c>
      <c r="V210" s="343">
        <v>48</v>
      </c>
      <c r="W210" s="344">
        <f t="shared" si="87"/>
        <v>48</v>
      </c>
      <c r="X210" s="345" t="e">
        <f t="shared" si="88"/>
        <v>#VALUE!</v>
      </c>
      <c r="Z210" s="477"/>
      <c r="AA210" s="622"/>
      <c r="AB210" s="622"/>
      <c r="AC210" s="622"/>
      <c r="AD210" s="622"/>
      <c r="AE210" s="296"/>
      <c r="AF210" s="296"/>
      <c r="AG210" s="478"/>
      <c r="AH210" s="296"/>
      <c r="AI210" s="296"/>
      <c r="AJ210" s="296"/>
      <c r="AK210" s="296"/>
      <c r="AL210" s="296"/>
      <c r="AM210" s="296"/>
      <c r="AN210" s="296"/>
      <c r="AO210" s="296"/>
      <c r="AP210" s="296"/>
      <c r="AQ210" s="296"/>
      <c r="AR210" s="296"/>
      <c r="AS210" s="296"/>
      <c r="AT210" s="296"/>
    </row>
    <row r="211" spans="1:46" ht="16.5">
      <c r="A211" s="1">
        <v>2</v>
      </c>
      <c r="B211" s="340" t="s">
        <v>61</v>
      </c>
      <c r="C211" s="1040">
        <f>6*3+7*38.5</f>
        <v>287.5</v>
      </c>
      <c r="D211" s="1041"/>
      <c r="E211" s="1030">
        <f t="shared" si="81"/>
        <v>41.071428571428569</v>
      </c>
      <c r="F211" s="1031"/>
      <c r="G211" s="341"/>
      <c r="H211" s="341"/>
      <c r="I211" s="1032">
        <f t="shared" si="82"/>
        <v>5.1339285714285712</v>
      </c>
      <c r="J211" s="1033"/>
      <c r="K211" s="1034">
        <f t="shared" si="83"/>
        <v>1232.1428571428571</v>
      </c>
      <c r="L211" s="1034"/>
      <c r="M211" s="6"/>
      <c r="N211" s="1035">
        <f t="shared" si="84"/>
        <v>5.989583333333333</v>
      </c>
      <c r="O211" s="1035"/>
      <c r="P211" s="6"/>
      <c r="Q211" s="1036">
        <f t="shared" si="85"/>
        <v>9.7321428571429003E-2</v>
      </c>
      <c r="R211" s="1037"/>
      <c r="U211" s="342">
        <f t="shared" si="86"/>
        <v>0</v>
      </c>
      <c r="V211" s="343">
        <v>48</v>
      </c>
      <c r="W211" s="344">
        <f t="shared" si="87"/>
        <v>48</v>
      </c>
      <c r="X211" s="345" t="e">
        <f t="shared" si="88"/>
        <v>#VALUE!</v>
      </c>
      <c r="Z211" s="477"/>
      <c r="AA211" s="622"/>
      <c r="AB211" s="622"/>
      <c r="AC211" s="622"/>
      <c r="AD211" s="622"/>
      <c r="AE211" s="296"/>
      <c r="AF211" s="296"/>
      <c r="AG211" s="478"/>
      <c r="AH211" s="296"/>
      <c r="AI211" s="296"/>
      <c r="AJ211" s="296"/>
      <c r="AK211" s="296"/>
      <c r="AL211" s="296"/>
      <c r="AM211" s="296"/>
      <c r="AN211" s="296"/>
      <c r="AO211" s="296"/>
      <c r="AP211" s="296"/>
      <c r="AQ211" s="296"/>
      <c r="AR211" s="296"/>
      <c r="AS211" s="296"/>
      <c r="AT211" s="296"/>
    </row>
    <row r="212" spans="1:46" ht="16.5">
      <c r="A212" s="1">
        <v>4</v>
      </c>
      <c r="B212" s="359" t="s">
        <v>50</v>
      </c>
      <c r="C212" s="1028">
        <f>6*3+7*30.762</f>
        <v>233.334</v>
      </c>
      <c r="D212" s="1029"/>
      <c r="E212" s="1030">
        <f t="shared" si="81"/>
        <v>33.33342857142857</v>
      </c>
      <c r="F212" s="1031"/>
      <c r="G212" s="341"/>
      <c r="H212" s="341"/>
      <c r="I212" s="1032">
        <f t="shared" si="82"/>
        <v>4.1666785714285712</v>
      </c>
      <c r="J212" s="1033"/>
      <c r="K212" s="1034">
        <f t="shared" si="83"/>
        <v>1000.0028571428571</v>
      </c>
      <c r="L212" s="1034"/>
      <c r="M212" s="6"/>
      <c r="N212" s="1035">
        <f t="shared" si="84"/>
        <v>4.8611250000000004</v>
      </c>
      <c r="O212" s="1035"/>
      <c r="P212" s="6"/>
      <c r="Q212" s="1036">
        <f t="shared" si="85"/>
        <v>1.0645714285714289</v>
      </c>
      <c r="R212" s="1037"/>
      <c r="S212" s="1082">
        <f>20*30/180*117</f>
        <v>390</v>
      </c>
      <c r="T212" s="1083"/>
      <c r="U212" s="342">
        <f t="shared" si="86"/>
        <v>0</v>
      </c>
      <c r="V212" s="343">
        <v>48</v>
      </c>
      <c r="W212" s="344">
        <f t="shared" si="87"/>
        <v>48</v>
      </c>
      <c r="X212" s="345">
        <f t="shared" si="88"/>
        <v>0</v>
      </c>
      <c r="Z212" s="1084" t="s">
        <v>99</v>
      </c>
      <c r="AA212" s="1084"/>
      <c r="AB212" s="1084"/>
      <c r="AC212" s="1084"/>
      <c r="AD212" s="477" t="s">
        <v>100</v>
      </c>
      <c r="AE212" s="622"/>
      <c r="AF212" s="296"/>
      <c r="AG212" s="621"/>
      <c r="AH212" s="621"/>
      <c r="AI212" s="296"/>
      <c r="AJ212" s="296"/>
      <c r="AK212" s="620"/>
      <c r="AL212" s="620"/>
      <c r="AM212" s="620"/>
      <c r="AN212" s="620"/>
      <c r="AO212" s="620"/>
      <c r="AP212" s="620"/>
      <c r="AQ212" s="620"/>
      <c r="AR212" s="620"/>
      <c r="AS212" s="296"/>
      <c r="AT212" s="296"/>
    </row>
    <row r="213" spans="1:46" ht="16.5">
      <c r="A213" s="1">
        <v>5</v>
      </c>
      <c r="B213" s="340" t="s">
        <v>52</v>
      </c>
      <c r="C213" s="1028">
        <f>6*3+7*38.5</f>
        <v>287.5</v>
      </c>
      <c r="D213" s="1029"/>
      <c r="E213" s="1030">
        <f t="shared" si="81"/>
        <v>41.071428571428569</v>
      </c>
      <c r="F213" s="1031"/>
      <c r="G213" s="341"/>
      <c r="H213" s="341"/>
      <c r="I213" s="1032">
        <f t="shared" si="82"/>
        <v>5.1339285714285712</v>
      </c>
      <c r="J213" s="1033"/>
      <c r="K213" s="1034">
        <f t="shared" si="83"/>
        <v>1232.1428571428571</v>
      </c>
      <c r="L213" s="1034"/>
      <c r="M213" s="6"/>
      <c r="N213" s="1035">
        <f t="shared" si="84"/>
        <v>5.989583333333333</v>
      </c>
      <c r="O213" s="1035"/>
      <c r="P213" s="6"/>
      <c r="Q213" s="1036">
        <f t="shared" si="85"/>
        <v>9.7321428571429003E-2</v>
      </c>
      <c r="R213" s="1037"/>
      <c r="U213" s="342">
        <f t="shared" si="86"/>
        <v>0</v>
      </c>
      <c r="V213" s="343">
        <v>48</v>
      </c>
      <c r="W213" s="344">
        <f t="shared" si="87"/>
        <v>48</v>
      </c>
      <c r="X213" s="345">
        <f t="shared" si="88"/>
        <v>0</v>
      </c>
      <c r="Z213" s="622"/>
      <c r="AA213" s="622"/>
      <c r="AB213" s="622"/>
      <c r="AC213" s="622"/>
      <c r="AD213" s="622"/>
      <c r="AE213" s="296"/>
      <c r="AF213" s="296"/>
      <c r="AG213" s="479"/>
      <c r="AH213" s="479"/>
      <c r="AI213" s="621"/>
      <c r="AJ213" s="621"/>
      <c r="AK213" s="621"/>
      <c r="AL213" s="621"/>
      <c r="AM213" s="621"/>
      <c r="AN213" s="621"/>
      <c r="AO213" s="621"/>
      <c r="AP213" s="621"/>
      <c r="AQ213" s="621"/>
      <c r="AR213" s="621"/>
      <c r="AS213" s="296"/>
      <c r="AT213" s="296"/>
    </row>
    <row r="214" spans="1:46" ht="16.5">
      <c r="A214" s="1">
        <v>7</v>
      </c>
      <c r="B214" s="365" t="s">
        <v>53</v>
      </c>
      <c r="C214" s="1042">
        <f>6*3+7*(38.5)</f>
        <v>287.5</v>
      </c>
      <c r="D214" s="1043"/>
      <c r="E214" s="1030">
        <f t="shared" si="81"/>
        <v>41.071428571428569</v>
      </c>
      <c r="F214" s="1031"/>
      <c r="G214" s="1046"/>
      <c r="H214" s="1047"/>
      <c r="I214" s="1032">
        <f t="shared" si="82"/>
        <v>5.1339285714285712</v>
      </c>
      <c r="J214" s="1033"/>
      <c r="K214" s="1034">
        <f t="shared" si="83"/>
        <v>1232.1428571428571</v>
      </c>
      <c r="L214" s="1034"/>
      <c r="M214" s="6"/>
      <c r="N214" s="1035">
        <f t="shared" si="84"/>
        <v>5.989583333333333</v>
      </c>
      <c r="O214" s="1035"/>
      <c r="P214" s="6"/>
      <c r="Q214" s="1036">
        <f t="shared" si="85"/>
        <v>9.7321428571429003E-2</v>
      </c>
      <c r="R214" s="1037"/>
      <c r="U214" s="342">
        <f t="shared" si="86"/>
        <v>0</v>
      </c>
      <c r="V214" s="343">
        <v>48</v>
      </c>
      <c r="W214" s="344">
        <f t="shared" si="87"/>
        <v>48</v>
      </c>
      <c r="X214" s="345">
        <f t="shared" si="88"/>
        <v>0</v>
      </c>
      <c r="Z214" s="372"/>
      <c r="AA214" s="372"/>
      <c r="AB214" s="1085" t="s">
        <v>101</v>
      </c>
      <c r="AC214" s="1086"/>
      <c r="AD214" s="1086"/>
      <c r="AE214" s="1086"/>
      <c r="AF214" s="1086"/>
      <c r="AG214" s="1086"/>
      <c r="AH214" s="1086"/>
      <c r="AI214" s="1086"/>
      <c r="AJ214" s="1086"/>
      <c r="AK214" s="1086"/>
      <c r="AL214" s="370"/>
      <c r="AM214" s="621"/>
      <c r="AN214" s="621"/>
      <c r="AO214" s="621"/>
      <c r="AP214" s="621"/>
      <c r="AQ214" s="621"/>
      <c r="AR214" s="621"/>
      <c r="AS214" s="296"/>
      <c r="AT214" s="296"/>
    </row>
    <row r="215" spans="1:46" s="371" customFormat="1" ht="16.5">
      <c r="A215" s="366">
        <v>6</v>
      </c>
      <c r="B215" s="365" t="s">
        <v>102</v>
      </c>
      <c r="C215" s="1042">
        <f>6*3+7*(27)</f>
        <v>207</v>
      </c>
      <c r="D215" s="1043"/>
      <c r="E215" s="1030">
        <f t="shared" si="81"/>
        <v>29.571428571428573</v>
      </c>
      <c r="F215" s="1031"/>
      <c r="G215" s="1087"/>
      <c r="H215" s="1088"/>
      <c r="I215" s="1032">
        <f t="shared" si="82"/>
        <v>3.6964285714285716</v>
      </c>
      <c r="J215" s="1033"/>
      <c r="K215" s="1034">
        <f t="shared" si="83"/>
        <v>887.14285714285722</v>
      </c>
      <c r="L215" s="1034"/>
      <c r="M215" s="6"/>
      <c r="N215" s="1035">
        <f t="shared" si="84"/>
        <v>4.3125</v>
      </c>
      <c r="O215" s="1035"/>
      <c r="P215" s="6"/>
      <c r="Q215" s="1036">
        <f t="shared" si="85"/>
        <v>1.5348214285714286</v>
      </c>
      <c r="R215" s="1037"/>
      <c r="S215" s="1082">
        <f>20*30/180*117</f>
        <v>390</v>
      </c>
      <c r="T215" s="1083"/>
      <c r="U215" s="342">
        <f t="shared" si="86"/>
        <v>0</v>
      </c>
      <c r="V215" s="343">
        <v>48</v>
      </c>
      <c r="W215" s="344">
        <f t="shared" si="87"/>
        <v>48</v>
      </c>
      <c r="X215" s="345">
        <f t="shared" si="88"/>
        <v>0</v>
      </c>
      <c r="Y215" s="367"/>
      <c r="Z215" s="622"/>
      <c r="AA215" s="622"/>
      <c r="AB215" s="622"/>
      <c r="AC215" s="622"/>
      <c r="AD215" s="622"/>
      <c r="AE215" s="296"/>
      <c r="AF215" s="296"/>
      <c r="AG215" s="621"/>
      <c r="AH215" s="621"/>
      <c r="AI215" s="370"/>
      <c r="AJ215" s="370"/>
      <c r="AK215" s="370"/>
      <c r="AL215" s="370"/>
      <c r="AM215" s="621"/>
      <c r="AN215" s="621"/>
      <c r="AO215" s="621"/>
      <c r="AP215" s="621"/>
      <c r="AQ215" s="621"/>
      <c r="AR215" s="621"/>
      <c r="AS215" s="296"/>
      <c r="AT215" s="296"/>
    </row>
    <row r="216" spans="1:46" s="371" customFormat="1" ht="16.5">
      <c r="A216" s="1">
        <v>8</v>
      </c>
      <c r="B216" s="365" t="s">
        <v>87</v>
      </c>
      <c r="C216" s="1042">
        <f>6*3+7*(25.7619)</f>
        <v>198.33330000000001</v>
      </c>
      <c r="D216" s="1043"/>
      <c r="E216" s="1030">
        <f t="shared" si="81"/>
        <v>28.333328571428574</v>
      </c>
      <c r="F216" s="1031"/>
      <c r="G216" s="1044">
        <v>25.761900000000001</v>
      </c>
      <c r="H216" s="1045"/>
      <c r="I216" s="1032">
        <f t="shared" si="82"/>
        <v>3.5416660714285717</v>
      </c>
      <c r="J216" s="1033"/>
      <c r="K216" s="1034">
        <f t="shared" si="83"/>
        <v>849.99985714285719</v>
      </c>
      <c r="L216" s="1034"/>
      <c r="M216" s="6"/>
      <c r="N216" s="1035">
        <f t="shared" si="84"/>
        <v>4.1319437500000005</v>
      </c>
      <c r="O216" s="1035"/>
      <c r="P216" s="6"/>
      <c r="Q216" s="1036">
        <f t="shared" si="85"/>
        <v>1.6895839285714285</v>
      </c>
      <c r="R216" s="1037"/>
      <c r="S216" s="3"/>
      <c r="T216" s="3"/>
      <c r="U216" s="342">
        <f>+AE178+U178+K178+AO157+AE157+U157+K157</f>
        <v>0</v>
      </c>
      <c r="V216" s="343">
        <v>48</v>
      </c>
      <c r="W216" s="344">
        <f t="shared" si="87"/>
        <v>48</v>
      </c>
      <c r="X216" s="345">
        <f>+J157+T157+AD157+J178+T178+AD178</f>
        <v>0</v>
      </c>
      <c r="Y216" s="3"/>
      <c r="Z216" s="622"/>
      <c r="AA216" s="622"/>
      <c r="AB216" s="622"/>
      <c r="AC216" s="622"/>
      <c r="AD216" s="622"/>
      <c r="AE216" s="296"/>
      <c r="AF216" s="296"/>
      <c r="AG216" s="621"/>
      <c r="AH216" s="621"/>
      <c r="AI216" s="370"/>
      <c r="AJ216" s="370"/>
      <c r="AK216" s="370"/>
      <c r="AL216" s="370"/>
      <c r="AM216" s="621"/>
      <c r="AN216" s="621"/>
      <c r="AO216" s="621"/>
      <c r="AP216" s="621"/>
      <c r="AQ216" s="621"/>
      <c r="AR216" s="621"/>
      <c r="AS216" s="296"/>
      <c r="AT216" s="296"/>
    </row>
    <row r="217" spans="1:46" ht="16.5">
      <c r="B217" s="365" t="s">
        <v>54</v>
      </c>
      <c r="C217" s="1042"/>
      <c r="D217" s="1043"/>
      <c r="E217" s="1030"/>
      <c r="F217" s="1031"/>
      <c r="G217" s="1087"/>
      <c r="H217" s="1088"/>
      <c r="I217" s="1032"/>
      <c r="J217" s="1033"/>
      <c r="K217" s="1034">
        <f t="shared" si="83"/>
        <v>0</v>
      </c>
      <c r="L217" s="1034"/>
      <c r="M217" s="6"/>
      <c r="N217" s="1035">
        <f t="shared" si="84"/>
        <v>0</v>
      </c>
      <c r="O217" s="1035"/>
      <c r="P217" s="6"/>
      <c r="Q217" s="1036">
        <f t="shared" si="85"/>
        <v>5.2312500000000002</v>
      </c>
      <c r="R217" s="1037"/>
      <c r="U217" s="342">
        <f>+AE182+U182+K182+AO161+AE161+U161+K161</f>
        <v>0</v>
      </c>
      <c r="V217" s="343">
        <v>48</v>
      </c>
      <c r="W217" s="344">
        <f t="shared" si="87"/>
        <v>48</v>
      </c>
      <c r="X217" s="345" t="e">
        <f>+#REF!+#REF!+#REF!+#REF!+#REF!+#REF!</f>
        <v>#REF!</v>
      </c>
      <c r="Z217" s="372"/>
      <c r="AA217" s="372"/>
      <c r="AB217" s="622"/>
      <c r="AC217" s="622"/>
      <c r="AD217" s="622"/>
      <c r="AE217" s="296"/>
      <c r="AF217" s="296"/>
      <c r="AG217" s="621"/>
      <c r="AH217" s="621"/>
      <c r="AI217" s="621"/>
      <c r="AJ217" s="621"/>
      <c r="AK217" s="621"/>
      <c r="AL217" s="621"/>
      <c r="AM217" s="621"/>
      <c r="AN217" s="621"/>
      <c r="AO217" s="621"/>
      <c r="AP217" s="621"/>
      <c r="AQ217" s="621"/>
      <c r="AR217" s="621"/>
      <c r="AS217" s="296"/>
      <c r="AT217" s="296"/>
    </row>
    <row r="218" spans="1:46" ht="16.5">
      <c r="B218" s="365" t="s">
        <v>54</v>
      </c>
      <c r="C218" s="1028">
        <f>6*3+7*35</f>
        <v>263</v>
      </c>
      <c r="D218" s="1029"/>
      <c r="E218" s="1030">
        <f t="shared" ref="E218:E223" si="89">+C218/7</f>
        <v>37.571428571428569</v>
      </c>
      <c r="F218" s="1031"/>
      <c r="G218" s="341"/>
      <c r="H218" s="341"/>
      <c r="I218" s="1032">
        <f>+E218/8</f>
        <v>4.6964285714285712</v>
      </c>
      <c r="J218" s="1033"/>
      <c r="K218" s="1034">
        <f t="shared" si="83"/>
        <v>1127.1428571428571</v>
      </c>
      <c r="L218" s="1034"/>
      <c r="M218" s="374"/>
      <c r="N218" s="1035">
        <f t="shared" si="84"/>
        <v>5.479166666666667</v>
      </c>
      <c r="O218" s="1035"/>
      <c r="P218" s="6"/>
      <c r="Q218" s="1036">
        <f t="shared" si="85"/>
        <v>0.534821428571429</v>
      </c>
      <c r="R218" s="1037"/>
      <c r="U218" s="342">
        <f>+AE179+U179+K179+AO158+AE158+U158+K158</f>
        <v>0</v>
      </c>
      <c r="V218" s="343">
        <v>48</v>
      </c>
      <c r="W218" s="344">
        <f t="shared" si="87"/>
        <v>48</v>
      </c>
      <c r="X218" s="345">
        <f>+J158+T158+AD158+J179+T179+AD179</f>
        <v>0</v>
      </c>
      <c r="Z218" s="1084">
        <f>+K218/E218</f>
        <v>30</v>
      </c>
      <c r="AA218" s="1084"/>
      <c r="AB218" s="1084"/>
      <c r="AC218" s="1084"/>
      <c r="AD218" s="622"/>
      <c r="AE218" s="296"/>
      <c r="AF218" s="296"/>
      <c r="AG218" s="479"/>
      <c r="AH218" s="479"/>
      <c r="AI218" s="621"/>
      <c r="AJ218" s="621"/>
      <c r="AK218" s="621"/>
      <c r="AL218" s="621"/>
      <c r="AM218" s="621"/>
      <c r="AN218" s="621"/>
      <c r="AO218" s="621"/>
      <c r="AP218" s="621"/>
      <c r="AQ218" s="621"/>
      <c r="AR218" s="621"/>
      <c r="AS218" s="296"/>
      <c r="AT218" s="296"/>
    </row>
    <row r="219" spans="1:46" ht="16.5">
      <c r="A219" s="1">
        <v>3</v>
      </c>
      <c r="B219" s="340" t="s">
        <v>66</v>
      </c>
      <c r="C219" s="1028">
        <f>6*3+7*34.0952</f>
        <v>256.66639999999995</v>
      </c>
      <c r="D219" s="1029"/>
      <c r="E219" s="1030">
        <f t="shared" si="89"/>
        <v>36.666628571428568</v>
      </c>
      <c r="F219" s="1031"/>
      <c r="G219" s="1044">
        <f>(C219-18)/7</f>
        <v>34.095199999999991</v>
      </c>
      <c r="H219" s="1045"/>
      <c r="I219" s="1032">
        <f>+E219/8</f>
        <v>4.583328571428571</v>
      </c>
      <c r="J219" s="1089"/>
      <c r="K219" s="1090">
        <f t="shared" si="83"/>
        <v>1099.9988571428571</v>
      </c>
      <c r="L219" s="1091"/>
      <c r="M219" s="374"/>
      <c r="N219" s="1050">
        <f t="shared" si="84"/>
        <v>5.3472166666666663</v>
      </c>
      <c r="O219" s="1051"/>
      <c r="P219" s="6"/>
      <c r="Q219" s="1036">
        <f t="shared" si="85"/>
        <v>0.6479214285714292</v>
      </c>
      <c r="R219" s="1037"/>
      <c r="U219" s="342">
        <f>+AE180+U180+K180+AO159+AE159+U159+K159</f>
        <v>0</v>
      </c>
      <c r="V219" s="343">
        <v>48</v>
      </c>
      <c r="W219" s="344">
        <f t="shared" si="87"/>
        <v>48</v>
      </c>
      <c r="X219" s="345">
        <f>+J159+T159+AD159+J180+T180+AD180</f>
        <v>0</v>
      </c>
      <c r="Z219" s="481"/>
      <c r="AA219" s="482"/>
      <c r="AB219" s="477"/>
      <c r="AC219" s="622"/>
      <c r="AD219" s="622"/>
      <c r="AE219" s="296"/>
      <c r="AF219" s="296"/>
      <c r="AG219" s="621"/>
      <c r="AH219" s="621"/>
      <c r="AI219" s="370"/>
      <c r="AJ219" s="370"/>
      <c r="AK219" s="370"/>
      <c r="AL219" s="370"/>
      <c r="AM219" s="621"/>
      <c r="AN219" s="621"/>
      <c r="AO219" s="621"/>
      <c r="AP219" s="621"/>
      <c r="AQ219" s="621"/>
      <c r="AR219" s="621"/>
      <c r="AS219" s="296"/>
      <c r="AT219" s="296"/>
    </row>
    <row r="220" spans="1:46" ht="16.5">
      <c r="B220" s="483" t="s">
        <v>55</v>
      </c>
      <c r="C220" s="1104">
        <f>+G220*6</f>
        <v>169.99979999999999</v>
      </c>
      <c r="D220" s="1105"/>
      <c r="E220" s="1106">
        <f t="shared" si="89"/>
        <v>24.285685714285712</v>
      </c>
      <c r="F220" s="1107"/>
      <c r="G220" s="1108">
        <f>28.3333</f>
        <v>28.333300000000001</v>
      </c>
      <c r="H220" s="1109"/>
      <c r="I220" s="1106">
        <f>+G220/8</f>
        <v>3.5416625000000002</v>
      </c>
      <c r="J220" s="1107"/>
      <c r="K220" s="1110">
        <f>+G220*30</f>
        <v>849.99900000000002</v>
      </c>
      <c r="L220" s="1111"/>
      <c r="M220" s="6"/>
      <c r="N220" s="1050">
        <f t="shared" si="84"/>
        <v>4.1319395833333337</v>
      </c>
      <c r="O220" s="1051"/>
      <c r="P220" s="6"/>
      <c r="Q220" s="1048">
        <f t="shared" si="85"/>
        <v>1.6895875</v>
      </c>
      <c r="R220" s="1049"/>
      <c r="U220" s="342">
        <f>+AE182+U182+K182+AO161+AE161+U161+K161</f>
        <v>0</v>
      </c>
      <c r="V220" s="343">
        <v>48</v>
      </c>
      <c r="W220" s="344">
        <f t="shared" si="87"/>
        <v>48</v>
      </c>
      <c r="X220" s="345">
        <f>+J160+T160+AD160+J181+T181+AD181</f>
        <v>0</v>
      </c>
      <c r="Z220" s="481"/>
      <c r="AA220" s="482"/>
      <c r="AB220" s="477"/>
      <c r="AC220" s="622"/>
      <c r="AD220" s="622"/>
      <c r="AE220" s="296"/>
      <c r="AF220" s="296"/>
      <c r="AG220" s="370"/>
      <c r="AH220" s="370"/>
      <c r="AI220" s="621"/>
      <c r="AJ220" s="621"/>
      <c r="AK220" s="621"/>
      <c r="AL220" s="621"/>
      <c r="AM220" s="621"/>
      <c r="AN220" s="621"/>
      <c r="AO220" s="621"/>
      <c r="AP220" s="621"/>
      <c r="AQ220" s="621"/>
      <c r="AR220" s="621"/>
      <c r="AS220" s="296"/>
      <c r="AT220" s="296"/>
    </row>
    <row r="221" spans="1:46" ht="16.5">
      <c r="B221" s="483" t="s">
        <v>103</v>
      </c>
      <c r="C221" s="1104">
        <f>+G221*6</f>
        <v>199.99979999999999</v>
      </c>
      <c r="D221" s="1105"/>
      <c r="E221" s="1106">
        <f t="shared" si="89"/>
        <v>28.571400000000001</v>
      </c>
      <c r="F221" s="1107"/>
      <c r="G221" s="1108">
        <v>33.333300000000001</v>
      </c>
      <c r="H221" s="1109"/>
      <c r="I221" s="1106">
        <f>+G221/8</f>
        <v>4.1666625000000002</v>
      </c>
      <c r="J221" s="1107"/>
      <c r="K221" s="1110">
        <f>+G221*30</f>
        <v>999.99900000000002</v>
      </c>
      <c r="L221" s="1111"/>
      <c r="M221" s="6"/>
      <c r="N221" s="1050">
        <f t="shared" si="84"/>
        <v>4.8611062500000006</v>
      </c>
      <c r="O221" s="1051"/>
      <c r="P221" s="6"/>
      <c r="Q221" s="1048">
        <f t="shared" si="85"/>
        <v>1.0645875</v>
      </c>
      <c r="R221" s="1049"/>
      <c r="U221" s="342">
        <f>+AE183+U183+K183+AO162+AE162+U162+K162</f>
        <v>0</v>
      </c>
      <c r="V221" s="343">
        <v>48</v>
      </c>
      <c r="W221" s="344">
        <f t="shared" si="87"/>
        <v>48</v>
      </c>
      <c r="X221" s="345">
        <f>+J161+T161+AD161+J182+T182+AD182</f>
        <v>0</v>
      </c>
      <c r="Z221" s="372"/>
      <c r="AA221" s="372"/>
      <c r="AB221" s="622"/>
      <c r="AC221" s="622"/>
      <c r="AD221" s="622">
        <v>200</v>
      </c>
      <c r="AE221" s="296"/>
      <c r="AF221" s="1092">
        <f>+AD221/6</f>
        <v>33.333333333333336</v>
      </c>
      <c r="AG221" s="1092"/>
      <c r="AH221" s="1092"/>
      <c r="AI221" s="621"/>
      <c r="AJ221" s="621"/>
      <c r="AK221" s="621"/>
      <c r="AL221" s="621"/>
      <c r="AM221" s="621"/>
      <c r="AN221" s="621"/>
      <c r="AO221" s="621"/>
      <c r="AP221" s="621"/>
      <c r="AQ221" s="621"/>
      <c r="AR221" s="621"/>
      <c r="AS221" s="296"/>
      <c r="AT221" s="296"/>
    </row>
    <row r="222" spans="1:46" ht="16.5">
      <c r="A222" s="366"/>
      <c r="B222" s="483" t="s">
        <v>104</v>
      </c>
      <c r="C222" s="1093">
        <v>100</v>
      </c>
      <c r="D222" s="1094"/>
      <c r="E222" s="1095">
        <f t="shared" si="89"/>
        <v>14.285714285714286</v>
      </c>
      <c r="F222" s="1096"/>
      <c r="G222" s="1097">
        <f>+C222/6</f>
        <v>16.666666666666668</v>
      </c>
      <c r="H222" s="1098"/>
      <c r="I222" s="1099">
        <f>+E222/8/6*7</f>
        <v>2.0833333333333335</v>
      </c>
      <c r="J222" s="1100"/>
      <c r="K222" s="1101">
        <f>+G222*30</f>
        <v>500.00000000000006</v>
      </c>
      <c r="L222" s="1101"/>
      <c r="M222" s="6"/>
      <c r="N222" s="1035">
        <f t="shared" si="84"/>
        <v>2.4305555555555558</v>
      </c>
      <c r="O222" s="1035"/>
      <c r="P222" s="6"/>
      <c r="Q222" s="1102">
        <f t="shared" si="85"/>
        <v>3.1479166666666667</v>
      </c>
      <c r="R222" s="1103"/>
      <c r="U222" s="342">
        <f>+AE182+U182+K182+AO161+AE161+U161+K161</f>
        <v>0</v>
      </c>
      <c r="V222" s="343">
        <v>48</v>
      </c>
      <c r="W222" s="344">
        <f t="shared" si="87"/>
        <v>48</v>
      </c>
      <c r="X222" s="345">
        <f>+J161+T161+AD161+J182+T182+AD182</f>
        <v>0</v>
      </c>
      <c r="Y222" s="367"/>
      <c r="Z222" s="622"/>
      <c r="AA222" s="622"/>
      <c r="AB222" s="622"/>
      <c r="AC222" s="622"/>
      <c r="AG222" s="621"/>
      <c r="AH222" s="621"/>
      <c r="AI222" s="296"/>
      <c r="AJ222" s="296"/>
      <c r="AK222" s="620"/>
      <c r="AL222" s="620"/>
      <c r="AM222" s="620"/>
      <c r="AN222" s="620"/>
      <c r="AO222" s="620"/>
      <c r="AP222" s="620"/>
      <c r="AQ222" s="620"/>
      <c r="AR222" s="620"/>
      <c r="AS222" s="296"/>
      <c r="AT222" s="296"/>
    </row>
    <row r="223" spans="1:46" ht="16.5">
      <c r="B223" s="375" t="s">
        <v>65</v>
      </c>
      <c r="C223" s="1054">
        <f>6*3+7*(G223)</f>
        <v>548.33330000000001</v>
      </c>
      <c r="D223" s="1055"/>
      <c r="E223" s="1056">
        <f t="shared" si="89"/>
        <v>78.333328571428567</v>
      </c>
      <c r="F223" s="1057"/>
      <c r="G223" s="1058">
        <v>75.761899999999997</v>
      </c>
      <c r="H223" s="1059"/>
      <c r="I223" s="1060">
        <f>+E223/8</f>
        <v>9.7916660714285708</v>
      </c>
      <c r="J223" s="1061"/>
      <c r="K223" s="1062">
        <f>+E223*30</f>
        <v>2349.9998571428569</v>
      </c>
      <c r="L223" s="1063"/>
      <c r="M223" s="6"/>
      <c r="N223" s="1035">
        <f t="shared" si="84"/>
        <v>11.423610416666666</v>
      </c>
      <c r="O223" s="1035"/>
      <c r="P223" s="6"/>
      <c r="Q223" s="1048">
        <f t="shared" si="85"/>
        <v>-4.5604160714285706</v>
      </c>
      <c r="R223" s="1049"/>
      <c r="U223" s="342">
        <f>+AE186+U186+K186+AO165+AE165+U165+K165</f>
        <v>0</v>
      </c>
      <c r="V223" s="343">
        <v>48</v>
      </c>
      <c r="W223" s="344">
        <f t="shared" si="87"/>
        <v>48</v>
      </c>
      <c r="X223" s="345">
        <f>+J165+T165+AD165+J186+T186+AD186</f>
        <v>0</v>
      </c>
      <c r="Z223" s="372"/>
      <c r="AA223" s="372"/>
      <c r="AB223" s="622"/>
      <c r="AC223" s="622"/>
      <c r="AD223" s="622"/>
      <c r="AE223" s="296"/>
      <c r="AF223" s="296"/>
      <c r="AG223" s="621"/>
      <c r="AH223" s="621"/>
      <c r="AI223" s="621"/>
      <c r="AJ223" s="621"/>
      <c r="AK223" s="621"/>
      <c r="AL223" s="621"/>
      <c r="AM223" s="621"/>
      <c r="AN223" s="621"/>
      <c r="AO223" s="621"/>
      <c r="AP223" s="621"/>
      <c r="AQ223" s="296"/>
      <c r="AR223" s="296"/>
      <c r="AS223" s="296"/>
      <c r="AT223" s="296"/>
    </row>
    <row r="224" spans="1:46">
      <c r="AE224" s="376"/>
      <c r="AF224" s="376"/>
      <c r="AJ224" s="376"/>
      <c r="AK224" s="376"/>
    </row>
    <row r="225" spans="3:37" ht="15.75" thickBot="1">
      <c r="AE225" s="376"/>
      <c r="AF225" s="376"/>
      <c r="AJ225" s="376"/>
      <c r="AK225" s="376"/>
    </row>
    <row r="226" spans="3:37">
      <c r="C226" s="484"/>
      <c r="D226" s="485"/>
      <c r="E226" s="486"/>
      <c r="F226" s="487"/>
      <c r="G226" s="485"/>
      <c r="H226" s="485"/>
      <c r="I226" s="487"/>
      <c r="J226" s="485"/>
      <c r="K226" s="488"/>
      <c r="L226" s="488"/>
      <c r="M226" s="485"/>
      <c r="N226" s="485"/>
      <c r="O226" s="485"/>
      <c r="P226" s="485"/>
      <c r="Q226" s="485"/>
      <c r="R226" s="485"/>
      <c r="S226" s="485"/>
      <c r="T226" s="485"/>
      <c r="U226" s="485"/>
      <c r="V226" s="485"/>
      <c r="W226" s="485"/>
      <c r="X226" s="485"/>
      <c r="Y226" s="485"/>
      <c r="Z226" s="485"/>
      <c r="AA226" s="489"/>
      <c r="AB226" s="489"/>
      <c r="AC226" s="489"/>
      <c r="AD226" s="489"/>
      <c r="AE226" s="490"/>
      <c r="AF226" s="490"/>
      <c r="AG226" s="491"/>
      <c r="AJ226" s="376"/>
      <c r="AK226" s="376"/>
    </row>
    <row r="227" spans="3:37" ht="18">
      <c r="C227" s="492"/>
      <c r="D227" s="333"/>
      <c r="E227" s="493" t="s">
        <v>105</v>
      </c>
      <c r="F227" s="411"/>
      <c r="G227" s="333"/>
      <c r="H227" s="333"/>
      <c r="I227" s="411"/>
      <c r="J227" s="333"/>
      <c r="K227" s="405"/>
      <c r="L227" s="405"/>
      <c r="M227" s="333"/>
      <c r="N227" s="333"/>
      <c r="O227" s="333"/>
      <c r="P227" s="333"/>
      <c r="Q227" s="333"/>
      <c r="R227" s="333"/>
      <c r="S227" s="333"/>
      <c r="T227" s="333"/>
      <c r="U227" s="333"/>
      <c r="V227" s="333"/>
      <c r="W227" s="333"/>
      <c r="X227" s="333"/>
      <c r="Y227" s="333"/>
      <c r="Z227" s="333"/>
      <c r="AA227" s="167"/>
      <c r="AB227" s="167"/>
      <c r="AC227" s="167"/>
      <c r="AD227" s="167"/>
      <c r="AE227" s="376"/>
      <c r="AF227" s="376"/>
      <c r="AG227" s="494"/>
      <c r="AJ227" s="376"/>
      <c r="AK227" s="376"/>
    </row>
    <row r="228" spans="3:37">
      <c r="C228" s="492"/>
      <c r="D228" s="333"/>
      <c r="E228" s="410"/>
      <c r="F228" s="411"/>
      <c r="G228" s="333"/>
      <c r="H228" s="333"/>
      <c r="I228" s="411"/>
      <c r="J228" s="333"/>
      <c r="K228" s="405"/>
      <c r="L228" s="405"/>
      <c r="M228" s="333"/>
      <c r="N228" s="333"/>
      <c r="O228" s="333"/>
      <c r="P228" s="333"/>
      <c r="Q228" s="333"/>
      <c r="R228" s="333"/>
      <c r="S228" s="333"/>
      <c r="T228" s="333"/>
      <c r="U228" s="333"/>
      <c r="V228" s="333"/>
      <c r="W228" s="333"/>
      <c r="X228" s="333"/>
      <c r="Y228" s="333"/>
      <c r="Z228" s="333"/>
      <c r="AA228" s="1112" t="s">
        <v>106</v>
      </c>
      <c r="AB228" s="1113"/>
      <c r="AC228" s="1114"/>
      <c r="AD228" s="1115" t="s">
        <v>107</v>
      </c>
      <c r="AE228" s="1116"/>
      <c r="AF228" s="1117"/>
      <c r="AG228" s="494"/>
      <c r="AH228" s="167"/>
      <c r="AI228" s="167"/>
      <c r="AJ228" s="376"/>
      <c r="AK228" s="376"/>
    </row>
    <row r="229" spans="3:37" ht="16.5" thickBot="1">
      <c r="C229" s="492"/>
      <c r="D229" s="1118" t="s">
        <v>108</v>
      </c>
      <c r="E229" s="1118"/>
      <c r="F229" s="1118"/>
      <c r="G229" s="1118"/>
      <c r="H229" s="1118"/>
      <c r="I229" s="1119" t="s">
        <v>109</v>
      </c>
      <c r="J229" s="1119"/>
      <c r="K229" s="1119"/>
      <c r="L229" s="1120" t="s">
        <v>110</v>
      </c>
      <c r="M229" s="1120"/>
      <c r="N229" s="1120"/>
      <c r="O229" s="1120" t="s">
        <v>111</v>
      </c>
      <c r="P229" s="1120"/>
      <c r="Q229" s="1120"/>
      <c r="R229" s="1121" t="s">
        <v>112</v>
      </c>
      <c r="S229" s="1121"/>
      <c r="T229" s="1121"/>
      <c r="U229" s="1120" t="s">
        <v>113</v>
      </c>
      <c r="V229" s="1120"/>
      <c r="W229" s="1122"/>
      <c r="X229" s="1123" t="s">
        <v>114</v>
      </c>
      <c r="Y229" s="1124"/>
      <c r="Z229" s="1125"/>
      <c r="AA229" s="1126" t="s">
        <v>115</v>
      </c>
      <c r="AB229" s="1126"/>
      <c r="AC229" s="1127"/>
      <c r="AD229" s="1128" t="s">
        <v>116</v>
      </c>
      <c r="AE229" s="1129"/>
      <c r="AF229" s="1130"/>
      <c r="AG229" s="494"/>
      <c r="AH229" s="167"/>
      <c r="AI229" s="167"/>
      <c r="AJ229" s="376"/>
      <c r="AK229" s="376"/>
    </row>
    <row r="230" spans="3:37" ht="19.5" thickTop="1">
      <c r="C230" s="495">
        <v>1</v>
      </c>
      <c r="D230" s="1131" t="s">
        <v>50</v>
      </c>
      <c r="E230" s="1131"/>
      <c r="F230" s="1131"/>
      <c r="G230" s="1131"/>
      <c r="H230" s="1131"/>
      <c r="I230" s="1132">
        <v>30.762</v>
      </c>
      <c r="J230" s="1132"/>
      <c r="K230" s="1132"/>
      <c r="L230" s="1133">
        <v>1</v>
      </c>
      <c r="M230" s="1133"/>
      <c r="N230" s="1133"/>
      <c r="O230" s="1133">
        <v>2</v>
      </c>
      <c r="P230" s="1133"/>
      <c r="Q230" s="1133"/>
      <c r="R230" s="1134">
        <f t="shared" ref="R230:R237" si="90">+I230+L230+O230</f>
        <v>33.762</v>
      </c>
      <c r="S230" s="1134"/>
      <c r="T230" s="1134"/>
      <c r="U230" s="1135">
        <f t="shared" ref="U230:U237" si="91">+I230*7+(L230+O230)*6</f>
        <v>233.334</v>
      </c>
      <c r="V230" s="1135"/>
      <c r="W230" s="1136"/>
      <c r="X230" s="1137">
        <f t="shared" ref="X230:X237" si="92">+U230/7*30</f>
        <v>1000.0028571428571</v>
      </c>
      <c r="Y230" s="1138"/>
      <c r="Z230" s="1139"/>
      <c r="AA230" s="1140">
        <v>31</v>
      </c>
      <c r="AB230" s="1141"/>
      <c r="AC230" s="1141"/>
      <c r="AD230" s="1142">
        <f>+AA230-I230</f>
        <v>0.23799999999999955</v>
      </c>
      <c r="AE230" s="1142"/>
      <c r="AF230" s="1142"/>
      <c r="AG230" s="494"/>
      <c r="AH230" s="167"/>
      <c r="AI230" s="1143">
        <f>+AD230+I230</f>
        <v>31</v>
      </c>
      <c r="AJ230" s="1143"/>
      <c r="AK230" s="1143"/>
    </row>
    <row r="231" spans="3:37" ht="18.75">
      <c r="C231" s="495">
        <v>2</v>
      </c>
      <c r="D231" s="1144" t="s">
        <v>117</v>
      </c>
      <c r="E231" s="1144"/>
      <c r="F231" s="1144"/>
      <c r="G231" s="1144"/>
      <c r="H231" s="1144"/>
      <c r="I231" s="1145">
        <v>25.762</v>
      </c>
      <c r="J231" s="1145"/>
      <c r="K231" s="1145"/>
      <c r="L231" s="1146">
        <v>1</v>
      </c>
      <c r="M231" s="1146"/>
      <c r="N231" s="1146"/>
      <c r="O231" s="1146">
        <v>2</v>
      </c>
      <c r="P231" s="1146"/>
      <c r="Q231" s="1146"/>
      <c r="R231" s="1147">
        <f t="shared" si="90"/>
        <v>28.762</v>
      </c>
      <c r="S231" s="1147"/>
      <c r="T231" s="1147"/>
      <c r="U231" s="1148">
        <f t="shared" si="91"/>
        <v>198.334</v>
      </c>
      <c r="V231" s="1148"/>
      <c r="W231" s="1149"/>
      <c r="X231" s="1150">
        <f t="shared" si="92"/>
        <v>850.00285714285724</v>
      </c>
      <c r="Y231" s="1151"/>
      <c r="Z231" s="1152"/>
      <c r="AA231" s="1153">
        <v>31</v>
      </c>
      <c r="AB231" s="1154"/>
      <c r="AC231" s="1154"/>
      <c r="AD231" s="1143">
        <f>+AA231-I231</f>
        <v>5.2379999999999995</v>
      </c>
      <c r="AE231" s="1143"/>
      <c r="AF231" s="1143"/>
      <c r="AG231" s="494"/>
      <c r="AH231" s="167"/>
      <c r="AI231" s="1142">
        <f>+AD231+I231</f>
        <v>31</v>
      </c>
      <c r="AJ231" s="1142"/>
      <c r="AK231" s="1142"/>
    </row>
    <row r="232" spans="3:37" ht="18.75">
      <c r="C232" s="495">
        <v>3</v>
      </c>
      <c r="D232" s="1144" t="s">
        <v>118</v>
      </c>
      <c r="E232" s="1144"/>
      <c r="F232" s="1144"/>
      <c r="G232" s="1144"/>
      <c r="H232" s="1144"/>
      <c r="I232" s="1145">
        <v>38.5</v>
      </c>
      <c r="J232" s="1145"/>
      <c r="K232" s="1145"/>
      <c r="L232" s="1146">
        <v>1</v>
      </c>
      <c r="M232" s="1146"/>
      <c r="N232" s="1146"/>
      <c r="O232" s="1146">
        <v>2</v>
      </c>
      <c r="P232" s="1146"/>
      <c r="Q232" s="1146"/>
      <c r="R232" s="1147">
        <f t="shared" si="90"/>
        <v>41.5</v>
      </c>
      <c r="S232" s="1147"/>
      <c r="T232" s="1147"/>
      <c r="U232" s="1148">
        <f t="shared" si="91"/>
        <v>287.5</v>
      </c>
      <c r="V232" s="1148"/>
      <c r="W232" s="1149"/>
      <c r="X232" s="1150">
        <f t="shared" si="92"/>
        <v>1232.1428571428571</v>
      </c>
      <c r="Y232" s="1151"/>
      <c r="Z232" s="1152"/>
      <c r="AA232" s="1153">
        <v>31</v>
      </c>
      <c r="AB232" s="1154"/>
      <c r="AC232" s="1154"/>
      <c r="AD232" s="1143">
        <v>0</v>
      </c>
      <c r="AE232" s="1143"/>
      <c r="AF232" s="1143"/>
      <c r="AG232" s="494"/>
      <c r="AH232" s="167"/>
      <c r="AI232" s="167"/>
      <c r="AJ232" s="376"/>
      <c r="AK232" s="376"/>
    </row>
    <row r="233" spans="3:37" ht="18.75">
      <c r="C233" s="495">
        <v>4</v>
      </c>
      <c r="D233" s="1144" t="s">
        <v>119</v>
      </c>
      <c r="E233" s="1144"/>
      <c r="F233" s="1144"/>
      <c r="G233" s="1144"/>
      <c r="H233" s="1144"/>
      <c r="I233" s="1145">
        <v>38.5</v>
      </c>
      <c r="J233" s="1145"/>
      <c r="K233" s="1145"/>
      <c r="L233" s="1146">
        <v>1</v>
      </c>
      <c r="M233" s="1146"/>
      <c r="N233" s="1146"/>
      <c r="O233" s="1146">
        <v>2</v>
      </c>
      <c r="P233" s="1146"/>
      <c r="Q233" s="1146"/>
      <c r="R233" s="1147">
        <f t="shared" si="90"/>
        <v>41.5</v>
      </c>
      <c r="S233" s="1147"/>
      <c r="T233" s="1147"/>
      <c r="U233" s="1148">
        <f t="shared" si="91"/>
        <v>287.5</v>
      </c>
      <c r="V233" s="1148"/>
      <c r="W233" s="1149"/>
      <c r="X233" s="1150">
        <f t="shared" si="92"/>
        <v>1232.1428571428571</v>
      </c>
      <c r="Y233" s="1151"/>
      <c r="Z233" s="1152"/>
      <c r="AA233" s="1153">
        <v>31</v>
      </c>
      <c r="AB233" s="1154"/>
      <c r="AC233" s="1154"/>
      <c r="AD233" s="1143">
        <v>0</v>
      </c>
      <c r="AE233" s="1143"/>
      <c r="AF233" s="1143"/>
      <c r="AG233" s="494"/>
      <c r="AH233" s="167"/>
      <c r="AI233" s="167"/>
      <c r="AJ233" s="376"/>
      <c r="AK233" s="376"/>
    </row>
    <row r="234" spans="3:37" ht="18.75">
      <c r="C234" s="495">
        <v>5</v>
      </c>
      <c r="D234" s="1144" t="s">
        <v>120</v>
      </c>
      <c r="E234" s="1144"/>
      <c r="F234" s="1144"/>
      <c r="G234" s="1144"/>
      <c r="H234" s="1144"/>
      <c r="I234" s="1145">
        <v>38.5</v>
      </c>
      <c r="J234" s="1145"/>
      <c r="K234" s="1145"/>
      <c r="L234" s="1146">
        <v>1</v>
      </c>
      <c r="M234" s="1146"/>
      <c r="N234" s="1146"/>
      <c r="O234" s="1146">
        <v>2</v>
      </c>
      <c r="P234" s="1146"/>
      <c r="Q234" s="1146"/>
      <c r="R234" s="1147">
        <f t="shared" si="90"/>
        <v>41.5</v>
      </c>
      <c r="S234" s="1147"/>
      <c r="T234" s="1147"/>
      <c r="U234" s="1148">
        <f t="shared" si="91"/>
        <v>287.5</v>
      </c>
      <c r="V234" s="1148"/>
      <c r="W234" s="1149"/>
      <c r="X234" s="1150">
        <f t="shared" si="92"/>
        <v>1232.1428571428571</v>
      </c>
      <c r="Y234" s="1151"/>
      <c r="Z234" s="1152"/>
      <c r="AA234" s="1153">
        <v>31</v>
      </c>
      <c r="AB234" s="1154"/>
      <c r="AC234" s="1154"/>
      <c r="AD234" s="1143">
        <v>0</v>
      </c>
      <c r="AE234" s="1143"/>
      <c r="AF234" s="1143"/>
      <c r="AG234" s="494"/>
      <c r="AH234" s="167"/>
      <c r="AI234" s="167"/>
      <c r="AJ234" s="376"/>
      <c r="AK234" s="376"/>
    </row>
    <row r="235" spans="3:37" ht="18.75">
      <c r="C235" s="495">
        <v>6</v>
      </c>
      <c r="D235" s="1144" t="s">
        <v>121</v>
      </c>
      <c r="E235" s="1144"/>
      <c r="F235" s="1144"/>
      <c r="G235" s="1144"/>
      <c r="H235" s="1144"/>
      <c r="I235" s="1145">
        <v>33.799999999999997</v>
      </c>
      <c r="J235" s="1145"/>
      <c r="K235" s="1145"/>
      <c r="L235" s="1146">
        <v>1</v>
      </c>
      <c r="M235" s="1146"/>
      <c r="N235" s="1146"/>
      <c r="O235" s="1146">
        <v>2</v>
      </c>
      <c r="P235" s="1146"/>
      <c r="Q235" s="1146"/>
      <c r="R235" s="1147">
        <f t="shared" si="90"/>
        <v>36.799999999999997</v>
      </c>
      <c r="S235" s="1147"/>
      <c r="T235" s="1147"/>
      <c r="U235" s="1148">
        <f t="shared" si="91"/>
        <v>254.59999999999997</v>
      </c>
      <c r="V235" s="1148"/>
      <c r="W235" s="1149"/>
      <c r="X235" s="1150">
        <f t="shared" si="92"/>
        <v>1091.1428571428569</v>
      </c>
      <c r="Y235" s="1151"/>
      <c r="Z235" s="1152"/>
      <c r="AA235" s="1153">
        <v>31</v>
      </c>
      <c r="AB235" s="1154"/>
      <c r="AC235" s="1154"/>
      <c r="AD235" s="1143">
        <v>0</v>
      </c>
      <c r="AE235" s="1143"/>
      <c r="AF235" s="1143"/>
      <c r="AG235" s="494"/>
      <c r="AH235" s="167"/>
      <c r="AI235" s="167"/>
      <c r="AJ235" s="376"/>
      <c r="AK235" s="376"/>
    </row>
    <row r="236" spans="3:37" ht="18.75">
      <c r="C236" s="495">
        <v>7</v>
      </c>
      <c r="D236" s="1144" t="s">
        <v>122</v>
      </c>
      <c r="E236" s="1144"/>
      <c r="F236" s="1144"/>
      <c r="G236" s="1144"/>
      <c r="H236" s="1144"/>
      <c r="I236" s="1145">
        <v>38.5</v>
      </c>
      <c r="J236" s="1145"/>
      <c r="K236" s="1145"/>
      <c r="L236" s="1146">
        <v>1</v>
      </c>
      <c r="M236" s="1146"/>
      <c r="N236" s="1146"/>
      <c r="O236" s="1146">
        <v>2</v>
      </c>
      <c r="P236" s="1146"/>
      <c r="Q236" s="1146"/>
      <c r="R236" s="1147">
        <f t="shared" si="90"/>
        <v>41.5</v>
      </c>
      <c r="S236" s="1147"/>
      <c r="T236" s="1147"/>
      <c r="U236" s="1148">
        <f t="shared" si="91"/>
        <v>287.5</v>
      </c>
      <c r="V236" s="1148"/>
      <c r="W236" s="1149"/>
      <c r="X236" s="1150">
        <f t="shared" si="92"/>
        <v>1232.1428571428571</v>
      </c>
      <c r="Y236" s="1151"/>
      <c r="Z236" s="1152"/>
      <c r="AA236" s="1153">
        <v>31</v>
      </c>
      <c r="AB236" s="1154"/>
      <c r="AC236" s="1154"/>
      <c r="AD236" s="1143">
        <v>0</v>
      </c>
      <c r="AE236" s="1143"/>
      <c r="AF236" s="1143"/>
      <c r="AG236" s="494"/>
      <c r="AH236" s="167"/>
      <c r="AI236" s="167"/>
      <c r="AJ236" s="376"/>
      <c r="AK236" s="376"/>
    </row>
    <row r="237" spans="3:37" ht="18.75">
      <c r="C237" s="495">
        <v>8</v>
      </c>
      <c r="D237" s="1144" t="s">
        <v>66</v>
      </c>
      <c r="E237" s="1144"/>
      <c r="F237" s="1144"/>
      <c r="G237" s="1144"/>
      <c r="H237" s="1144"/>
      <c r="I237" s="1145">
        <v>34.095199999999998</v>
      </c>
      <c r="J237" s="1145"/>
      <c r="K237" s="1145"/>
      <c r="L237" s="1146">
        <v>1</v>
      </c>
      <c r="M237" s="1146"/>
      <c r="N237" s="1146"/>
      <c r="O237" s="1146">
        <v>2</v>
      </c>
      <c r="P237" s="1146"/>
      <c r="Q237" s="1146"/>
      <c r="R237" s="1147">
        <f t="shared" si="90"/>
        <v>37.095199999999998</v>
      </c>
      <c r="S237" s="1147"/>
      <c r="T237" s="1147"/>
      <c r="U237" s="1148">
        <f t="shared" si="91"/>
        <v>256.66639999999995</v>
      </c>
      <c r="V237" s="1148"/>
      <c r="W237" s="1149"/>
      <c r="X237" s="1150">
        <f t="shared" si="92"/>
        <v>1099.9988571428571</v>
      </c>
      <c r="Y237" s="1151"/>
      <c r="Z237" s="1152"/>
      <c r="AA237" s="1153">
        <v>31</v>
      </c>
      <c r="AB237" s="1154"/>
      <c r="AC237" s="1154"/>
      <c r="AD237" s="1143">
        <v>0</v>
      </c>
      <c r="AE237" s="1143"/>
      <c r="AF237" s="1143"/>
      <c r="AG237" s="494"/>
      <c r="AH237" s="167"/>
      <c r="AI237" s="167"/>
      <c r="AJ237" s="376"/>
      <c r="AK237" s="376"/>
    </row>
    <row r="238" spans="3:37" ht="17.25">
      <c r="C238" s="495">
        <v>9</v>
      </c>
      <c r="D238" s="1144"/>
      <c r="E238" s="1144"/>
      <c r="F238" s="1144"/>
      <c r="G238" s="1144"/>
      <c r="H238" s="1144"/>
      <c r="I238" s="1165"/>
      <c r="J238" s="1165"/>
      <c r="K238" s="1165"/>
      <c r="L238" s="1146"/>
      <c r="M238" s="1146"/>
      <c r="N238" s="1146"/>
      <c r="O238" s="1146"/>
      <c r="P238" s="1146"/>
      <c r="Q238" s="1146"/>
      <c r="R238" s="1160"/>
      <c r="S238" s="1160"/>
      <c r="T238" s="1160"/>
      <c r="U238" s="1148"/>
      <c r="V238" s="1148"/>
      <c r="W238" s="1149"/>
      <c r="X238" s="1150"/>
      <c r="Y238" s="1151"/>
      <c r="Z238" s="1152"/>
      <c r="AA238" s="1153"/>
      <c r="AB238" s="1154"/>
      <c r="AC238" s="1154"/>
      <c r="AD238" s="1143"/>
      <c r="AE238" s="1143"/>
      <c r="AF238" s="1143"/>
      <c r="AG238" s="494"/>
      <c r="AH238" s="167"/>
      <c r="AI238" s="167"/>
      <c r="AJ238" s="376"/>
      <c r="AK238" s="376"/>
    </row>
    <row r="239" spans="3:37" ht="17.25">
      <c r="C239" s="492"/>
      <c r="D239" s="409"/>
      <c r="E239" s="410"/>
      <c r="F239" s="411"/>
      <c r="G239" s="333"/>
      <c r="H239" s="333"/>
      <c r="I239" s="411"/>
      <c r="J239" s="333"/>
      <c r="K239" s="405"/>
      <c r="L239" s="405"/>
      <c r="M239" s="333"/>
      <c r="N239" s="333"/>
      <c r="O239" s="333"/>
      <c r="P239" s="333"/>
      <c r="Q239" s="333"/>
      <c r="R239" s="333"/>
      <c r="S239" s="1160" t="s">
        <v>23</v>
      </c>
      <c r="T239" s="1160"/>
      <c r="U239" s="1160"/>
      <c r="V239" s="333"/>
      <c r="W239" s="333"/>
      <c r="X239" s="1161">
        <f>SUM(X230:Z238)</f>
        <v>8969.718857142856</v>
      </c>
      <c r="Y239" s="1162"/>
      <c r="Z239" s="1163"/>
      <c r="AA239" s="496"/>
      <c r="AB239" s="496"/>
      <c r="AC239" s="496"/>
      <c r="AD239" s="1164">
        <f>SUM(AD230:AF238)</f>
        <v>5.4759999999999991</v>
      </c>
      <c r="AE239" s="1164"/>
      <c r="AF239" s="1164"/>
      <c r="AG239" s="494"/>
      <c r="AH239" s="167"/>
      <c r="AI239" s="167"/>
      <c r="AJ239" s="376"/>
      <c r="AK239" s="376"/>
    </row>
    <row r="240" spans="3:37" ht="15.75" thickBot="1">
      <c r="C240" s="492"/>
      <c r="D240" s="1155">
        <v>28.333300000000001</v>
      </c>
      <c r="E240" s="1155"/>
      <c r="F240" s="1155"/>
      <c r="G240" s="497" t="s">
        <v>123</v>
      </c>
      <c r="H240" s="333"/>
      <c r="I240" s="411"/>
      <c r="J240" s="333"/>
      <c r="K240" s="405"/>
      <c r="L240" s="405"/>
      <c r="M240" s="333"/>
      <c r="N240" s="333"/>
      <c r="O240" s="333"/>
      <c r="P240" s="333"/>
      <c r="Q240" s="333"/>
      <c r="R240" s="333"/>
      <c r="S240" s="333"/>
      <c r="T240" s="333"/>
      <c r="U240" s="333"/>
      <c r="V240" s="333"/>
      <c r="W240" s="333"/>
      <c r="X240" s="333"/>
      <c r="Y240" s="333"/>
      <c r="Z240" s="333"/>
      <c r="AA240" s="167"/>
      <c r="AB240" s="167"/>
      <c r="AC240" s="167"/>
      <c r="AD240" s="167"/>
      <c r="AE240" s="376"/>
      <c r="AF240" s="376"/>
      <c r="AG240" s="494"/>
      <c r="AH240" s="167"/>
      <c r="AI240" s="167"/>
      <c r="AJ240" s="376"/>
      <c r="AK240" s="376"/>
    </row>
    <row r="241" spans="2:46" ht="15.75" thickBot="1">
      <c r="C241" s="492"/>
      <c r="D241" s="1155">
        <v>31</v>
      </c>
      <c r="E241" s="1155"/>
      <c r="F241" s="1155"/>
      <c r="G241" s="497" t="s">
        <v>124</v>
      </c>
      <c r="H241" s="333"/>
      <c r="I241" s="411"/>
      <c r="J241" s="333"/>
      <c r="K241" s="405"/>
      <c r="L241" s="405"/>
      <c r="M241" s="1155">
        <f>+D241-D240</f>
        <v>2.6666999999999987</v>
      </c>
      <c r="N241" s="1155"/>
      <c r="O241" s="1155"/>
      <c r="P241" s="498" t="s">
        <v>125</v>
      </c>
      <c r="Q241" s="333"/>
      <c r="R241" s="333"/>
      <c r="S241" s="333"/>
      <c r="T241" s="499"/>
      <c r="U241" s="333"/>
      <c r="V241" s="333"/>
      <c r="W241" s="499" t="s">
        <v>126</v>
      </c>
      <c r="X241" s="333"/>
      <c r="Y241" s="333"/>
      <c r="Z241" s="333"/>
      <c r="AA241" s="167"/>
      <c r="AB241" s="167"/>
      <c r="AC241" s="167"/>
      <c r="AD241" s="1156">
        <f>+AD239</f>
        <v>5.4759999999999991</v>
      </c>
      <c r="AE241" s="1157"/>
      <c r="AF241" s="1158"/>
      <c r="AG241" s="494"/>
      <c r="AH241" s="167"/>
      <c r="AI241" s="167"/>
      <c r="AJ241" s="376"/>
      <c r="AK241" s="376"/>
    </row>
    <row r="242" spans="2:46" ht="15.75" thickBot="1">
      <c r="C242" s="500"/>
      <c r="D242" s="501"/>
      <c r="E242" s="502"/>
      <c r="F242" s="503"/>
      <c r="G242" s="501"/>
      <c r="H242" s="501"/>
      <c r="I242" s="503"/>
      <c r="J242" s="501"/>
      <c r="K242" s="504"/>
      <c r="L242" s="504"/>
      <c r="M242" s="501"/>
      <c r="N242" s="501"/>
      <c r="O242" s="501"/>
      <c r="P242" s="501"/>
      <c r="Q242" s="501"/>
      <c r="R242" s="501"/>
      <c r="S242" s="501"/>
      <c r="T242" s="501"/>
      <c r="U242" s="501"/>
      <c r="V242" s="501"/>
      <c r="W242" s="501"/>
      <c r="X242" s="501"/>
      <c r="Y242" s="501"/>
      <c r="Z242" s="501"/>
      <c r="AA242" s="505"/>
      <c r="AB242" s="505"/>
      <c r="AC242" s="505"/>
      <c r="AD242" s="506"/>
      <c r="AE242" s="506"/>
      <c r="AF242" s="506"/>
      <c r="AG242" s="507"/>
      <c r="AH242" s="167"/>
      <c r="AI242" s="167"/>
      <c r="AJ242" s="376"/>
      <c r="AK242" s="376"/>
    </row>
    <row r="243" spans="2:46">
      <c r="AG243" s="267"/>
      <c r="AH243" s="267"/>
      <c r="AI243" s="267"/>
      <c r="AJ243" s="267"/>
      <c r="AK243" s="267"/>
      <c r="AL243" s="267"/>
      <c r="AM243" s="267"/>
      <c r="AN243" s="267"/>
      <c r="AO243" s="267"/>
    </row>
    <row r="244" spans="2:46" ht="15.75" thickBot="1">
      <c r="AG244" s="267"/>
      <c r="AH244" s="267"/>
      <c r="AI244" s="267"/>
      <c r="AJ244" s="267"/>
      <c r="AK244" s="267"/>
      <c r="AL244" s="267"/>
      <c r="AM244" s="267"/>
      <c r="AN244" s="267"/>
      <c r="AO244" s="267"/>
    </row>
    <row r="245" spans="2:46" ht="16.5" thickBot="1">
      <c r="B245" s="508">
        <v>850</v>
      </c>
      <c r="C245" s="509" t="s">
        <v>67</v>
      </c>
      <c r="D245" s="510"/>
      <c r="E245" s="511" t="s">
        <v>49</v>
      </c>
      <c r="F245" s="512"/>
      <c r="G245" s="510"/>
      <c r="H245" s="510"/>
      <c r="I245" s="512"/>
      <c r="J245" s="510"/>
      <c r="K245" s="512"/>
      <c r="L245" s="512"/>
      <c r="M245" s="510"/>
      <c r="N245" s="510"/>
      <c r="O245" s="510"/>
      <c r="P245" s="510"/>
      <c r="Q245" s="510"/>
      <c r="R245" s="510"/>
      <c r="S245" s="510"/>
      <c r="T245" s="510"/>
      <c r="U245" s="510"/>
      <c r="V245" s="510"/>
      <c r="W245" s="510"/>
      <c r="X245" s="510"/>
      <c r="Y245" s="510"/>
      <c r="Z245" s="510"/>
      <c r="AA245" s="513"/>
      <c r="AB245" s="513"/>
      <c r="AC245" s="514"/>
      <c r="AD245" s="296"/>
      <c r="AE245" s="296"/>
      <c r="AF245" s="296"/>
      <c r="AG245" s="296"/>
      <c r="AH245" s="296"/>
      <c r="AI245" s="296"/>
      <c r="AJ245" s="296"/>
      <c r="AK245" s="296"/>
      <c r="AL245" s="296"/>
      <c r="AM245" s="296"/>
      <c r="AN245" s="296"/>
      <c r="AO245" s="296"/>
      <c r="AP245" s="267"/>
      <c r="AQ245" s="267"/>
      <c r="AR245" s="267"/>
      <c r="AS245" s="267"/>
      <c r="AT245" s="267"/>
    </row>
    <row r="246" spans="2:46" ht="15.75">
      <c r="B246" s="515">
        <f>+B245/30*7</f>
        <v>198.33333333333331</v>
      </c>
      <c r="C246" s="516" t="s">
        <v>68</v>
      </c>
      <c r="D246" s="517"/>
      <c r="E246" s="518"/>
      <c r="F246" s="519"/>
      <c r="G246" s="518"/>
      <c r="H246" s="518"/>
      <c r="I246" s="519"/>
      <c r="J246" s="518"/>
      <c r="K246" s="519"/>
      <c r="L246" s="519"/>
      <c r="M246" s="518"/>
      <c r="N246" s="518"/>
      <c r="O246" s="1159" t="s">
        <v>127</v>
      </c>
      <c r="P246" s="1159"/>
      <c r="Q246" s="1159"/>
      <c r="R246" s="1159"/>
      <c r="S246" s="1159"/>
      <c r="T246" s="1159"/>
      <c r="U246" s="1159"/>
      <c r="V246" s="1159"/>
      <c r="W246" s="1159"/>
      <c r="X246" s="1159"/>
      <c r="Y246" s="1159"/>
      <c r="Z246" s="1159"/>
      <c r="AA246" s="520"/>
      <c r="AB246" s="520"/>
      <c r="AC246" s="521"/>
      <c r="AD246" s="296"/>
      <c r="AE246" s="621"/>
      <c r="AF246" s="621"/>
      <c r="AG246" s="296"/>
      <c r="AH246" s="296"/>
      <c r="AI246" s="296"/>
      <c r="AJ246" s="621"/>
      <c r="AK246" s="621"/>
      <c r="AL246" s="296"/>
      <c r="AM246" s="296"/>
      <c r="AN246" s="296"/>
      <c r="AO246" s="296"/>
      <c r="AP246" s="267"/>
      <c r="AQ246" s="267"/>
      <c r="AR246" s="267"/>
      <c r="AS246" s="267"/>
      <c r="AT246" s="267"/>
    </row>
    <row r="247" spans="2:46">
      <c r="B247" s="515">
        <f>+B246-18</f>
        <v>180.33333333333331</v>
      </c>
      <c r="C247" s="516" t="s">
        <v>70</v>
      </c>
      <c r="D247" s="518"/>
      <c r="E247" s="518"/>
      <c r="F247" s="519"/>
      <c r="G247" s="518"/>
      <c r="H247" s="518"/>
      <c r="I247" s="519"/>
      <c r="J247" s="518"/>
      <c r="K247" s="519"/>
      <c r="L247" s="519"/>
      <c r="M247" s="518"/>
      <c r="N247" s="518"/>
      <c r="O247" s="1159">
        <f>+B245</f>
        <v>850</v>
      </c>
      <c r="P247" s="1159"/>
      <c r="Q247" s="1159" t="s">
        <v>71</v>
      </c>
      <c r="R247" s="1159"/>
      <c r="S247" s="1159"/>
      <c r="T247" s="1159"/>
      <c r="U247" s="1159"/>
      <c r="V247" s="1159"/>
      <c r="W247" s="1159"/>
      <c r="X247" s="1159"/>
      <c r="Y247" s="1159"/>
      <c r="Z247" s="1159"/>
      <c r="AA247" s="520" t="s">
        <v>72</v>
      </c>
      <c r="AB247" s="520"/>
      <c r="AC247" s="521"/>
      <c r="AD247" s="296"/>
      <c r="AE247" s="621"/>
      <c r="AF247" s="621"/>
      <c r="AG247" s="296"/>
      <c r="AH247" s="296"/>
      <c r="AI247" s="296"/>
      <c r="AJ247" s="621"/>
      <c r="AK247" s="621"/>
      <c r="AL247" s="296"/>
      <c r="AM247" s="296"/>
      <c r="AN247" s="296"/>
      <c r="AO247" s="296"/>
      <c r="AP247" s="267"/>
      <c r="AQ247" s="267"/>
      <c r="AR247" s="267"/>
      <c r="AS247" s="267"/>
      <c r="AT247" s="267"/>
    </row>
    <row r="248" spans="2:46">
      <c r="B248" s="522">
        <f>+B247/7</f>
        <v>25.761904761904759</v>
      </c>
      <c r="C248" s="523" t="s">
        <v>73</v>
      </c>
      <c r="D248" s="524"/>
      <c r="E248" s="518"/>
      <c r="F248" s="519"/>
      <c r="G248" s="518"/>
      <c r="H248" s="518"/>
      <c r="I248" s="519"/>
      <c r="J248" s="518"/>
      <c r="K248" s="519"/>
      <c r="L248" s="519"/>
      <c r="M248" s="518"/>
      <c r="N248" s="518"/>
      <c r="O248" s="1159">
        <f>+O247/30*7</f>
        <v>198.33333333333331</v>
      </c>
      <c r="P248" s="1159"/>
      <c r="Q248" s="1159" t="s">
        <v>74</v>
      </c>
      <c r="R248" s="1159"/>
      <c r="S248" s="1159"/>
      <c r="T248" s="1159"/>
      <c r="U248" s="1159"/>
      <c r="V248" s="1159"/>
      <c r="W248" s="1159"/>
      <c r="X248" s="1159"/>
      <c r="Y248" s="1159"/>
      <c r="Z248" s="1159"/>
      <c r="AA248" s="1166">
        <f>+O248*0.87</f>
        <v>172.54999999999998</v>
      </c>
      <c r="AB248" s="1166"/>
      <c r="AC248" s="521"/>
      <c r="AD248" s="296"/>
      <c r="AE248" s="384"/>
      <c r="AF248" s="384"/>
      <c r="AG248" s="296"/>
      <c r="AH248" s="296"/>
      <c r="AI248" s="296"/>
      <c r="AJ248" s="384"/>
      <c r="AK248" s="384"/>
      <c r="AL248" s="385"/>
      <c r="AM248" s="385"/>
      <c r="AN248" s="385"/>
      <c r="AO248" s="385"/>
      <c r="AP248" s="386"/>
      <c r="AQ248" s="386"/>
      <c r="AR248" s="267"/>
      <c r="AS248" s="267"/>
      <c r="AT248" s="267"/>
    </row>
    <row r="249" spans="2:46">
      <c r="B249" s="525"/>
      <c r="C249" s="518"/>
      <c r="D249" s="518"/>
      <c r="E249" s="518"/>
      <c r="F249" s="519"/>
      <c r="G249" s="518"/>
      <c r="H249" s="518"/>
      <c r="I249" s="519"/>
      <c r="J249" s="518"/>
      <c r="K249" s="519"/>
      <c r="L249" s="519"/>
      <c r="M249" s="518"/>
      <c r="N249" s="518"/>
      <c r="O249" s="1159">
        <f>+O248/7</f>
        <v>28.333333333333332</v>
      </c>
      <c r="P249" s="1159"/>
      <c r="Q249" s="1159" t="s">
        <v>75</v>
      </c>
      <c r="R249" s="1159"/>
      <c r="S249" s="1159"/>
      <c r="T249" s="1159"/>
      <c r="U249" s="1159"/>
      <c r="V249" s="1159"/>
      <c r="W249" s="1159"/>
      <c r="X249" s="1159"/>
      <c r="Y249" s="1159"/>
      <c r="Z249" s="1159"/>
      <c r="AA249" s="520"/>
      <c r="AB249" s="520"/>
      <c r="AC249" s="521"/>
      <c r="AD249" s="296"/>
      <c r="AE249" s="621"/>
      <c r="AF249" s="621"/>
      <c r="AG249" s="296"/>
      <c r="AH249" s="296"/>
      <c r="AI249" s="296"/>
      <c r="AJ249" s="621"/>
      <c r="AK249" s="621"/>
      <c r="AL249" s="387"/>
      <c r="AM249" s="387"/>
      <c r="AN249" s="385"/>
      <c r="AO249" s="385"/>
      <c r="AP249" s="386"/>
      <c r="AQ249" s="386"/>
      <c r="AR249" s="267"/>
      <c r="AS249" s="267"/>
      <c r="AT249" s="267"/>
    </row>
    <row r="250" spans="2:46" ht="15.75">
      <c r="B250" s="526">
        <f>+B248</f>
        <v>25.761904761904759</v>
      </c>
      <c r="C250" s="527" t="s">
        <v>128</v>
      </c>
      <c r="D250" s="528"/>
      <c r="E250" s="528"/>
      <c r="F250" s="528"/>
      <c r="G250" s="518"/>
      <c r="H250" s="518"/>
      <c r="I250" s="519"/>
      <c r="J250" s="518"/>
      <c r="K250" s="519"/>
      <c r="L250" s="519"/>
      <c r="M250" s="518"/>
      <c r="N250" s="518"/>
      <c r="O250" s="1159">
        <f>(O248-18)/7</f>
        <v>25.761904761904759</v>
      </c>
      <c r="P250" s="1159"/>
      <c r="Q250" s="1159" t="s">
        <v>77</v>
      </c>
      <c r="R250" s="1159"/>
      <c r="S250" s="1159"/>
      <c r="T250" s="1159"/>
      <c r="U250" s="1159"/>
      <c r="V250" s="1159"/>
      <c r="W250" s="1159"/>
      <c r="X250" s="1159"/>
      <c r="Y250" s="1159"/>
      <c r="Z250" s="1159"/>
      <c r="AA250" s="520"/>
      <c r="AB250" s="520"/>
      <c r="AC250" s="521"/>
      <c r="AD250" s="296"/>
      <c r="AE250" s="391"/>
      <c r="AF250" s="391"/>
      <c r="AG250" s="392"/>
      <c r="AH250" s="392"/>
      <c r="AI250" s="392"/>
      <c r="AJ250" s="391"/>
      <c r="AK250" s="391"/>
      <c r="AL250" s="385"/>
      <c r="AM250" s="385"/>
      <c r="AN250" s="385"/>
      <c r="AO250" s="385"/>
      <c r="AP250" s="386"/>
      <c r="AQ250" s="386"/>
      <c r="AR250" s="267"/>
      <c r="AS250" s="267"/>
      <c r="AT250" s="267"/>
    </row>
    <row r="251" spans="2:46">
      <c r="B251" s="515">
        <v>3</v>
      </c>
      <c r="C251" s="516" t="s">
        <v>78</v>
      </c>
      <c r="D251" s="518"/>
      <c r="E251" s="518"/>
      <c r="F251" s="519"/>
      <c r="G251" s="518"/>
      <c r="H251" s="518"/>
      <c r="I251" s="519"/>
      <c r="J251" s="518"/>
      <c r="K251" s="519"/>
      <c r="L251" s="519"/>
      <c r="M251" s="518"/>
      <c r="N251" s="518"/>
      <c r="O251" s="1159">
        <v>3</v>
      </c>
      <c r="P251" s="1159"/>
      <c r="Q251" s="1159" t="s">
        <v>79</v>
      </c>
      <c r="R251" s="1159"/>
      <c r="S251" s="1159"/>
      <c r="T251" s="1159"/>
      <c r="U251" s="1159"/>
      <c r="V251" s="1159"/>
      <c r="W251" s="1159"/>
      <c r="X251" s="1159"/>
      <c r="Y251" s="1159"/>
      <c r="Z251" s="1159"/>
      <c r="AA251" s="520"/>
      <c r="AB251" s="520"/>
      <c r="AC251" s="521"/>
      <c r="AD251" s="296"/>
      <c r="AE251" s="296"/>
      <c r="AF251" s="996">
        <v>993814365</v>
      </c>
      <c r="AG251" s="996"/>
      <c r="AH251" s="996"/>
      <c r="AI251" s="996"/>
      <c r="AJ251" s="996"/>
      <c r="AK251" s="296"/>
      <c r="AL251" s="385"/>
      <c r="AM251" s="385"/>
      <c r="AN251" s="385"/>
      <c r="AO251" s="385"/>
      <c r="AP251" s="386"/>
      <c r="AQ251" s="386"/>
      <c r="AR251" s="267"/>
      <c r="AS251" s="267"/>
      <c r="AT251" s="267"/>
    </row>
    <row r="252" spans="2:46">
      <c r="B252" s="522">
        <f>+B251+B250</f>
        <v>28.761904761904759</v>
      </c>
      <c r="C252" s="523" t="s">
        <v>80</v>
      </c>
      <c r="D252" s="529"/>
      <c r="E252" s="529"/>
      <c r="F252" s="530"/>
      <c r="G252" s="529"/>
      <c r="H252" s="529"/>
      <c r="I252" s="530"/>
      <c r="J252" s="529"/>
      <c r="K252" s="530"/>
      <c r="L252" s="530"/>
      <c r="M252" s="524"/>
      <c r="N252" s="518"/>
      <c r="O252" s="1159">
        <f>+O251+O250</f>
        <v>28.761904761904759</v>
      </c>
      <c r="P252" s="1159"/>
      <c r="Q252" s="518"/>
      <c r="R252" s="518"/>
      <c r="S252" s="518"/>
      <c r="T252" s="518"/>
      <c r="U252" s="518"/>
      <c r="V252" s="518"/>
      <c r="W252" s="518"/>
      <c r="X252" s="518"/>
      <c r="Y252" s="518"/>
      <c r="Z252" s="518"/>
      <c r="AA252" s="520"/>
      <c r="AB252" s="520"/>
      <c r="AC252" s="521"/>
      <c r="AD252" s="296"/>
      <c r="AE252" s="621"/>
      <c r="AF252" s="621"/>
      <c r="AG252" s="296"/>
      <c r="AH252" s="296"/>
      <c r="AI252" s="296"/>
      <c r="AJ252" s="621"/>
      <c r="AK252" s="621"/>
      <c r="AL252" s="387"/>
      <c r="AM252" s="387"/>
      <c r="AN252" s="387"/>
      <c r="AO252" s="387"/>
      <c r="AP252" s="397"/>
      <c r="AQ252" s="267"/>
      <c r="AR252" s="267"/>
      <c r="AS252" s="267"/>
      <c r="AT252" s="267"/>
    </row>
    <row r="253" spans="2:46">
      <c r="B253" s="515"/>
      <c r="C253" s="518"/>
      <c r="D253" s="518"/>
      <c r="E253" s="518"/>
      <c r="F253" s="519"/>
      <c r="G253" s="518"/>
      <c r="H253" s="518"/>
      <c r="I253" s="519"/>
      <c r="J253" s="518"/>
      <c r="K253" s="519"/>
      <c r="L253" s="519"/>
      <c r="M253" s="518"/>
      <c r="N253" s="518"/>
      <c r="O253" s="518"/>
      <c r="P253" s="518"/>
      <c r="Q253" s="518"/>
      <c r="R253" s="518"/>
      <c r="S253" s="518"/>
      <c r="T253" s="518"/>
      <c r="U253" s="518"/>
      <c r="V253" s="518"/>
      <c r="W253" s="518"/>
      <c r="X253" s="518"/>
      <c r="Y253" s="518"/>
      <c r="Z253" s="518"/>
      <c r="AA253" s="520"/>
      <c r="AB253" s="520"/>
      <c r="AC253" s="521"/>
      <c r="AD253" s="296"/>
      <c r="AE253" s="398"/>
      <c r="AF253" s="398"/>
      <c r="AG253" s="398"/>
      <c r="AH253" s="296"/>
      <c r="AI253" s="296"/>
      <c r="AJ253" s="398"/>
      <c r="AK253" s="398"/>
      <c r="AL253" s="385"/>
      <c r="AM253" s="296"/>
      <c r="AN253" s="296"/>
      <c r="AO253" s="296"/>
      <c r="AP253" s="267"/>
      <c r="AQ253" s="267"/>
      <c r="AR253" s="267"/>
      <c r="AS253" s="267"/>
      <c r="AT253" s="267"/>
    </row>
    <row r="254" spans="2:46">
      <c r="B254" s="515">
        <f>+B252*6</f>
        <v>172.57142857142856</v>
      </c>
      <c r="C254" s="516" t="s">
        <v>81</v>
      </c>
      <c r="D254" s="518"/>
      <c r="E254" s="518"/>
      <c r="F254" s="519"/>
      <c r="G254" s="518"/>
      <c r="H254" s="518"/>
      <c r="I254" s="519"/>
      <c r="J254" s="518"/>
      <c r="K254" s="519"/>
      <c r="L254" s="519"/>
      <c r="M254" s="518"/>
      <c r="N254" s="518"/>
      <c r="O254" s="1159" t="s">
        <v>129</v>
      </c>
      <c r="P254" s="1159"/>
      <c r="Q254" s="1159"/>
      <c r="R254" s="1159"/>
      <c r="S254" s="1159"/>
      <c r="T254" s="1159"/>
      <c r="U254" s="1159"/>
      <c r="V254" s="1159"/>
      <c r="W254" s="1159"/>
      <c r="X254" s="1159"/>
      <c r="Y254" s="1159"/>
      <c r="Z254" s="1159"/>
      <c r="AA254" s="520"/>
      <c r="AB254" s="520"/>
      <c r="AC254" s="521"/>
      <c r="AD254" s="296"/>
      <c r="AE254" s="296"/>
      <c r="AF254" s="296"/>
      <c r="AG254" s="296"/>
      <c r="AH254" s="296"/>
      <c r="AI254" s="385"/>
      <c r="AJ254" s="385"/>
      <c r="AK254" s="387"/>
      <c r="AL254" s="620"/>
      <c r="AM254" s="621"/>
      <c r="AN254" s="620"/>
      <c r="AO254" s="296"/>
      <c r="AP254" s="267"/>
      <c r="AQ254" s="267"/>
      <c r="AR254" s="267"/>
      <c r="AS254" s="267"/>
      <c r="AT254" s="267"/>
    </row>
    <row r="255" spans="2:46">
      <c r="B255" s="531">
        <f>+B250</f>
        <v>25.761904761904759</v>
      </c>
      <c r="C255" s="532" t="s">
        <v>83</v>
      </c>
      <c r="D255" s="533"/>
      <c r="E255" s="533"/>
      <c r="F255" s="534"/>
      <c r="G255" s="533"/>
      <c r="H255" s="533"/>
      <c r="I255" s="534"/>
      <c r="J255" s="533"/>
      <c r="K255" s="534"/>
      <c r="L255" s="519"/>
      <c r="M255" s="518"/>
      <c r="N255" s="518"/>
      <c r="O255" s="1159">
        <f>+O247*1.1</f>
        <v>935.00000000000011</v>
      </c>
      <c r="P255" s="1159"/>
      <c r="Q255" s="1159" t="s">
        <v>71</v>
      </c>
      <c r="R255" s="1159"/>
      <c r="S255" s="1159"/>
      <c r="T255" s="1159"/>
      <c r="U255" s="1159"/>
      <c r="V255" s="1159"/>
      <c r="W255" s="1159"/>
      <c r="X255" s="1159"/>
      <c r="Y255" s="1159"/>
      <c r="Z255" s="1159"/>
      <c r="AA255" s="520" t="s">
        <v>84</v>
      </c>
      <c r="AB255" s="520"/>
      <c r="AC255" s="521"/>
      <c r="AG255" s="267"/>
      <c r="AH255" s="267"/>
      <c r="AI255" s="386"/>
      <c r="AJ255" s="386"/>
      <c r="AK255" s="386"/>
      <c r="AL255" s="267"/>
      <c r="AM255" s="267"/>
      <c r="AN255" s="267"/>
      <c r="AO255" s="267"/>
    </row>
    <row r="256" spans="2:46">
      <c r="B256" s="522">
        <f>+B255+B254</f>
        <v>198.33333333333331</v>
      </c>
      <c r="C256" s="523" t="s">
        <v>85</v>
      </c>
      <c r="D256" s="529"/>
      <c r="E256" s="529"/>
      <c r="F256" s="530"/>
      <c r="G256" s="529"/>
      <c r="H256" s="529"/>
      <c r="I256" s="530"/>
      <c r="J256" s="529"/>
      <c r="K256" s="535"/>
      <c r="L256" s="519"/>
      <c r="M256" s="518"/>
      <c r="N256" s="518"/>
      <c r="O256" s="1159">
        <f>+O255/30*7</f>
        <v>218.16666666666669</v>
      </c>
      <c r="P256" s="1159"/>
      <c r="Q256" s="1159" t="s">
        <v>74</v>
      </c>
      <c r="R256" s="1159"/>
      <c r="S256" s="1159"/>
      <c r="T256" s="1159"/>
      <c r="U256" s="1159"/>
      <c r="V256" s="1159"/>
      <c r="W256" s="1159"/>
      <c r="X256" s="1159"/>
      <c r="Y256" s="1159"/>
      <c r="Z256" s="1159"/>
      <c r="AA256" s="1166">
        <f>+O256*0.87</f>
        <v>189.80500000000001</v>
      </c>
      <c r="AB256" s="1166"/>
      <c r="AC256" s="521"/>
      <c r="AG256" s="267"/>
      <c r="AH256" s="267"/>
      <c r="AI256" s="386"/>
      <c r="AJ256" s="386"/>
      <c r="AK256" s="407"/>
      <c r="AL256" s="267"/>
      <c r="AM256" s="267"/>
      <c r="AN256" s="267"/>
      <c r="AO256" s="267"/>
    </row>
    <row r="257" spans="2:41">
      <c r="B257" s="515"/>
      <c r="C257" s="516"/>
      <c r="D257" s="518"/>
      <c r="E257" s="518"/>
      <c r="F257" s="519"/>
      <c r="G257" s="518"/>
      <c r="H257" s="518"/>
      <c r="I257" s="519"/>
      <c r="J257" s="518"/>
      <c r="K257" s="519"/>
      <c r="L257" s="519"/>
      <c r="M257" s="518"/>
      <c r="N257" s="518"/>
      <c r="O257" s="1159">
        <f>+O256/7</f>
        <v>31.166666666666668</v>
      </c>
      <c r="P257" s="1159"/>
      <c r="Q257" s="1159" t="s">
        <v>75</v>
      </c>
      <c r="R257" s="1159"/>
      <c r="S257" s="1159"/>
      <c r="T257" s="1159"/>
      <c r="U257" s="1159"/>
      <c r="V257" s="1159"/>
      <c r="W257" s="1159"/>
      <c r="X257" s="1159"/>
      <c r="Y257" s="1159"/>
      <c r="Z257" s="1159"/>
      <c r="AA257" s="520"/>
      <c r="AB257" s="520"/>
      <c r="AC257" s="521"/>
      <c r="AG257" s="267"/>
      <c r="AH257" s="267"/>
      <c r="AI257" s="412"/>
      <c r="AJ257" s="413"/>
      <c r="AK257" s="407"/>
      <c r="AL257" s="267"/>
      <c r="AM257" s="267"/>
      <c r="AN257" s="267"/>
      <c r="AO257" s="267"/>
    </row>
    <row r="258" spans="2:41">
      <c r="B258" s="536">
        <f>+B256/7</f>
        <v>28.333333333333332</v>
      </c>
      <c r="C258" s="537" t="s">
        <v>86</v>
      </c>
      <c r="D258" s="518"/>
      <c r="E258" s="518"/>
      <c r="F258" s="519"/>
      <c r="G258" s="518"/>
      <c r="H258" s="518"/>
      <c r="I258" s="519"/>
      <c r="J258" s="518"/>
      <c r="K258" s="519"/>
      <c r="L258" s="519"/>
      <c r="M258" s="518"/>
      <c r="N258" s="518"/>
      <c r="O258" s="1159">
        <f>(O256-18)/7</f>
        <v>28.595238095238098</v>
      </c>
      <c r="P258" s="1159"/>
      <c r="Q258" s="1159" t="s">
        <v>77</v>
      </c>
      <c r="R258" s="1159"/>
      <c r="S258" s="1159"/>
      <c r="T258" s="1159"/>
      <c r="U258" s="1159"/>
      <c r="V258" s="1159"/>
      <c r="W258" s="1159"/>
      <c r="X258" s="1159"/>
      <c r="Y258" s="1159"/>
      <c r="Z258" s="1159"/>
      <c r="AA258" s="520"/>
      <c r="AB258" s="520"/>
      <c r="AC258" s="521"/>
      <c r="AG258" s="267"/>
      <c r="AH258" s="267"/>
      <c r="AI258" s="267"/>
      <c r="AJ258" s="267"/>
      <c r="AK258" s="407"/>
      <c r="AL258" s="267"/>
      <c r="AM258" s="267"/>
      <c r="AN258" s="267"/>
      <c r="AO258" s="267"/>
    </row>
    <row r="259" spans="2:41">
      <c r="B259" s="515"/>
      <c r="C259" s="516"/>
      <c r="D259" s="518"/>
      <c r="E259" s="518"/>
      <c r="F259" s="519"/>
      <c r="G259" s="518"/>
      <c r="H259" s="518"/>
      <c r="I259" s="519"/>
      <c r="J259" s="518"/>
      <c r="K259" s="519"/>
      <c r="L259" s="519"/>
      <c r="M259" s="518"/>
      <c r="N259" s="518"/>
      <c r="O259" s="1159">
        <v>3</v>
      </c>
      <c r="P259" s="1159"/>
      <c r="Q259" s="1159" t="s">
        <v>79</v>
      </c>
      <c r="R259" s="1159"/>
      <c r="S259" s="1159"/>
      <c r="T259" s="1159"/>
      <c r="U259" s="1159"/>
      <c r="V259" s="1159"/>
      <c r="W259" s="1159"/>
      <c r="X259" s="1159"/>
      <c r="Y259" s="1159"/>
      <c r="Z259" s="1159"/>
      <c r="AA259" s="520"/>
      <c r="AB259" s="520"/>
      <c r="AC259" s="521"/>
      <c r="AG259" s="267"/>
      <c r="AH259" s="267"/>
      <c r="AI259" s="267"/>
      <c r="AJ259" s="267"/>
      <c r="AK259" s="267"/>
      <c r="AL259" s="267"/>
      <c r="AM259" s="267"/>
      <c r="AN259" s="267"/>
      <c r="AO259" s="267"/>
    </row>
    <row r="260" spans="2:41" ht="15.75" thickBot="1">
      <c r="B260" s="538"/>
      <c r="C260" s="539"/>
      <c r="D260" s="540"/>
      <c r="E260" s="540"/>
      <c r="F260" s="541"/>
      <c r="G260" s="540"/>
      <c r="H260" s="540"/>
      <c r="I260" s="541"/>
      <c r="J260" s="540"/>
      <c r="K260" s="541"/>
      <c r="L260" s="541"/>
      <c r="M260" s="540"/>
      <c r="N260" s="540"/>
      <c r="O260" s="1167">
        <f>+O259+O258</f>
        <v>31.595238095238098</v>
      </c>
      <c r="P260" s="1167"/>
      <c r="Q260" s="540"/>
      <c r="R260" s="540"/>
      <c r="S260" s="540"/>
      <c r="T260" s="540"/>
      <c r="U260" s="540"/>
      <c r="V260" s="540"/>
      <c r="W260" s="540"/>
      <c r="X260" s="540"/>
      <c r="Y260" s="540"/>
      <c r="Z260" s="540"/>
      <c r="AA260" s="542"/>
      <c r="AB260" s="542"/>
      <c r="AC260" s="543"/>
      <c r="AG260" s="267"/>
      <c r="AH260" s="267"/>
      <c r="AI260" s="267"/>
      <c r="AJ260" s="267"/>
      <c r="AK260" s="267"/>
      <c r="AL260" s="267"/>
      <c r="AM260" s="267"/>
      <c r="AN260" s="267"/>
      <c r="AO260" s="267"/>
    </row>
    <row r="261" spans="2:41">
      <c r="B261" s="168"/>
      <c r="AG261" s="267"/>
      <c r="AH261" s="267"/>
      <c r="AI261" s="267"/>
      <c r="AJ261" s="267"/>
      <c r="AK261" s="267"/>
      <c r="AL261" s="267"/>
      <c r="AM261" s="267"/>
      <c r="AN261" s="267"/>
      <c r="AO261" s="267"/>
    </row>
    <row r="262" spans="2:41" ht="15.75" thickBot="1">
      <c r="AE262" s="376"/>
      <c r="AF262" s="376"/>
      <c r="AJ262" s="376"/>
      <c r="AK262" s="376"/>
    </row>
    <row r="263" spans="2:41">
      <c r="C263" s="484"/>
      <c r="D263" s="485"/>
      <c r="E263" s="486"/>
      <c r="F263" s="487"/>
      <c r="G263" s="485"/>
      <c r="H263" s="485"/>
      <c r="I263" s="487"/>
      <c r="J263" s="485"/>
      <c r="K263" s="488"/>
      <c r="L263" s="488"/>
      <c r="M263" s="485"/>
      <c r="N263" s="485"/>
      <c r="O263" s="485"/>
      <c r="P263" s="485"/>
      <c r="Q263" s="485"/>
      <c r="R263" s="485"/>
      <c r="S263" s="485"/>
      <c r="T263" s="485"/>
      <c r="U263" s="485"/>
      <c r="V263" s="485"/>
      <c r="W263" s="485"/>
      <c r="X263" s="485"/>
      <c r="Y263" s="485"/>
      <c r="Z263" s="485"/>
      <c r="AA263" s="489"/>
      <c r="AB263" s="489"/>
      <c r="AC263" s="489"/>
      <c r="AD263" s="489"/>
      <c r="AE263" s="490"/>
      <c r="AF263" s="490"/>
      <c r="AG263" s="491"/>
      <c r="AJ263" s="376"/>
      <c r="AK263" s="376"/>
    </row>
    <row r="264" spans="2:41" ht="18">
      <c r="C264" s="492"/>
      <c r="D264" s="333"/>
      <c r="E264" s="493" t="s">
        <v>130</v>
      </c>
      <c r="F264" s="411"/>
      <c r="G264" s="333"/>
      <c r="H264" s="333"/>
      <c r="I264" s="411"/>
      <c r="J264" s="333"/>
      <c r="K264" s="405"/>
      <c r="L264" s="405"/>
      <c r="M264" s="333"/>
      <c r="N264" s="333"/>
      <c r="O264" s="333"/>
      <c r="P264" s="333"/>
      <c r="Q264" s="333"/>
      <c r="R264" s="333"/>
      <c r="S264" s="333"/>
      <c r="T264" s="333"/>
      <c r="U264" s="333"/>
      <c r="V264" s="333"/>
      <c r="W264" s="333"/>
      <c r="X264" s="333"/>
      <c r="Y264" s="333"/>
      <c r="Z264" s="333"/>
      <c r="AA264" s="167"/>
      <c r="AB264" s="167"/>
      <c r="AC264" s="167"/>
      <c r="AD264" s="167"/>
      <c r="AE264" s="376"/>
      <c r="AF264" s="376"/>
      <c r="AG264" s="494"/>
      <c r="AJ264" s="376"/>
      <c r="AK264" s="376"/>
    </row>
    <row r="265" spans="2:41">
      <c r="C265" s="492"/>
      <c r="D265" s="333"/>
      <c r="E265" s="410"/>
      <c r="F265" s="411"/>
      <c r="G265" s="333"/>
      <c r="H265" s="333"/>
      <c r="I265" s="411"/>
      <c r="J265" s="333"/>
      <c r="K265" s="405"/>
      <c r="L265" s="405"/>
      <c r="M265" s="333"/>
      <c r="N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  <c r="Z265" s="333"/>
      <c r="AA265" s="1168" t="s">
        <v>106</v>
      </c>
      <c r="AB265" s="1169"/>
      <c r="AC265" s="1170"/>
      <c r="AD265" s="1115" t="s">
        <v>131</v>
      </c>
      <c r="AE265" s="1116"/>
      <c r="AF265" s="1117"/>
      <c r="AG265" s="494"/>
      <c r="AH265" s="167"/>
      <c r="AI265" s="167"/>
      <c r="AJ265" s="376"/>
      <c r="AK265" s="376"/>
    </row>
    <row r="266" spans="2:41" ht="16.5" thickBot="1">
      <c r="C266" s="492"/>
      <c r="D266" s="1118" t="s">
        <v>108</v>
      </c>
      <c r="E266" s="1118"/>
      <c r="F266" s="1118"/>
      <c r="G266" s="1118"/>
      <c r="H266" s="1118"/>
      <c r="I266" s="1119" t="s">
        <v>109</v>
      </c>
      <c r="J266" s="1119"/>
      <c r="K266" s="1119"/>
      <c r="L266" s="1120" t="s">
        <v>110</v>
      </c>
      <c r="M266" s="1120"/>
      <c r="N266" s="1120"/>
      <c r="O266" s="1120" t="s">
        <v>111</v>
      </c>
      <c r="P266" s="1120"/>
      <c r="Q266" s="1120"/>
      <c r="R266" s="1171" t="s">
        <v>132</v>
      </c>
      <c r="S266" s="1171"/>
      <c r="T266" s="1171"/>
      <c r="U266" s="1120" t="s">
        <v>113</v>
      </c>
      <c r="V266" s="1120"/>
      <c r="W266" s="1122"/>
      <c r="X266" s="1123" t="s">
        <v>114</v>
      </c>
      <c r="Y266" s="1124"/>
      <c r="Z266" s="1125"/>
      <c r="AA266" s="1172" t="s">
        <v>133</v>
      </c>
      <c r="AB266" s="1172"/>
      <c r="AC266" s="1173"/>
      <c r="AD266" s="1128" t="s">
        <v>133</v>
      </c>
      <c r="AE266" s="1129"/>
      <c r="AF266" s="1130"/>
      <c r="AG266" s="494"/>
      <c r="AH266" s="167"/>
      <c r="AI266" s="167"/>
      <c r="AJ266" s="376"/>
      <c r="AK266" s="376"/>
    </row>
    <row r="267" spans="2:41" ht="19.5" thickTop="1">
      <c r="C267" s="495">
        <v>1</v>
      </c>
      <c r="D267" s="1131" t="s">
        <v>119</v>
      </c>
      <c r="E267" s="1131"/>
      <c r="F267" s="1131"/>
      <c r="G267" s="1131"/>
      <c r="H267" s="1131"/>
      <c r="I267" s="1174">
        <v>38.5</v>
      </c>
      <c r="J267" s="1174"/>
      <c r="K267" s="1174"/>
      <c r="L267" s="1133">
        <v>1</v>
      </c>
      <c r="M267" s="1133"/>
      <c r="N267" s="1133"/>
      <c r="O267" s="1133">
        <v>2</v>
      </c>
      <c r="P267" s="1133"/>
      <c r="Q267" s="1133"/>
      <c r="R267" s="1175">
        <f t="shared" ref="R267:R273" si="93">+I267+L267+O267</f>
        <v>41.5</v>
      </c>
      <c r="S267" s="1175"/>
      <c r="T267" s="1175"/>
      <c r="U267" s="1135">
        <f t="shared" ref="U267:U273" si="94">+I267*7+(L267+O267)*6</f>
        <v>287.5</v>
      </c>
      <c r="V267" s="1135"/>
      <c r="W267" s="1136"/>
      <c r="X267" s="1137">
        <f t="shared" ref="X267:X273" si="95">+U267/7*30</f>
        <v>1232.1428571428571</v>
      </c>
      <c r="Y267" s="1138"/>
      <c r="Z267" s="1139"/>
      <c r="AA267" s="1176">
        <v>37.571399999999997</v>
      </c>
      <c r="AB267" s="1177"/>
      <c r="AC267" s="1177"/>
      <c r="AD267" s="1178">
        <f t="shared" ref="AD267:AD273" si="96">+AA267*30</f>
        <v>1127.1419999999998</v>
      </c>
      <c r="AE267" s="1178"/>
      <c r="AF267" s="1178"/>
      <c r="AG267" s="494"/>
      <c r="AH267" s="167" t="s">
        <v>134</v>
      </c>
      <c r="AI267" s="1149" t="s">
        <v>135</v>
      </c>
      <c r="AJ267" s="1179"/>
      <c r="AK267" s="1179"/>
      <c r="AL267" s="1179"/>
      <c r="AM267" s="1180"/>
    </row>
    <row r="268" spans="2:41" ht="17.25">
      <c r="C268" s="495">
        <v>2</v>
      </c>
      <c r="D268" s="1144" t="s">
        <v>120</v>
      </c>
      <c r="E268" s="1144"/>
      <c r="F268" s="1144"/>
      <c r="G268" s="1144"/>
      <c r="H268" s="1144"/>
      <c r="I268" s="1165">
        <v>38.5</v>
      </c>
      <c r="J268" s="1165"/>
      <c r="K268" s="1165"/>
      <c r="L268" s="1146">
        <v>1</v>
      </c>
      <c r="M268" s="1146"/>
      <c r="N268" s="1146"/>
      <c r="O268" s="1146">
        <v>2</v>
      </c>
      <c r="P268" s="1146"/>
      <c r="Q268" s="1146"/>
      <c r="R268" s="1160">
        <f t="shared" si="93"/>
        <v>41.5</v>
      </c>
      <c r="S268" s="1160"/>
      <c r="T268" s="1160"/>
      <c r="U268" s="1148">
        <f t="shared" si="94"/>
        <v>287.5</v>
      </c>
      <c r="V268" s="1148"/>
      <c r="W268" s="1149"/>
      <c r="X268" s="1150">
        <f t="shared" si="95"/>
        <v>1232.1428571428571</v>
      </c>
      <c r="Y268" s="1151"/>
      <c r="Z268" s="1152"/>
      <c r="AA268" s="1181">
        <v>35.571399999999997</v>
      </c>
      <c r="AB268" s="1182"/>
      <c r="AC268" s="1182"/>
      <c r="AD268" s="1183">
        <f t="shared" si="96"/>
        <v>1067.1419999999998</v>
      </c>
      <c r="AE268" s="1183"/>
      <c r="AF268" s="1183"/>
      <c r="AG268" s="494"/>
      <c r="AH268" s="167"/>
      <c r="AI268" s="167"/>
      <c r="AJ268" s="376"/>
      <c r="AK268" s="376"/>
    </row>
    <row r="269" spans="2:41" ht="17.25">
      <c r="C269" s="495">
        <v>3</v>
      </c>
      <c r="D269" s="1144" t="s">
        <v>118</v>
      </c>
      <c r="E269" s="1144"/>
      <c r="F269" s="1144"/>
      <c r="G269" s="1144"/>
      <c r="H269" s="1144"/>
      <c r="I269" s="1165">
        <v>38.5</v>
      </c>
      <c r="J269" s="1165"/>
      <c r="K269" s="1165"/>
      <c r="L269" s="1146">
        <v>1</v>
      </c>
      <c r="M269" s="1146"/>
      <c r="N269" s="1146"/>
      <c r="O269" s="1146">
        <v>2</v>
      </c>
      <c r="P269" s="1146"/>
      <c r="Q269" s="1146"/>
      <c r="R269" s="1160">
        <f t="shared" si="93"/>
        <v>41.5</v>
      </c>
      <c r="S269" s="1160"/>
      <c r="T269" s="1160"/>
      <c r="U269" s="1148">
        <f t="shared" si="94"/>
        <v>287.5</v>
      </c>
      <c r="V269" s="1148"/>
      <c r="W269" s="1149"/>
      <c r="X269" s="1150">
        <f t="shared" si="95"/>
        <v>1232.1428571428571</v>
      </c>
      <c r="Y269" s="1151"/>
      <c r="Z269" s="1152"/>
      <c r="AA269" s="1181">
        <v>32.571399999999997</v>
      </c>
      <c r="AB269" s="1182"/>
      <c r="AC269" s="1182"/>
      <c r="AD269" s="1183">
        <f t="shared" si="96"/>
        <v>977.14199999999994</v>
      </c>
      <c r="AE269" s="1183"/>
      <c r="AF269" s="1183"/>
      <c r="AG269" s="494"/>
      <c r="AH269" s="167"/>
      <c r="AI269" s="167"/>
      <c r="AJ269" s="376"/>
      <c r="AK269" s="376"/>
    </row>
    <row r="270" spans="2:41" ht="17.25">
      <c r="C270" s="495">
        <v>4</v>
      </c>
      <c r="D270" s="1144" t="s">
        <v>136</v>
      </c>
      <c r="E270" s="1144"/>
      <c r="F270" s="1144"/>
      <c r="G270" s="1144"/>
      <c r="H270" s="1144"/>
      <c r="I270" s="1165">
        <v>35</v>
      </c>
      <c r="J270" s="1165"/>
      <c r="K270" s="1165"/>
      <c r="L270" s="1146">
        <v>1</v>
      </c>
      <c r="M270" s="1146"/>
      <c r="N270" s="1146"/>
      <c r="O270" s="1146">
        <v>2</v>
      </c>
      <c r="P270" s="1146"/>
      <c r="Q270" s="1146"/>
      <c r="R270" s="1160">
        <f t="shared" si="93"/>
        <v>38</v>
      </c>
      <c r="S270" s="1160"/>
      <c r="T270" s="1160"/>
      <c r="U270" s="1148">
        <f t="shared" si="94"/>
        <v>263</v>
      </c>
      <c r="V270" s="1148"/>
      <c r="W270" s="1149"/>
      <c r="X270" s="1150">
        <f t="shared" si="95"/>
        <v>1127.1428571428571</v>
      </c>
      <c r="Y270" s="1151"/>
      <c r="Z270" s="1152"/>
      <c r="AA270" s="1181">
        <v>35.321399999999997</v>
      </c>
      <c r="AB270" s="1182"/>
      <c r="AC270" s="1182"/>
      <c r="AD270" s="1183">
        <f t="shared" si="96"/>
        <v>1059.6419999999998</v>
      </c>
      <c r="AE270" s="1183"/>
      <c r="AF270" s="1183"/>
      <c r="AG270" s="494"/>
      <c r="AH270" s="167"/>
      <c r="AI270" s="167"/>
      <c r="AJ270" s="376"/>
      <c r="AK270" s="376"/>
    </row>
    <row r="271" spans="2:41" ht="17.25">
      <c r="C271" s="495">
        <v>5</v>
      </c>
      <c r="D271" s="1144" t="s">
        <v>137</v>
      </c>
      <c r="E271" s="1144"/>
      <c r="F271" s="1144"/>
      <c r="G271" s="1144"/>
      <c r="H271" s="1144"/>
      <c r="I271" s="1165">
        <v>33.799999999999997</v>
      </c>
      <c r="J271" s="1165"/>
      <c r="K271" s="1165"/>
      <c r="L271" s="1146">
        <v>1</v>
      </c>
      <c r="M271" s="1146"/>
      <c r="N271" s="1146"/>
      <c r="O271" s="1146">
        <v>2</v>
      </c>
      <c r="P271" s="1146"/>
      <c r="Q271" s="1146"/>
      <c r="R271" s="1160">
        <f t="shared" si="93"/>
        <v>36.799999999999997</v>
      </c>
      <c r="S271" s="1160"/>
      <c r="T271" s="1160"/>
      <c r="U271" s="1148">
        <f t="shared" si="94"/>
        <v>254.59999999999997</v>
      </c>
      <c r="V271" s="1148"/>
      <c r="W271" s="1149"/>
      <c r="X271" s="1150">
        <f t="shared" si="95"/>
        <v>1091.1428571428569</v>
      </c>
      <c r="Y271" s="1151"/>
      <c r="Z271" s="1152"/>
      <c r="AA271" s="1181">
        <v>31.571400000000001</v>
      </c>
      <c r="AB271" s="1182"/>
      <c r="AC271" s="1182"/>
      <c r="AD271" s="1183">
        <f t="shared" si="96"/>
        <v>947.14200000000005</v>
      </c>
      <c r="AE271" s="1183"/>
      <c r="AF271" s="1183"/>
      <c r="AG271" s="494"/>
      <c r="AH271" s="167"/>
      <c r="AI271" s="167"/>
      <c r="AJ271" s="376"/>
      <c r="AK271" s="376"/>
    </row>
    <row r="272" spans="2:41" ht="17.25">
      <c r="C272" s="495">
        <v>6</v>
      </c>
      <c r="D272" s="1144" t="s">
        <v>138</v>
      </c>
      <c r="E272" s="1144"/>
      <c r="F272" s="1144"/>
      <c r="G272" s="1144"/>
      <c r="H272" s="1144"/>
      <c r="I272" s="1165">
        <v>33.799999999999997</v>
      </c>
      <c r="J272" s="1165"/>
      <c r="K272" s="1165"/>
      <c r="L272" s="1146">
        <v>1</v>
      </c>
      <c r="M272" s="1146"/>
      <c r="N272" s="1146"/>
      <c r="O272" s="1146">
        <v>2</v>
      </c>
      <c r="P272" s="1146"/>
      <c r="Q272" s="1146"/>
      <c r="R272" s="1160">
        <f t="shared" si="93"/>
        <v>36.799999999999997</v>
      </c>
      <c r="S272" s="1160"/>
      <c r="T272" s="1160"/>
      <c r="U272" s="1148">
        <f t="shared" si="94"/>
        <v>254.59999999999997</v>
      </c>
      <c r="V272" s="1148"/>
      <c r="W272" s="1149"/>
      <c r="X272" s="1150">
        <f t="shared" si="95"/>
        <v>1091.1428571428569</v>
      </c>
      <c r="Y272" s="1151"/>
      <c r="Z272" s="1152"/>
      <c r="AA272" s="1181">
        <v>33.333300000000001</v>
      </c>
      <c r="AB272" s="1182"/>
      <c r="AC272" s="1182"/>
      <c r="AD272" s="1183">
        <f t="shared" si="96"/>
        <v>999.99900000000002</v>
      </c>
      <c r="AE272" s="1183"/>
      <c r="AF272" s="1183"/>
      <c r="AG272" s="494"/>
      <c r="AH272" s="167"/>
      <c r="AI272" s="167"/>
      <c r="AJ272" s="376"/>
      <c r="AK272" s="376"/>
    </row>
    <row r="273" spans="3:41" ht="17.25">
      <c r="C273" s="495">
        <v>7</v>
      </c>
      <c r="D273" s="1144" t="s">
        <v>139</v>
      </c>
      <c r="E273" s="1144"/>
      <c r="F273" s="1144"/>
      <c r="G273" s="1144"/>
      <c r="H273" s="1144"/>
      <c r="I273" s="1165">
        <v>26</v>
      </c>
      <c r="J273" s="1165"/>
      <c r="K273" s="1165"/>
      <c r="L273" s="1146">
        <v>1</v>
      </c>
      <c r="M273" s="1146"/>
      <c r="N273" s="1146"/>
      <c r="O273" s="1146">
        <v>2</v>
      </c>
      <c r="P273" s="1146"/>
      <c r="Q273" s="1146"/>
      <c r="R273" s="1160">
        <f t="shared" si="93"/>
        <v>29</v>
      </c>
      <c r="S273" s="1160"/>
      <c r="T273" s="1160"/>
      <c r="U273" s="1148">
        <f t="shared" si="94"/>
        <v>200</v>
      </c>
      <c r="V273" s="1148"/>
      <c r="W273" s="1149"/>
      <c r="X273" s="1150">
        <f t="shared" si="95"/>
        <v>857.14285714285722</v>
      </c>
      <c r="Y273" s="1151"/>
      <c r="Z273" s="1152"/>
      <c r="AA273" s="1181">
        <v>25</v>
      </c>
      <c r="AB273" s="1182"/>
      <c r="AC273" s="1182"/>
      <c r="AD273" s="1183">
        <f t="shared" si="96"/>
        <v>750</v>
      </c>
      <c r="AE273" s="1183"/>
      <c r="AF273" s="1183"/>
      <c r="AG273" s="494"/>
      <c r="AH273" s="167"/>
      <c r="AI273" s="167"/>
      <c r="AJ273" s="376"/>
      <c r="AK273" s="376"/>
    </row>
    <row r="274" spans="3:41" ht="17.25">
      <c r="C274" s="492"/>
      <c r="D274" s="409"/>
      <c r="E274" s="410"/>
      <c r="F274" s="411"/>
      <c r="G274" s="333"/>
      <c r="H274" s="333"/>
      <c r="I274" s="411"/>
      <c r="J274" s="333"/>
      <c r="K274" s="405"/>
      <c r="L274" s="405"/>
      <c r="M274" s="333"/>
      <c r="N274" s="333"/>
      <c r="O274" s="333"/>
      <c r="P274" s="333"/>
      <c r="Q274" s="333"/>
      <c r="R274" s="333"/>
      <c r="S274" s="1160" t="s">
        <v>23</v>
      </c>
      <c r="T274" s="1160"/>
      <c r="U274" s="1160"/>
      <c r="V274" s="333"/>
      <c r="W274" s="333"/>
      <c r="X274" s="1161">
        <f>SUM(X267:Z273)</f>
        <v>7862.9999999999991</v>
      </c>
      <c r="Y274" s="1162"/>
      <c r="Z274" s="1163"/>
      <c r="AA274" s="496"/>
      <c r="AB274" s="496"/>
      <c r="AC274" s="496"/>
      <c r="AD274" s="1184">
        <f>SUM(AD267:AF273)</f>
        <v>6928.2089999999989</v>
      </c>
      <c r="AE274" s="1184"/>
      <c r="AF274" s="1184"/>
      <c r="AG274" s="494"/>
      <c r="AH274" s="167"/>
      <c r="AI274" s="167"/>
      <c r="AJ274" s="376"/>
      <c r="AK274" s="376"/>
    </row>
    <row r="275" spans="3:41" ht="15.75" thickBot="1">
      <c r="C275" s="492"/>
      <c r="D275" s="333"/>
      <c r="E275" s="410"/>
      <c r="F275" s="411"/>
      <c r="G275" s="333"/>
      <c r="H275" s="333"/>
      <c r="I275" s="411"/>
      <c r="J275" s="333"/>
      <c r="K275" s="405"/>
      <c r="L275" s="405"/>
      <c r="M275" s="333"/>
      <c r="N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  <c r="AA275" s="167"/>
      <c r="AB275" s="167"/>
      <c r="AC275" s="167"/>
      <c r="AD275" s="167"/>
      <c r="AE275" s="376"/>
      <c r="AF275" s="376"/>
      <c r="AG275" s="494"/>
      <c r="AH275" s="167"/>
      <c r="AI275" s="167"/>
      <c r="AJ275" s="376"/>
      <c r="AK275" s="376"/>
    </row>
    <row r="276" spans="3:41" ht="15.75" thickBot="1">
      <c r="C276" s="492"/>
      <c r="D276" s="333"/>
      <c r="E276" s="410"/>
      <c r="F276" s="411"/>
      <c r="G276" s="333"/>
      <c r="H276" s="333"/>
      <c r="I276" s="411"/>
      <c r="J276" s="333"/>
      <c r="K276" s="405"/>
      <c r="L276" s="1185" t="s">
        <v>140</v>
      </c>
      <c r="M276" s="1185"/>
      <c r="N276" s="1185"/>
      <c r="O276" s="333"/>
      <c r="P276" s="333"/>
      <c r="Q276" s="333"/>
      <c r="R276" s="333"/>
      <c r="S276" s="333"/>
      <c r="T276" s="499" t="s">
        <v>141</v>
      </c>
      <c r="U276" s="333"/>
      <c r="V276" s="333"/>
      <c r="W276" s="333"/>
      <c r="X276" s="333"/>
      <c r="Y276" s="333"/>
      <c r="Z276" s="333"/>
      <c r="AA276" s="167"/>
      <c r="AB276" s="167"/>
      <c r="AC276" s="167"/>
      <c r="AD276" s="1156">
        <f>+X274-AD274+0.01</f>
        <v>934.80100000000016</v>
      </c>
      <c r="AE276" s="1157"/>
      <c r="AF276" s="1158"/>
      <c r="AG276" s="494"/>
      <c r="AH276" s="167"/>
      <c r="AI276" s="167"/>
      <c r="AJ276" s="376"/>
      <c r="AK276" s="376"/>
    </row>
    <row r="277" spans="3:41" ht="15.75" thickBot="1">
      <c r="C277" s="500"/>
      <c r="D277" s="501"/>
      <c r="E277" s="502"/>
      <c r="F277" s="503"/>
      <c r="G277" s="501"/>
      <c r="H277" s="501"/>
      <c r="I277" s="503"/>
      <c r="J277" s="501"/>
      <c r="K277" s="504"/>
      <c r="L277" s="504"/>
      <c r="M277" s="501"/>
      <c r="N277" s="501"/>
      <c r="O277" s="501"/>
      <c r="P277" s="501"/>
      <c r="Q277" s="501"/>
      <c r="R277" s="501"/>
      <c r="S277" s="501"/>
      <c r="T277" s="501"/>
      <c r="U277" s="501"/>
      <c r="V277" s="501"/>
      <c r="W277" s="501"/>
      <c r="X277" s="501"/>
      <c r="Y277" s="501"/>
      <c r="Z277" s="501"/>
      <c r="AA277" s="505"/>
      <c r="AB277" s="505"/>
      <c r="AC277" s="505"/>
      <c r="AD277" s="506"/>
      <c r="AE277" s="506"/>
      <c r="AF277" s="506"/>
      <c r="AG277" s="507"/>
      <c r="AH277" s="167"/>
      <c r="AI277" s="167"/>
      <c r="AJ277" s="376"/>
      <c r="AK277" s="376"/>
    </row>
    <row r="278" spans="3:41">
      <c r="AG278" s="267"/>
      <c r="AH278" s="267"/>
      <c r="AI278" s="267"/>
      <c r="AJ278" s="267"/>
      <c r="AK278" s="267"/>
      <c r="AL278" s="267"/>
      <c r="AM278" s="267"/>
      <c r="AN278" s="267"/>
      <c r="AO278" s="267"/>
    </row>
    <row r="279" spans="3:41">
      <c r="AG279" s="267"/>
      <c r="AH279" s="267"/>
      <c r="AI279" s="267"/>
      <c r="AJ279" s="267"/>
      <c r="AK279" s="267"/>
      <c r="AL279" s="267"/>
      <c r="AM279" s="267"/>
      <c r="AN279" s="267"/>
      <c r="AO279" s="267"/>
    </row>
    <row r="280" spans="3:41">
      <c r="AG280" s="267"/>
      <c r="AH280" s="267"/>
      <c r="AI280" s="267"/>
      <c r="AJ280" s="267"/>
      <c r="AK280" s="267"/>
      <c r="AL280" s="267"/>
      <c r="AM280" s="267"/>
      <c r="AN280" s="267"/>
      <c r="AO280" s="267"/>
    </row>
  </sheetData>
  <mergeCells count="848">
    <mergeCell ref="AA273:AC273"/>
    <mergeCell ref="AD273:AF273"/>
    <mergeCell ref="S274:U274"/>
    <mergeCell ref="X274:Z274"/>
    <mergeCell ref="AD274:AF274"/>
    <mergeCell ref="L276:N276"/>
    <mergeCell ref="AD276:AF276"/>
    <mergeCell ref="X272:Z272"/>
    <mergeCell ref="AA272:AC272"/>
    <mergeCell ref="AD272:AF272"/>
    <mergeCell ref="D273:H273"/>
    <mergeCell ref="I273:K273"/>
    <mergeCell ref="L273:N273"/>
    <mergeCell ref="O273:Q273"/>
    <mergeCell ref="R273:T273"/>
    <mergeCell ref="U273:W273"/>
    <mergeCell ref="X273:Z273"/>
    <mergeCell ref="D272:H272"/>
    <mergeCell ref="I272:K272"/>
    <mergeCell ref="L272:N272"/>
    <mergeCell ref="O272:Q272"/>
    <mergeCell ref="R272:T272"/>
    <mergeCell ref="U272:W272"/>
    <mergeCell ref="D271:H271"/>
    <mergeCell ref="I271:K271"/>
    <mergeCell ref="L271:N271"/>
    <mergeCell ref="O271:Q271"/>
    <mergeCell ref="R271:T271"/>
    <mergeCell ref="U271:W271"/>
    <mergeCell ref="X271:Z271"/>
    <mergeCell ref="AA271:AC271"/>
    <mergeCell ref="AD271:AF271"/>
    <mergeCell ref="D270:H270"/>
    <mergeCell ref="I270:K270"/>
    <mergeCell ref="L270:N270"/>
    <mergeCell ref="O270:Q270"/>
    <mergeCell ref="R270:T270"/>
    <mergeCell ref="U270:W270"/>
    <mergeCell ref="X270:Z270"/>
    <mergeCell ref="AA270:AC270"/>
    <mergeCell ref="AD270:AF270"/>
    <mergeCell ref="D269:H269"/>
    <mergeCell ref="I269:K269"/>
    <mergeCell ref="L269:N269"/>
    <mergeCell ref="O269:Q269"/>
    <mergeCell ref="R269:T269"/>
    <mergeCell ref="U269:W269"/>
    <mergeCell ref="X269:Z269"/>
    <mergeCell ref="AA269:AC269"/>
    <mergeCell ref="AD269:AF269"/>
    <mergeCell ref="AI267:AM267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D267:H267"/>
    <mergeCell ref="I267:K267"/>
    <mergeCell ref="L267:N267"/>
    <mergeCell ref="O267:Q267"/>
    <mergeCell ref="R267:T267"/>
    <mergeCell ref="U267:W267"/>
    <mergeCell ref="X267:Z267"/>
    <mergeCell ref="AA267:AC267"/>
    <mergeCell ref="AD267:AF267"/>
    <mergeCell ref="O259:P259"/>
    <mergeCell ref="Q259:Z259"/>
    <mergeCell ref="O260:P260"/>
    <mergeCell ref="AA265:AC265"/>
    <mergeCell ref="AD265:AF265"/>
    <mergeCell ref="D266:H266"/>
    <mergeCell ref="I266:K266"/>
    <mergeCell ref="L266:N266"/>
    <mergeCell ref="O266:Q266"/>
    <mergeCell ref="R266:T266"/>
    <mergeCell ref="U266:W266"/>
    <mergeCell ref="X266:Z266"/>
    <mergeCell ref="AA266:AC266"/>
    <mergeCell ref="AD266:AF266"/>
    <mergeCell ref="O256:P256"/>
    <mergeCell ref="Q256:Z256"/>
    <mergeCell ref="AA256:AB256"/>
    <mergeCell ref="O257:P257"/>
    <mergeCell ref="Q257:Z257"/>
    <mergeCell ref="O258:P258"/>
    <mergeCell ref="Q258:Z258"/>
    <mergeCell ref="O251:P251"/>
    <mergeCell ref="Q251:Z251"/>
    <mergeCell ref="AF251:AJ251"/>
    <mergeCell ref="O252:P252"/>
    <mergeCell ref="O254:Z254"/>
    <mergeCell ref="O255:P255"/>
    <mergeCell ref="Q255:Z255"/>
    <mergeCell ref="O248:P248"/>
    <mergeCell ref="Q248:Z248"/>
    <mergeCell ref="AA248:AB248"/>
    <mergeCell ref="O249:P249"/>
    <mergeCell ref="Q249:Z249"/>
    <mergeCell ref="O250:P250"/>
    <mergeCell ref="Q250:Z250"/>
    <mergeCell ref="D240:F240"/>
    <mergeCell ref="D241:F241"/>
    <mergeCell ref="M241:O241"/>
    <mergeCell ref="AD241:AF241"/>
    <mergeCell ref="O246:Z246"/>
    <mergeCell ref="O247:P247"/>
    <mergeCell ref="Q247:Z247"/>
    <mergeCell ref="X238:Z238"/>
    <mergeCell ref="AA238:AC238"/>
    <mergeCell ref="AD238:AF238"/>
    <mergeCell ref="S239:U239"/>
    <mergeCell ref="X239:Z239"/>
    <mergeCell ref="AD239:AF239"/>
    <mergeCell ref="D238:H238"/>
    <mergeCell ref="I238:K238"/>
    <mergeCell ref="L238:N238"/>
    <mergeCell ref="O238:Q238"/>
    <mergeCell ref="R238:T238"/>
    <mergeCell ref="U238:W238"/>
    <mergeCell ref="D237:H237"/>
    <mergeCell ref="I237:K237"/>
    <mergeCell ref="L237:N237"/>
    <mergeCell ref="O237:Q237"/>
    <mergeCell ref="R237:T237"/>
    <mergeCell ref="U237:W237"/>
    <mergeCell ref="X237:Z237"/>
    <mergeCell ref="AA237:AC237"/>
    <mergeCell ref="AD237:AF237"/>
    <mergeCell ref="D236:H236"/>
    <mergeCell ref="I236:K236"/>
    <mergeCell ref="L236:N236"/>
    <mergeCell ref="O236:Q236"/>
    <mergeCell ref="R236:T236"/>
    <mergeCell ref="U236:W236"/>
    <mergeCell ref="X236:Z236"/>
    <mergeCell ref="AA236:AC236"/>
    <mergeCell ref="AD236:AF236"/>
    <mergeCell ref="X234:Z234"/>
    <mergeCell ref="AA234:AC234"/>
    <mergeCell ref="AD234:AF234"/>
    <mergeCell ref="D235:H235"/>
    <mergeCell ref="I235:K235"/>
    <mergeCell ref="L235:N235"/>
    <mergeCell ref="O235:Q235"/>
    <mergeCell ref="R235:T235"/>
    <mergeCell ref="U235:W235"/>
    <mergeCell ref="X235:Z235"/>
    <mergeCell ref="D234:H234"/>
    <mergeCell ref="I234:K234"/>
    <mergeCell ref="L234:N234"/>
    <mergeCell ref="O234:Q234"/>
    <mergeCell ref="R234:T234"/>
    <mergeCell ref="U234:W234"/>
    <mergeCell ref="AA235:AC235"/>
    <mergeCell ref="AD235:AF235"/>
    <mergeCell ref="D233:H233"/>
    <mergeCell ref="I233:K233"/>
    <mergeCell ref="L233:N233"/>
    <mergeCell ref="O233:Q233"/>
    <mergeCell ref="R233:T233"/>
    <mergeCell ref="U233:W233"/>
    <mergeCell ref="X233:Z233"/>
    <mergeCell ref="AA233:AC233"/>
    <mergeCell ref="AD233:AF233"/>
    <mergeCell ref="D232:H232"/>
    <mergeCell ref="I232:K232"/>
    <mergeCell ref="L232:N232"/>
    <mergeCell ref="O232:Q232"/>
    <mergeCell ref="R232:T232"/>
    <mergeCell ref="U232:W232"/>
    <mergeCell ref="X232:Z232"/>
    <mergeCell ref="AA232:AC232"/>
    <mergeCell ref="AD232:AF232"/>
    <mergeCell ref="AI230:AK230"/>
    <mergeCell ref="D231:H231"/>
    <mergeCell ref="I231:K231"/>
    <mergeCell ref="L231:N231"/>
    <mergeCell ref="O231:Q231"/>
    <mergeCell ref="R231:T231"/>
    <mergeCell ref="U231:W231"/>
    <mergeCell ref="X231:Z231"/>
    <mergeCell ref="AA231:AC231"/>
    <mergeCell ref="AD231:AF231"/>
    <mergeCell ref="AI231:AK231"/>
    <mergeCell ref="D230:H230"/>
    <mergeCell ref="I230:K230"/>
    <mergeCell ref="L230:N230"/>
    <mergeCell ref="O230:Q230"/>
    <mergeCell ref="R230:T230"/>
    <mergeCell ref="U230:W230"/>
    <mergeCell ref="X230:Z230"/>
    <mergeCell ref="AA230:AC230"/>
    <mergeCell ref="AD230:AF230"/>
    <mergeCell ref="Q223:R223"/>
    <mergeCell ref="AA228:AC228"/>
    <mergeCell ref="AD228:AF228"/>
    <mergeCell ref="D229:H229"/>
    <mergeCell ref="I229:K229"/>
    <mergeCell ref="L229:N229"/>
    <mergeCell ref="O229:Q229"/>
    <mergeCell ref="R229:T229"/>
    <mergeCell ref="U229:W229"/>
    <mergeCell ref="X229:Z229"/>
    <mergeCell ref="C223:D223"/>
    <mergeCell ref="E223:F223"/>
    <mergeCell ref="G223:H223"/>
    <mergeCell ref="I223:J223"/>
    <mergeCell ref="K223:L223"/>
    <mergeCell ref="N223:O223"/>
    <mergeCell ref="AA229:AC229"/>
    <mergeCell ref="AD229:AF229"/>
    <mergeCell ref="AF221:AH221"/>
    <mergeCell ref="C222:D222"/>
    <mergeCell ref="E222:F222"/>
    <mergeCell ref="G222:H222"/>
    <mergeCell ref="I222:J222"/>
    <mergeCell ref="K222:L222"/>
    <mergeCell ref="N222:O222"/>
    <mergeCell ref="Q222:R222"/>
    <mergeCell ref="Q220:R220"/>
    <mergeCell ref="C221:D221"/>
    <mergeCell ref="E221:F221"/>
    <mergeCell ref="G221:H221"/>
    <mergeCell ref="I221:J221"/>
    <mergeCell ref="K221:L221"/>
    <mergeCell ref="N221:O221"/>
    <mergeCell ref="Q221:R221"/>
    <mergeCell ref="C220:D220"/>
    <mergeCell ref="E220:F220"/>
    <mergeCell ref="G220:H220"/>
    <mergeCell ref="I220:J220"/>
    <mergeCell ref="K220:L220"/>
    <mergeCell ref="N220:O220"/>
    <mergeCell ref="Z218:AC218"/>
    <mergeCell ref="C219:D219"/>
    <mergeCell ref="E219:F219"/>
    <mergeCell ref="G219:H219"/>
    <mergeCell ref="I219:J219"/>
    <mergeCell ref="K219:L219"/>
    <mergeCell ref="N219:O219"/>
    <mergeCell ref="Q219:R219"/>
    <mergeCell ref="C218:D218"/>
    <mergeCell ref="E218:F218"/>
    <mergeCell ref="I218:J218"/>
    <mergeCell ref="K218:L218"/>
    <mergeCell ref="N218:O218"/>
    <mergeCell ref="Q218:R218"/>
    <mergeCell ref="Q216:R216"/>
    <mergeCell ref="C217:D217"/>
    <mergeCell ref="E217:F217"/>
    <mergeCell ref="G217:H217"/>
    <mergeCell ref="I217:J217"/>
    <mergeCell ref="K217:L217"/>
    <mergeCell ref="N217:O217"/>
    <mergeCell ref="Q217:R217"/>
    <mergeCell ref="C216:D216"/>
    <mergeCell ref="E216:F216"/>
    <mergeCell ref="G216:H216"/>
    <mergeCell ref="I216:J216"/>
    <mergeCell ref="K216:L216"/>
    <mergeCell ref="N216:O216"/>
    <mergeCell ref="Q214:R214"/>
    <mergeCell ref="AB214:AK214"/>
    <mergeCell ref="C215:D215"/>
    <mergeCell ref="E215:F215"/>
    <mergeCell ref="G215:H215"/>
    <mergeCell ref="I215:J215"/>
    <mergeCell ref="K215:L215"/>
    <mergeCell ref="N215:O215"/>
    <mergeCell ref="Q215:R215"/>
    <mergeCell ref="S215:T215"/>
    <mergeCell ref="C214:D214"/>
    <mergeCell ref="E214:F214"/>
    <mergeCell ref="G214:H214"/>
    <mergeCell ref="I214:J214"/>
    <mergeCell ref="K214:L214"/>
    <mergeCell ref="N214:O214"/>
    <mergeCell ref="S212:T212"/>
    <mergeCell ref="Z212:AC212"/>
    <mergeCell ref="C213:D213"/>
    <mergeCell ref="E213:F213"/>
    <mergeCell ref="I213:J213"/>
    <mergeCell ref="K213:L213"/>
    <mergeCell ref="N213:O213"/>
    <mergeCell ref="Q213:R213"/>
    <mergeCell ref="C212:D212"/>
    <mergeCell ref="E212:F212"/>
    <mergeCell ref="I212:J212"/>
    <mergeCell ref="K212:L212"/>
    <mergeCell ref="N212:O212"/>
    <mergeCell ref="Q212:R212"/>
    <mergeCell ref="C211:D211"/>
    <mergeCell ref="E211:F211"/>
    <mergeCell ref="I211:J211"/>
    <mergeCell ref="K211:L211"/>
    <mergeCell ref="N211:O211"/>
    <mergeCell ref="Q211:R211"/>
    <mergeCell ref="C210:D210"/>
    <mergeCell ref="E210:F210"/>
    <mergeCell ref="I210:J210"/>
    <mergeCell ref="K210:L210"/>
    <mergeCell ref="N210:O210"/>
    <mergeCell ref="Q210:R210"/>
    <mergeCell ref="C209:D209"/>
    <mergeCell ref="E209:F209"/>
    <mergeCell ref="I209:J209"/>
    <mergeCell ref="K209:L209"/>
    <mergeCell ref="N209:O209"/>
    <mergeCell ref="Q209:R209"/>
    <mergeCell ref="Q206:R206"/>
    <mergeCell ref="C207:D207"/>
    <mergeCell ref="E207:F207"/>
    <mergeCell ref="I207:J207"/>
    <mergeCell ref="K207:L207"/>
    <mergeCell ref="N207:O207"/>
    <mergeCell ref="Q207:R207"/>
    <mergeCell ref="O200:P200"/>
    <mergeCell ref="C203:D205"/>
    <mergeCell ref="E203:F205"/>
    <mergeCell ref="G203:H207"/>
    <mergeCell ref="I203:J205"/>
    <mergeCell ref="K203:L205"/>
    <mergeCell ref="N203:O205"/>
    <mergeCell ref="AA196:AB196"/>
    <mergeCell ref="O197:P197"/>
    <mergeCell ref="Q197:Z197"/>
    <mergeCell ref="O198:P198"/>
    <mergeCell ref="Q198:Z198"/>
    <mergeCell ref="O199:P199"/>
    <mergeCell ref="Q199:Z199"/>
    <mergeCell ref="Q203:R205"/>
    <mergeCell ref="U203:U208"/>
    <mergeCell ref="V203:V208"/>
    <mergeCell ref="W203:W208"/>
    <mergeCell ref="X203:X208"/>
    <mergeCell ref="C206:D206"/>
    <mergeCell ref="E206:F206"/>
    <mergeCell ref="I206:J206"/>
    <mergeCell ref="K206:L206"/>
    <mergeCell ref="N206:O206"/>
    <mergeCell ref="O192:P192"/>
    <mergeCell ref="O194:Z194"/>
    <mergeCell ref="O195:P195"/>
    <mergeCell ref="Q195:Z195"/>
    <mergeCell ref="O196:P196"/>
    <mergeCell ref="Q196:Z196"/>
    <mergeCell ref="AA188:AB188"/>
    <mergeCell ref="O189:P189"/>
    <mergeCell ref="Q189:Z189"/>
    <mergeCell ref="O190:P190"/>
    <mergeCell ref="Q190:Z190"/>
    <mergeCell ref="O191:P191"/>
    <mergeCell ref="Q191:Z191"/>
    <mergeCell ref="O181:P181"/>
    <mergeCell ref="O186:Z186"/>
    <mergeCell ref="O187:P187"/>
    <mergeCell ref="Q187:Z187"/>
    <mergeCell ref="O188:P188"/>
    <mergeCell ref="Q188:Z188"/>
    <mergeCell ref="O178:P178"/>
    <mergeCell ref="Q178:Z178"/>
    <mergeCell ref="O179:P179"/>
    <mergeCell ref="Q179:Z179"/>
    <mergeCell ref="O180:P180"/>
    <mergeCell ref="Q180:Z180"/>
    <mergeCell ref="O175:Z175"/>
    <mergeCell ref="O176:P176"/>
    <mergeCell ref="Q176:Z176"/>
    <mergeCell ref="O177:P177"/>
    <mergeCell ref="Q177:Z177"/>
    <mergeCell ref="AA177:AB177"/>
    <mergeCell ref="O172:P172"/>
    <mergeCell ref="Q172:Z172"/>
    <mergeCell ref="AG172:AH172"/>
    <mergeCell ref="AJ172:AK172"/>
    <mergeCell ref="O173:P173"/>
    <mergeCell ref="AK173:AL173"/>
    <mergeCell ref="O170:P170"/>
    <mergeCell ref="Q170:Z170"/>
    <mergeCell ref="AG170:AH170"/>
    <mergeCell ref="AJ170:AK170"/>
    <mergeCell ref="O171:P171"/>
    <mergeCell ref="Q171:Z171"/>
    <mergeCell ref="AG171:AH171"/>
    <mergeCell ref="AJ171:AK171"/>
    <mergeCell ref="AG168:AH168"/>
    <mergeCell ref="AJ168:AK168"/>
    <mergeCell ref="O169:P169"/>
    <mergeCell ref="Q169:Z169"/>
    <mergeCell ref="AA169:AB169"/>
    <mergeCell ref="AG169:AH169"/>
    <mergeCell ref="AJ169:AK169"/>
    <mergeCell ref="O160:P160"/>
    <mergeCell ref="Q160:Z160"/>
    <mergeCell ref="O161:P161"/>
    <mergeCell ref="H165:N165"/>
    <mergeCell ref="O167:Z167"/>
    <mergeCell ref="O168:P168"/>
    <mergeCell ref="Q168:Z168"/>
    <mergeCell ref="O157:P157"/>
    <mergeCell ref="Q157:Z157"/>
    <mergeCell ref="AA157:AB157"/>
    <mergeCell ref="O158:P158"/>
    <mergeCell ref="Q158:Z158"/>
    <mergeCell ref="O159:P159"/>
    <mergeCell ref="Q159:Z159"/>
    <mergeCell ref="O152:P152"/>
    <mergeCell ref="Q152:Z152"/>
    <mergeCell ref="AF152:AJ152"/>
    <mergeCell ref="O153:P153"/>
    <mergeCell ref="O155:Z155"/>
    <mergeCell ref="O156:P156"/>
    <mergeCell ref="Q156:Z156"/>
    <mergeCell ref="O149:P149"/>
    <mergeCell ref="Q149:Z149"/>
    <mergeCell ref="AA149:AB149"/>
    <mergeCell ref="O150:P150"/>
    <mergeCell ref="Q150:Z150"/>
    <mergeCell ref="O151:P151"/>
    <mergeCell ref="Q151:Z151"/>
    <mergeCell ref="O142:P142"/>
    <mergeCell ref="Q142:Z142"/>
    <mergeCell ref="O143:P143"/>
    <mergeCell ref="H145:N145"/>
    <mergeCell ref="O147:Z147"/>
    <mergeCell ref="O148:P148"/>
    <mergeCell ref="Q148:Z148"/>
    <mergeCell ref="O139:P139"/>
    <mergeCell ref="Q139:Z139"/>
    <mergeCell ref="AA139:AB139"/>
    <mergeCell ref="O140:P140"/>
    <mergeCell ref="Q140:Z140"/>
    <mergeCell ref="O141:P141"/>
    <mergeCell ref="Q141:Z141"/>
    <mergeCell ref="O134:P134"/>
    <mergeCell ref="Q134:Z134"/>
    <mergeCell ref="O135:P135"/>
    <mergeCell ref="O137:Z137"/>
    <mergeCell ref="O138:P138"/>
    <mergeCell ref="Q138:Z138"/>
    <mergeCell ref="O131:P131"/>
    <mergeCell ref="Q131:Z131"/>
    <mergeCell ref="AA131:AB131"/>
    <mergeCell ref="O132:P132"/>
    <mergeCell ref="Q132:Z132"/>
    <mergeCell ref="O133:P133"/>
    <mergeCell ref="Q133:Z133"/>
    <mergeCell ref="O123:P123"/>
    <mergeCell ref="Q123:Z123"/>
    <mergeCell ref="O124:P124"/>
    <mergeCell ref="H127:N127"/>
    <mergeCell ref="O129:Z129"/>
    <mergeCell ref="O130:P130"/>
    <mergeCell ref="Q130:Z130"/>
    <mergeCell ref="O120:P120"/>
    <mergeCell ref="Q120:Z120"/>
    <mergeCell ref="AA120:AB120"/>
    <mergeCell ref="O121:P121"/>
    <mergeCell ref="Q121:Z121"/>
    <mergeCell ref="O122:P122"/>
    <mergeCell ref="Q122:Z122"/>
    <mergeCell ref="O116:P116"/>
    <mergeCell ref="AE116:AG116"/>
    <mergeCell ref="AI116:AK116"/>
    <mergeCell ref="O118:Z118"/>
    <mergeCell ref="O119:P119"/>
    <mergeCell ref="Q119:Z119"/>
    <mergeCell ref="O114:P114"/>
    <mergeCell ref="Q114:Z114"/>
    <mergeCell ref="AE114:AG114"/>
    <mergeCell ref="AI114:AK114"/>
    <mergeCell ref="O115:P115"/>
    <mergeCell ref="Q115:Z115"/>
    <mergeCell ref="AE115:AG115"/>
    <mergeCell ref="AI115:AK115"/>
    <mergeCell ref="O113:P113"/>
    <mergeCell ref="Q113:Z113"/>
    <mergeCell ref="AE113:AG113"/>
    <mergeCell ref="AI113:AK113"/>
    <mergeCell ref="AL113:AN113"/>
    <mergeCell ref="AO113:AQ113"/>
    <mergeCell ref="AI111:AK111"/>
    <mergeCell ref="AL111:AN111"/>
    <mergeCell ref="AO111:AQ111"/>
    <mergeCell ref="O112:P112"/>
    <mergeCell ref="Q112:Z112"/>
    <mergeCell ref="AA112:AB112"/>
    <mergeCell ref="AE112:AG112"/>
    <mergeCell ref="AI112:AK112"/>
    <mergeCell ref="AL112:AN112"/>
    <mergeCell ref="AO112:AQ112"/>
    <mergeCell ref="O106:P106"/>
    <mergeCell ref="H108:N108"/>
    <mergeCell ref="O110:Z110"/>
    <mergeCell ref="O111:P111"/>
    <mergeCell ref="Q111:Z111"/>
    <mergeCell ref="AE111:AG111"/>
    <mergeCell ref="AA102:AB102"/>
    <mergeCell ref="O103:P103"/>
    <mergeCell ref="Q103:Z103"/>
    <mergeCell ref="O104:P104"/>
    <mergeCell ref="Q104:Z104"/>
    <mergeCell ref="O105:P105"/>
    <mergeCell ref="Q105:Z105"/>
    <mergeCell ref="O98:P98"/>
    <mergeCell ref="O100:Z100"/>
    <mergeCell ref="O101:P101"/>
    <mergeCell ref="Q101:Z101"/>
    <mergeCell ref="O102:P102"/>
    <mergeCell ref="Q102:Z102"/>
    <mergeCell ref="AA94:AB94"/>
    <mergeCell ref="O95:P95"/>
    <mergeCell ref="Q95:Z95"/>
    <mergeCell ref="O96:P96"/>
    <mergeCell ref="Q96:Z96"/>
    <mergeCell ref="O97:P97"/>
    <mergeCell ref="Q97:Z97"/>
    <mergeCell ref="H90:N90"/>
    <mergeCell ref="O92:Z92"/>
    <mergeCell ref="O93:P93"/>
    <mergeCell ref="Q93:Z93"/>
    <mergeCell ref="O94:P94"/>
    <mergeCell ref="Q94:Z94"/>
    <mergeCell ref="Q87:R87"/>
    <mergeCell ref="C88:D88"/>
    <mergeCell ref="E88:F88"/>
    <mergeCell ref="G88:H88"/>
    <mergeCell ref="I88:J88"/>
    <mergeCell ref="K88:L88"/>
    <mergeCell ref="N88:O88"/>
    <mergeCell ref="Q88:R88"/>
    <mergeCell ref="C87:D87"/>
    <mergeCell ref="E87:F87"/>
    <mergeCell ref="G87:H87"/>
    <mergeCell ref="I87:J87"/>
    <mergeCell ref="K87:L87"/>
    <mergeCell ref="N87:O87"/>
    <mergeCell ref="Q85:R85"/>
    <mergeCell ref="C86:D86"/>
    <mergeCell ref="E86:F86"/>
    <mergeCell ref="G86:H86"/>
    <mergeCell ref="I86:J86"/>
    <mergeCell ref="K86:L86"/>
    <mergeCell ref="N86:O86"/>
    <mergeCell ref="Q86:R86"/>
    <mergeCell ref="C85:D85"/>
    <mergeCell ref="E85:F85"/>
    <mergeCell ref="G85:H85"/>
    <mergeCell ref="I85:J85"/>
    <mergeCell ref="K85:L85"/>
    <mergeCell ref="N85:O85"/>
    <mergeCell ref="Q83:R83"/>
    <mergeCell ref="C84:D84"/>
    <mergeCell ref="E84:F84"/>
    <mergeCell ref="I84:J84"/>
    <mergeCell ref="K84:L84"/>
    <mergeCell ref="N84:O84"/>
    <mergeCell ref="Q84:R84"/>
    <mergeCell ref="C83:D83"/>
    <mergeCell ref="E83:F83"/>
    <mergeCell ref="G83:H83"/>
    <mergeCell ref="I83:J83"/>
    <mergeCell ref="K83:L83"/>
    <mergeCell ref="N83:O83"/>
    <mergeCell ref="Q81:R81"/>
    <mergeCell ref="Y81:Z81"/>
    <mergeCell ref="C82:D82"/>
    <mergeCell ref="E82:F82"/>
    <mergeCell ref="G82:H82"/>
    <mergeCell ref="I82:J82"/>
    <mergeCell ref="K82:L82"/>
    <mergeCell ref="N82:O82"/>
    <mergeCell ref="Q82:R82"/>
    <mergeCell ref="C81:D81"/>
    <mergeCell ref="E81:F81"/>
    <mergeCell ref="G81:H81"/>
    <mergeCell ref="I81:J81"/>
    <mergeCell ref="K81:L81"/>
    <mergeCell ref="N81:O81"/>
    <mergeCell ref="Y79:Z79"/>
    <mergeCell ref="Q75:R75"/>
    <mergeCell ref="C80:D80"/>
    <mergeCell ref="E80:F80"/>
    <mergeCell ref="G80:H80"/>
    <mergeCell ref="I80:J80"/>
    <mergeCell ref="K80:L80"/>
    <mergeCell ref="N80:O80"/>
    <mergeCell ref="Q80:R80"/>
    <mergeCell ref="Y80:Z80"/>
    <mergeCell ref="C79:D79"/>
    <mergeCell ref="E79:F79"/>
    <mergeCell ref="G79:H79"/>
    <mergeCell ref="I79:J79"/>
    <mergeCell ref="K79:L79"/>
    <mergeCell ref="N79:O79"/>
    <mergeCell ref="Q79:R79"/>
    <mergeCell ref="G76:H76"/>
    <mergeCell ref="I76:J76"/>
    <mergeCell ref="K76:L76"/>
    <mergeCell ref="N76:O76"/>
    <mergeCell ref="N70:O70"/>
    <mergeCell ref="Q70:R70"/>
    <mergeCell ref="C78:D78"/>
    <mergeCell ref="E78:F78"/>
    <mergeCell ref="G78:H78"/>
    <mergeCell ref="I78:J78"/>
    <mergeCell ref="K78:L78"/>
    <mergeCell ref="N78:O78"/>
    <mergeCell ref="C75:D75"/>
    <mergeCell ref="E75:F75"/>
    <mergeCell ref="I75:J75"/>
    <mergeCell ref="K75:L75"/>
    <mergeCell ref="N75:O75"/>
    <mergeCell ref="Q78:R78"/>
    <mergeCell ref="Q76:R76"/>
    <mergeCell ref="C77:D77"/>
    <mergeCell ref="E77:F77"/>
    <mergeCell ref="G77:H77"/>
    <mergeCell ref="I77:J77"/>
    <mergeCell ref="K77:L77"/>
    <mergeCell ref="N77:O77"/>
    <mergeCell ref="Q77:R77"/>
    <mergeCell ref="C76:D76"/>
    <mergeCell ref="E76:F76"/>
    <mergeCell ref="Y73:Z73"/>
    <mergeCell ref="C74:D74"/>
    <mergeCell ref="E74:F74"/>
    <mergeCell ref="I74:J74"/>
    <mergeCell ref="K74:L74"/>
    <mergeCell ref="N74:O74"/>
    <mergeCell ref="Q74:R74"/>
    <mergeCell ref="Y74:Z74"/>
    <mergeCell ref="C73:D73"/>
    <mergeCell ref="E73:F73"/>
    <mergeCell ref="I73:J73"/>
    <mergeCell ref="K73:L73"/>
    <mergeCell ref="N73:O73"/>
    <mergeCell ref="Q73:R73"/>
    <mergeCell ref="AR62:AS62"/>
    <mergeCell ref="AW62:AX62"/>
    <mergeCell ref="AK63:AL63"/>
    <mergeCell ref="C67:D69"/>
    <mergeCell ref="E67:F69"/>
    <mergeCell ref="G67:H71"/>
    <mergeCell ref="I67:J69"/>
    <mergeCell ref="K67:L69"/>
    <mergeCell ref="N67:O69"/>
    <mergeCell ref="Q67:R69"/>
    <mergeCell ref="C71:D71"/>
    <mergeCell ref="E71:F71"/>
    <mergeCell ref="I71:J71"/>
    <mergeCell ref="K71:L71"/>
    <mergeCell ref="N71:O71"/>
    <mergeCell ref="Q71:R71"/>
    <mergeCell ref="U67:U72"/>
    <mergeCell ref="V67:V72"/>
    <mergeCell ref="W67:W72"/>
    <mergeCell ref="X67:X72"/>
    <mergeCell ref="C70:D70"/>
    <mergeCell ref="E70:F70"/>
    <mergeCell ref="I70:J70"/>
    <mergeCell ref="K70:L70"/>
    <mergeCell ref="AP58:AQ58"/>
    <mergeCell ref="AR58:AS58"/>
    <mergeCell ref="C60:J61"/>
    <mergeCell ref="K60:L61"/>
    <mergeCell ref="M60:T61"/>
    <mergeCell ref="U60:V61"/>
    <mergeCell ref="W60:AD61"/>
    <mergeCell ref="AE60:AF61"/>
    <mergeCell ref="AR48:AS48"/>
    <mergeCell ref="AW49:AX50"/>
    <mergeCell ref="C56:J57"/>
    <mergeCell ref="K56:L57"/>
    <mergeCell ref="M56:T57"/>
    <mergeCell ref="U56:V57"/>
    <mergeCell ref="W56:AD57"/>
    <mergeCell ref="AE56:AF57"/>
    <mergeCell ref="AG56:AN57"/>
    <mergeCell ref="AO56:AO57"/>
    <mergeCell ref="AR45:AS45"/>
    <mergeCell ref="AW45:AX45"/>
    <mergeCell ref="AR46:AS46"/>
    <mergeCell ref="AW46:AX46"/>
    <mergeCell ref="AR47:AS47"/>
    <mergeCell ref="AW47:AX47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5:AS35"/>
    <mergeCell ref="AW35:AX35"/>
    <mergeCell ref="Z29:Z32"/>
    <mergeCell ref="AA29:AB32"/>
    <mergeCell ref="AC29:AC32"/>
    <mergeCell ref="AD29:AD32"/>
    <mergeCell ref="AE29:AE32"/>
    <mergeCell ref="AF29:AF32"/>
    <mergeCell ref="AT27:AT32"/>
    <mergeCell ref="AW27:AX32"/>
    <mergeCell ref="AE27:AF28"/>
    <mergeCell ref="K29:K32"/>
    <mergeCell ref="L29:L32"/>
    <mergeCell ref="M29:N32"/>
    <mergeCell ref="O29:O32"/>
    <mergeCell ref="P29:P32"/>
    <mergeCell ref="Q29:R32"/>
    <mergeCell ref="AR33:AS33"/>
    <mergeCell ref="AW33:AX33"/>
    <mergeCell ref="AR34:AS34"/>
    <mergeCell ref="AW34:AX34"/>
    <mergeCell ref="AH27:AH32"/>
    <mergeCell ref="AI27:AI32"/>
    <mergeCell ref="AJ27:AJ32"/>
    <mergeCell ref="AK27:AK32"/>
    <mergeCell ref="AL27:AL32"/>
    <mergeCell ref="S29:S32"/>
    <mergeCell ref="T29:T32"/>
    <mergeCell ref="U29:U32"/>
    <mergeCell ref="V29:V32"/>
    <mergeCell ref="W29:X32"/>
    <mergeCell ref="Y29:Y32"/>
    <mergeCell ref="AP25:AQ25"/>
    <mergeCell ref="AR25:AS25"/>
    <mergeCell ref="BE26:BE27"/>
    <mergeCell ref="BF26:BF27"/>
    <mergeCell ref="B27:B32"/>
    <mergeCell ref="C27:J28"/>
    <mergeCell ref="K27:L28"/>
    <mergeCell ref="M27:T28"/>
    <mergeCell ref="U27:V28"/>
    <mergeCell ref="W27:AD28"/>
    <mergeCell ref="AZ27:BC27"/>
    <mergeCell ref="AZ28:BB29"/>
    <mergeCell ref="C29:D32"/>
    <mergeCell ref="E29:E32"/>
    <mergeCell ref="F29:F32"/>
    <mergeCell ref="G29:H32"/>
    <mergeCell ref="I29:I32"/>
    <mergeCell ref="J29:J32"/>
    <mergeCell ref="AM27:AM32"/>
    <mergeCell ref="AN27:AN32"/>
    <mergeCell ref="AO27:AO32"/>
    <mergeCell ref="AP27:AP32"/>
    <mergeCell ref="AQ27:AQ32"/>
    <mergeCell ref="AR27:AS32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</mergeCells>
  <conditionalFormatting sqref="AP202:AP205 AH62 AP62 AP33:AP50 AH33:AH50">
    <cfRule type="cellIs" dxfId="96" priority="16" stopIfTrue="1" operator="lessThanOrEqual">
      <formula>0</formula>
    </cfRule>
  </conditionalFormatting>
  <conditionalFormatting sqref="L290:L291 K261:L261 K290:K293 L293 K161:L162 K278:L281 K182:L182 K201:L243 L87:L144 K84:K144 K79:K82 K83:L83 K77 K78:L78">
    <cfRule type="cellIs" dxfId="95" priority="15" stopIfTrue="1" operator="greaterThanOrEqual">
      <formula>$K$74</formula>
    </cfRule>
  </conditionalFormatting>
  <conditionalFormatting sqref="AR50:AT50 AR48:AT48 AP58:AT59 AR62:AS62 AS46:AS47 AS39 AS41 AR33:AS33 AP11:AT27 AT5 AR34:AR47">
    <cfRule type="cellIs" dxfId="94" priority="14" stopIfTrue="1" operator="lessThan">
      <formula>0</formula>
    </cfRule>
  </conditionalFormatting>
  <conditionalFormatting sqref="P202:P204 AJ58:AJ59 F62 Z62 F58:F60 P62:P68 P58:P60 Z58:Z60 F11:F26 Z11:Z27 P11:P27 AJ11:AJ27 F33:F50 P33:P55 Z33:Z50">
    <cfRule type="cellIs" dxfId="93" priority="13" stopIfTrue="1" operator="lessThanOrEqual">
      <formula>0</formula>
    </cfRule>
  </conditionalFormatting>
  <conditionalFormatting sqref="S202:S204 AM58:AM59 AC62 I62 AC58:AC60 S62:S68 S58:S60 I58:I60 AM11:AM27 AC11:AC27 S11:S27 I11:I26 I33:I50 S33:S55 AC33:AC50">
    <cfRule type="cellIs" dxfId="92" priority="12" stopIfTrue="1" operator="lessThanOrEqual">
      <formula>0</formula>
    </cfRule>
  </conditionalFormatting>
  <conditionalFormatting sqref="U202:V204 K58:L60 AO58:AO59 AE58:AE59 K62:L62 AE62:AF62 U62:V68 AE60:AF60 U58:V60 K48:L50 AE48:AF50 U48:V56 AF45:AF46 L45:L46 V45:V46 U43:V43 AE43:AF43 V39:V42 L40:L42 AF40:AF42 U33:V33 K26:L27 AE26:AF27 K33:L33 U26:V27 AE33:AF33 L23:L24 V23:V24 K12:K15 U44:U47 AE44:AE47 K16:L19 L20 V16:V20 K20:K25 K11:L11 U11:V11 AO11:AO27 AE11:AE25 U12:U25 K34:K47 U34:U42 AE34:AE42">
    <cfRule type="cellIs" dxfId="91" priority="11" stopIfTrue="1" operator="lessThanOrEqual">
      <formula>0</formula>
    </cfRule>
  </conditionalFormatting>
  <conditionalFormatting sqref="W212:X221 Z202:AA204 W223:X223 Z63:AA63 AA68:AB70 AA73:AB74 Z51:AA55 W75:X76 W78:X88">
    <cfRule type="cellIs" dxfId="90" priority="10" stopIfTrue="1" operator="lessThan">
      <formula>0</formula>
    </cfRule>
  </conditionalFormatting>
  <conditionalFormatting sqref="X202:X204 U223 U212:U221 X63:X68 X51 X53:X55 U75:U76 U78:U88">
    <cfRule type="cellIs" dxfId="89" priority="9" stopIfTrue="1" operator="greaterThan">
      <formula>48</formula>
    </cfRule>
  </conditionalFormatting>
  <conditionalFormatting sqref="C278:C282 C290:D293 C161:D161 D278:D289 C89:D144 C243:D243 C224:D224">
    <cfRule type="cellIs" dxfId="88" priority="8" stopIfTrue="1" operator="lessThan">
      <formula>$C$73</formula>
    </cfRule>
  </conditionalFormatting>
  <conditionalFormatting sqref="AI62:AO62 AI33:AO50">
    <cfRule type="cellIs" dxfId="87" priority="6" stopIfTrue="1" operator="equal">
      <formula>0</formula>
    </cfRule>
    <cfRule type="cellIs" dxfId="86" priority="7" stopIfTrue="1" operator="lessThan">
      <formula>0</formula>
    </cfRule>
  </conditionalFormatting>
  <conditionalFormatting sqref="AT62 AT33:AT47">
    <cfRule type="cellIs" dxfId="85" priority="4" stopIfTrue="1" operator="greaterThan">
      <formula>0</formula>
    </cfRule>
    <cfRule type="cellIs" dxfId="84" priority="5" stopIfTrue="1" operator="lessThan">
      <formula>1</formula>
    </cfRule>
  </conditionalFormatting>
  <conditionalFormatting sqref="K209:L219 K222:L222 K73:L87">
    <cfRule type="cellIs" dxfId="83" priority="3" stopIfTrue="1" operator="greaterThanOrEqual">
      <formula>$K$71</formula>
    </cfRule>
  </conditionalFormatting>
  <conditionalFormatting sqref="AF58:AF59 L12:L25 V12:V25 AF11:AF25 L33:L47 V33:V47 AF33:AF47">
    <cfRule type="cellIs" dxfId="82" priority="1" stopIfTrue="1" operator="equal">
      <formula>0</formula>
    </cfRule>
    <cfRule type="cellIs" dxfId="81" priority="2" stopIfTrue="1" operator="lessThan">
      <formula>0</formula>
    </cfRule>
  </conditionalFormatting>
  <hyperlinks>
    <hyperlink ref="AB214" r:id="rId1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F14:BA14 AF19:BA22 AF17 AJ17:BA17 AF18 AJ18:BA18 AF16:BA16 AF15 AJ15:AM15 AF24:BA24 AF23 AJ23:BA23 AK36 AO15:BA15" formula="1"/>
  </ignoredErrors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H280"/>
  <sheetViews>
    <sheetView zoomScale="90" zoomScaleNormal="90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AP16" sqref="AP16:AQ16"/>
    </sheetView>
  </sheetViews>
  <sheetFormatPr baseColWidth="10" defaultRowHeight="15"/>
  <cols>
    <col min="1" max="1" width="2.28515625" style="1" customWidth="1"/>
    <col min="2" max="2" width="13.7109375" style="7" customWidth="1"/>
    <col min="3" max="4" width="4.28515625" style="3" customWidth="1"/>
    <col min="5" max="5" width="4.28515625" style="4" customWidth="1"/>
    <col min="6" max="6" width="4.28515625" style="5" customWidth="1"/>
    <col min="7" max="8" width="4.28515625" style="3" customWidth="1"/>
    <col min="9" max="9" width="4.28515625" style="5" customWidth="1"/>
    <col min="10" max="10" width="4.28515625" style="3" customWidth="1"/>
    <col min="11" max="12" width="4.28515625" style="6" customWidth="1"/>
    <col min="13" max="26" width="4.28515625" style="3" customWidth="1"/>
    <col min="27" max="39" width="4.28515625" style="7" customWidth="1"/>
    <col min="40" max="40" width="4.7109375" style="7" customWidth="1"/>
    <col min="41" max="41" width="4.28515625" style="7" customWidth="1"/>
    <col min="42" max="42" width="4.7109375" style="7" customWidth="1"/>
    <col min="43" max="43" width="0.5703125" style="7" customWidth="1"/>
    <col min="44" max="45" width="4.140625" style="7" customWidth="1"/>
    <col min="46" max="46" width="7.7109375" style="7" customWidth="1"/>
    <col min="47" max="47" width="0.85546875" style="7" customWidth="1"/>
    <col min="48" max="54" width="2.7109375" style="7" customWidth="1"/>
    <col min="55" max="55" width="0.85546875" style="7" customWidth="1"/>
    <col min="56" max="56" width="8.42578125" style="7" bestFit="1" customWidth="1"/>
    <col min="57" max="57" width="10.28515625" style="7" customWidth="1"/>
    <col min="58" max="59" width="11.42578125" style="7"/>
    <col min="60" max="62" width="12.7109375" style="7" customWidth="1"/>
    <col min="63" max="16384" width="11.42578125" style="7"/>
  </cols>
  <sheetData>
    <row r="1" spans="1:60" ht="6.95" customHeight="1">
      <c r="B1" s="2">
        <f>+W27</f>
        <v>43859</v>
      </c>
      <c r="C1" s="3" t="s">
        <v>0</v>
      </c>
      <c r="AN1" s="8"/>
      <c r="AO1" s="8"/>
      <c r="AR1" s="734">
        <f>+AR48+AT48</f>
        <v>216</v>
      </c>
      <c r="AS1" s="735"/>
      <c r="AT1" s="735"/>
      <c r="AU1" s="736"/>
    </row>
    <row r="2" spans="1:60" ht="6.95" customHeight="1">
      <c r="AJ2" s="8"/>
      <c r="AK2" s="8"/>
      <c r="AL2" s="8"/>
      <c r="AM2" s="8"/>
      <c r="AN2" s="8"/>
      <c r="AO2" s="8"/>
      <c r="AR2" s="737"/>
      <c r="AS2" s="738"/>
      <c r="AT2" s="738"/>
      <c r="AU2" s="739"/>
    </row>
    <row r="3" spans="1:60" s="10" customFormat="1" ht="20.100000000000001" customHeight="1">
      <c r="A3" s="1"/>
      <c r="B3" s="740">
        <f>+B1+1</f>
        <v>43860</v>
      </c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740"/>
      <c r="AB3" s="740"/>
      <c r="AC3" s="740"/>
      <c r="AD3" s="740"/>
      <c r="AE3" s="740"/>
      <c r="AF3" s="740"/>
      <c r="AG3" s="740"/>
      <c r="AH3" s="740"/>
      <c r="AI3" s="740"/>
      <c r="AJ3" s="740"/>
      <c r="AK3" s="740"/>
      <c r="AL3" s="740"/>
      <c r="AM3" s="740"/>
      <c r="AN3" s="740"/>
      <c r="AO3" s="740"/>
      <c r="AP3" s="9"/>
      <c r="AT3" s="11"/>
    </row>
    <row r="4" spans="1:60" ht="3" customHeight="1" thickBot="1">
      <c r="B4" s="12"/>
      <c r="C4" s="3">
        <v>0</v>
      </c>
    </row>
    <row r="5" spans="1:60" ht="9.9499999999999993" customHeight="1">
      <c r="B5" s="741" t="s">
        <v>1</v>
      </c>
      <c r="C5" s="744">
        <v>43853</v>
      </c>
      <c r="D5" s="744"/>
      <c r="E5" s="744"/>
      <c r="F5" s="744"/>
      <c r="G5" s="744"/>
      <c r="H5" s="744"/>
      <c r="I5" s="744"/>
      <c r="J5" s="744"/>
      <c r="K5" s="746"/>
      <c r="L5" s="747"/>
      <c r="M5" s="744">
        <f>1+C5</f>
        <v>43854</v>
      </c>
      <c r="N5" s="744"/>
      <c r="O5" s="744"/>
      <c r="P5" s="744"/>
      <c r="Q5" s="744"/>
      <c r="R5" s="744"/>
      <c r="S5" s="744"/>
      <c r="T5" s="744"/>
      <c r="U5" s="746"/>
      <c r="V5" s="747"/>
      <c r="W5" s="750">
        <f>1+M5</f>
        <v>43855</v>
      </c>
      <c r="X5" s="750"/>
      <c r="Y5" s="750"/>
      <c r="Z5" s="750"/>
      <c r="AA5" s="750"/>
      <c r="AB5" s="750"/>
      <c r="AC5" s="750"/>
      <c r="AD5" s="750"/>
      <c r="AE5" s="752"/>
      <c r="AF5" s="753"/>
      <c r="AG5" s="756">
        <f>1+W5</f>
        <v>43856</v>
      </c>
      <c r="AH5" s="757"/>
      <c r="AI5" s="757"/>
      <c r="AJ5" s="757"/>
      <c r="AK5" s="757"/>
      <c r="AL5" s="757"/>
      <c r="AM5" s="757"/>
      <c r="AN5" s="757"/>
      <c r="AO5" s="791" t="s">
        <v>2</v>
      </c>
      <c r="AP5" s="793" t="s">
        <v>3</v>
      </c>
      <c r="AQ5" s="794"/>
      <c r="AR5" s="794"/>
      <c r="AS5" s="795"/>
      <c r="AT5" s="802" t="s">
        <v>4</v>
      </c>
      <c r="AV5" s="779" t="s">
        <v>5</v>
      </c>
      <c r="AW5" s="779"/>
      <c r="AX5" s="779"/>
      <c r="AY5" s="779"/>
      <c r="AZ5" s="779"/>
      <c r="BA5" s="779"/>
      <c r="BB5" s="779"/>
      <c r="BC5" s="13"/>
      <c r="BD5" s="804" t="s">
        <v>6</v>
      </c>
      <c r="BE5" s="805" t="s">
        <v>7</v>
      </c>
      <c r="BF5" s="776" t="s">
        <v>8</v>
      </c>
    </row>
    <row r="6" spans="1:60" ht="9.9499999999999993" customHeight="1">
      <c r="B6" s="742"/>
      <c r="C6" s="745"/>
      <c r="D6" s="745"/>
      <c r="E6" s="745"/>
      <c r="F6" s="745"/>
      <c r="G6" s="745"/>
      <c r="H6" s="745"/>
      <c r="I6" s="745"/>
      <c r="J6" s="745"/>
      <c r="K6" s="748"/>
      <c r="L6" s="749"/>
      <c r="M6" s="745"/>
      <c r="N6" s="745"/>
      <c r="O6" s="745"/>
      <c r="P6" s="745"/>
      <c r="Q6" s="745"/>
      <c r="R6" s="745"/>
      <c r="S6" s="745"/>
      <c r="T6" s="745"/>
      <c r="U6" s="748"/>
      <c r="V6" s="749"/>
      <c r="W6" s="751"/>
      <c r="X6" s="751"/>
      <c r="Y6" s="751"/>
      <c r="Z6" s="751"/>
      <c r="AA6" s="751"/>
      <c r="AB6" s="751"/>
      <c r="AC6" s="751"/>
      <c r="AD6" s="751"/>
      <c r="AE6" s="754"/>
      <c r="AF6" s="755"/>
      <c r="AG6" s="758"/>
      <c r="AH6" s="759"/>
      <c r="AI6" s="759"/>
      <c r="AJ6" s="759"/>
      <c r="AK6" s="759"/>
      <c r="AL6" s="759"/>
      <c r="AM6" s="759"/>
      <c r="AN6" s="759"/>
      <c r="AO6" s="792"/>
      <c r="AP6" s="796"/>
      <c r="AQ6" s="797"/>
      <c r="AR6" s="797"/>
      <c r="AS6" s="798"/>
      <c r="AT6" s="803"/>
      <c r="AV6" s="779" t="s">
        <v>9</v>
      </c>
      <c r="AW6" s="779"/>
      <c r="AX6" s="779"/>
      <c r="AY6" s="779"/>
      <c r="AZ6" s="779"/>
      <c r="BA6" s="779"/>
      <c r="BB6" s="779"/>
      <c r="BC6" s="13"/>
      <c r="BD6" s="804"/>
      <c r="BE6" s="805"/>
      <c r="BF6" s="777"/>
    </row>
    <row r="7" spans="1:60" ht="15.2" customHeight="1">
      <c r="B7" s="742"/>
      <c r="C7" s="780" t="s">
        <v>10</v>
      </c>
      <c r="D7" s="781"/>
      <c r="E7" s="766" t="s">
        <v>11</v>
      </c>
      <c r="F7" s="769" t="s">
        <v>12</v>
      </c>
      <c r="G7" s="772" t="s">
        <v>10</v>
      </c>
      <c r="H7" s="761"/>
      <c r="I7" s="769" t="s">
        <v>12</v>
      </c>
      <c r="J7" s="773" t="s">
        <v>13</v>
      </c>
      <c r="K7" s="786" t="s">
        <v>14</v>
      </c>
      <c r="L7" s="789" t="s">
        <v>15</v>
      </c>
      <c r="M7" s="760" t="s">
        <v>10</v>
      </c>
      <c r="N7" s="761"/>
      <c r="O7" s="766" t="s">
        <v>11</v>
      </c>
      <c r="P7" s="769" t="s">
        <v>12</v>
      </c>
      <c r="Q7" s="772" t="s">
        <v>10</v>
      </c>
      <c r="R7" s="761"/>
      <c r="S7" s="769" t="s">
        <v>12</v>
      </c>
      <c r="T7" s="773" t="s">
        <v>13</v>
      </c>
      <c r="U7" s="786" t="s">
        <v>14</v>
      </c>
      <c r="V7" s="789" t="s">
        <v>15</v>
      </c>
      <c r="W7" s="814" t="s">
        <v>10</v>
      </c>
      <c r="X7" s="810"/>
      <c r="Y7" s="766" t="s">
        <v>11</v>
      </c>
      <c r="Z7" s="769" t="s">
        <v>12</v>
      </c>
      <c r="AA7" s="809" t="s">
        <v>10</v>
      </c>
      <c r="AB7" s="810"/>
      <c r="AC7" s="769" t="s">
        <v>12</v>
      </c>
      <c r="AD7" s="773" t="s">
        <v>13</v>
      </c>
      <c r="AE7" s="807" t="s">
        <v>14</v>
      </c>
      <c r="AF7" s="789" t="s">
        <v>15</v>
      </c>
      <c r="AG7" s="809" t="s">
        <v>10</v>
      </c>
      <c r="AH7" s="810"/>
      <c r="AI7" s="766" t="s">
        <v>11</v>
      </c>
      <c r="AJ7" s="825" t="s">
        <v>12</v>
      </c>
      <c r="AK7" s="809" t="s">
        <v>10</v>
      </c>
      <c r="AL7" s="810"/>
      <c r="AM7" s="769" t="s">
        <v>12</v>
      </c>
      <c r="AN7" s="828" t="s">
        <v>16</v>
      </c>
      <c r="AO7" s="830" t="s">
        <v>14</v>
      </c>
      <c r="AP7" s="796"/>
      <c r="AQ7" s="797"/>
      <c r="AR7" s="797"/>
      <c r="AS7" s="798"/>
      <c r="AT7" s="803"/>
      <c r="AV7" s="806">
        <f>+C5</f>
        <v>43853</v>
      </c>
      <c r="AW7" s="806">
        <f>+M5</f>
        <v>43854</v>
      </c>
      <c r="AX7" s="806">
        <f>+W5</f>
        <v>43855</v>
      </c>
      <c r="AY7" s="832">
        <f>+AG5</f>
        <v>43856</v>
      </c>
      <c r="AZ7" s="806">
        <f>+C27</f>
        <v>43857</v>
      </c>
      <c r="BA7" s="806">
        <f>+M27</f>
        <v>43858</v>
      </c>
      <c r="BB7" s="806">
        <f>+W27</f>
        <v>43859</v>
      </c>
      <c r="BC7" s="14"/>
      <c r="BD7" s="804"/>
      <c r="BE7" s="805"/>
      <c r="BF7" s="777"/>
    </row>
    <row r="8" spans="1:60" ht="15.2" customHeight="1">
      <c r="B8" s="742"/>
      <c r="C8" s="782"/>
      <c r="D8" s="783"/>
      <c r="E8" s="767"/>
      <c r="F8" s="770"/>
      <c r="G8" s="763"/>
      <c r="H8" s="763"/>
      <c r="I8" s="770"/>
      <c r="J8" s="774"/>
      <c r="K8" s="787"/>
      <c r="L8" s="789"/>
      <c r="M8" s="762"/>
      <c r="N8" s="763"/>
      <c r="O8" s="767"/>
      <c r="P8" s="770"/>
      <c r="Q8" s="763"/>
      <c r="R8" s="763"/>
      <c r="S8" s="770"/>
      <c r="T8" s="774"/>
      <c r="U8" s="787"/>
      <c r="V8" s="789"/>
      <c r="W8" s="815"/>
      <c r="X8" s="810"/>
      <c r="Y8" s="767"/>
      <c r="Z8" s="770"/>
      <c r="AA8" s="811"/>
      <c r="AB8" s="810"/>
      <c r="AC8" s="770"/>
      <c r="AD8" s="774"/>
      <c r="AE8" s="807"/>
      <c r="AF8" s="789"/>
      <c r="AG8" s="811"/>
      <c r="AH8" s="810"/>
      <c r="AI8" s="767"/>
      <c r="AJ8" s="826"/>
      <c r="AK8" s="811"/>
      <c r="AL8" s="810"/>
      <c r="AM8" s="770"/>
      <c r="AN8" s="828"/>
      <c r="AO8" s="830"/>
      <c r="AP8" s="796"/>
      <c r="AQ8" s="797"/>
      <c r="AR8" s="797"/>
      <c r="AS8" s="798"/>
      <c r="AT8" s="803"/>
      <c r="AV8" s="806"/>
      <c r="AW8" s="806"/>
      <c r="AX8" s="806"/>
      <c r="AY8" s="832"/>
      <c r="AZ8" s="806"/>
      <c r="BA8" s="806"/>
      <c r="BB8" s="806"/>
      <c r="BC8" s="14"/>
      <c r="BD8" s="804"/>
      <c r="BE8" s="805"/>
      <c r="BF8" s="777"/>
    </row>
    <row r="9" spans="1:60" ht="15.2" customHeight="1">
      <c r="B9" s="742"/>
      <c r="C9" s="782"/>
      <c r="D9" s="783"/>
      <c r="E9" s="767"/>
      <c r="F9" s="770"/>
      <c r="G9" s="763"/>
      <c r="H9" s="763"/>
      <c r="I9" s="770"/>
      <c r="J9" s="774"/>
      <c r="K9" s="787"/>
      <c r="L9" s="789"/>
      <c r="M9" s="762"/>
      <c r="N9" s="763"/>
      <c r="O9" s="767"/>
      <c r="P9" s="770"/>
      <c r="Q9" s="763"/>
      <c r="R9" s="763"/>
      <c r="S9" s="770"/>
      <c r="T9" s="774"/>
      <c r="U9" s="787"/>
      <c r="V9" s="789"/>
      <c r="W9" s="815"/>
      <c r="X9" s="810"/>
      <c r="Y9" s="767"/>
      <c r="Z9" s="770"/>
      <c r="AA9" s="811"/>
      <c r="AB9" s="810"/>
      <c r="AC9" s="770"/>
      <c r="AD9" s="774"/>
      <c r="AE9" s="807"/>
      <c r="AF9" s="789"/>
      <c r="AG9" s="811"/>
      <c r="AH9" s="810"/>
      <c r="AI9" s="767"/>
      <c r="AJ9" s="826"/>
      <c r="AK9" s="811"/>
      <c r="AL9" s="810"/>
      <c r="AM9" s="770"/>
      <c r="AN9" s="828"/>
      <c r="AO9" s="830"/>
      <c r="AP9" s="796"/>
      <c r="AQ9" s="797"/>
      <c r="AR9" s="797"/>
      <c r="AS9" s="798"/>
      <c r="AT9" s="803"/>
      <c r="AV9" s="806"/>
      <c r="AW9" s="806"/>
      <c r="AX9" s="806"/>
      <c r="AY9" s="832"/>
      <c r="AZ9" s="806"/>
      <c r="BA9" s="806"/>
      <c r="BB9" s="806"/>
      <c r="BC9" s="14"/>
      <c r="BD9" s="804"/>
      <c r="BE9" s="805"/>
      <c r="BF9" s="777"/>
    </row>
    <row r="10" spans="1:60" ht="15.2" customHeight="1" thickBot="1">
      <c r="B10" s="743"/>
      <c r="C10" s="784"/>
      <c r="D10" s="785"/>
      <c r="E10" s="768"/>
      <c r="F10" s="771"/>
      <c r="G10" s="765"/>
      <c r="H10" s="765"/>
      <c r="I10" s="771"/>
      <c r="J10" s="775"/>
      <c r="K10" s="788"/>
      <c r="L10" s="790"/>
      <c r="M10" s="764"/>
      <c r="N10" s="765"/>
      <c r="O10" s="768"/>
      <c r="P10" s="771"/>
      <c r="Q10" s="765"/>
      <c r="R10" s="765"/>
      <c r="S10" s="771"/>
      <c r="T10" s="775"/>
      <c r="U10" s="788"/>
      <c r="V10" s="790"/>
      <c r="W10" s="816"/>
      <c r="X10" s="813"/>
      <c r="Y10" s="768"/>
      <c r="Z10" s="771"/>
      <c r="AA10" s="812"/>
      <c r="AB10" s="813"/>
      <c r="AC10" s="771"/>
      <c r="AD10" s="775"/>
      <c r="AE10" s="808"/>
      <c r="AF10" s="790"/>
      <c r="AG10" s="812"/>
      <c r="AH10" s="813"/>
      <c r="AI10" s="768"/>
      <c r="AJ10" s="827"/>
      <c r="AK10" s="812"/>
      <c r="AL10" s="813"/>
      <c r="AM10" s="771"/>
      <c r="AN10" s="829"/>
      <c r="AO10" s="831"/>
      <c r="AP10" s="799"/>
      <c r="AQ10" s="800"/>
      <c r="AR10" s="800"/>
      <c r="AS10" s="801"/>
      <c r="AT10" s="15">
        <v>4</v>
      </c>
      <c r="AV10" s="806"/>
      <c r="AW10" s="806"/>
      <c r="AX10" s="806"/>
      <c r="AY10" s="832"/>
      <c r="AZ10" s="806"/>
      <c r="BA10" s="806"/>
      <c r="BB10" s="806"/>
      <c r="BC10" s="14"/>
      <c r="BD10" s="804"/>
      <c r="BE10" s="805"/>
      <c r="BF10" s="778"/>
    </row>
    <row r="11" spans="1:60" ht="14.1" customHeight="1">
      <c r="A11" s="1">
        <v>1</v>
      </c>
      <c r="B11" s="16" t="str">
        <f t="shared" ref="B11:B24" si="0">+B73</f>
        <v>Eduardo Segura D.</v>
      </c>
      <c r="C11" s="17">
        <v>7</v>
      </c>
      <c r="D11" s="18">
        <v>16</v>
      </c>
      <c r="E11" s="19">
        <v>1</v>
      </c>
      <c r="F11" s="20">
        <f t="shared" ref="F11:F21" si="1">+D11-C11-E11</f>
        <v>8</v>
      </c>
      <c r="G11" s="21"/>
      <c r="H11" s="22"/>
      <c r="I11" s="20">
        <f t="shared" ref="I11:I21" si="2">+H11-G11</f>
        <v>0</v>
      </c>
      <c r="J11" s="23"/>
      <c r="K11" s="24">
        <f t="shared" ref="K11:K21" si="3">+I11+F11-L11</f>
        <v>8</v>
      </c>
      <c r="L11" s="25">
        <f t="shared" ref="L11:L25" si="4">IF(C11&gt;0,(F11+I11)+IF(K$5&gt;0,F11,-8),0)+IF(U$5&gt;0,I11,0)</f>
        <v>0</v>
      </c>
      <c r="M11" s="26">
        <v>7</v>
      </c>
      <c r="N11" s="21">
        <v>16</v>
      </c>
      <c r="O11" s="23">
        <v>1</v>
      </c>
      <c r="P11" s="20">
        <f t="shared" ref="P11:P21" si="5">+N11-M11-O11</f>
        <v>8</v>
      </c>
      <c r="Q11" s="22"/>
      <c r="R11" s="22"/>
      <c r="S11" s="20">
        <f t="shared" ref="S11:S21" si="6">+R11-Q11</f>
        <v>0</v>
      </c>
      <c r="T11" s="23"/>
      <c r="U11" s="24">
        <f t="shared" ref="U11:U21" si="7">+S11+P11-V11</f>
        <v>8</v>
      </c>
      <c r="V11" s="25">
        <f t="shared" ref="V11:V21" si="8">IF(M11&gt;0,(P11+S11)+IF(U$5&gt;0,P11,-8),0)+IF(AE$5&gt;0,S11,0)</f>
        <v>0</v>
      </c>
      <c r="W11" s="26">
        <v>8</v>
      </c>
      <c r="X11" s="22">
        <v>16</v>
      </c>
      <c r="Y11" s="27">
        <v>1</v>
      </c>
      <c r="Z11" s="20">
        <f t="shared" ref="Z11:Z21" si="9">+X11-W11-Y11</f>
        <v>7</v>
      </c>
      <c r="AA11" s="22"/>
      <c r="AB11" s="28">
        <v>0.5</v>
      </c>
      <c r="AC11" s="20">
        <f t="shared" ref="AC11:AC21" si="10">+AB11-AA11</f>
        <v>0.5</v>
      </c>
      <c r="AD11" s="23"/>
      <c r="AE11" s="24">
        <f t="shared" ref="AE11:AE25" si="11">+AC11+Z11-IF(AE$5&gt;0,AF11/2,AF11)</f>
        <v>8.5</v>
      </c>
      <c r="AF11" s="25">
        <f>IF(W11&gt;0,IF(AE$5&gt;0,(Z11+AC11)*2,(Z11+AC11-8)),0)*IF(Z11&lt;9,IF(AE$5&gt;0,1,2),1)+IF(Z11&gt;8,AC11,0)</f>
        <v>-1</v>
      </c>
      <c r="AG11" s="22"/>
      <c r="AH11" s="22"/>
      <c r="AI11" s="27"/>
      <c r="AJ11" s="29">
        <f t="shared" ref="AJ11:AJ25" si="12">+AH11-AG11-AI11</f>
        <v>0</v>
      </c>
      <c r="AK11" s="21"/>
      <c r="AL11" s="21"/>
      <c r="AM11" s="20">
        <f t="shared" ref="AM11:AM21" si="13">+AL11-AK11</f>
        <v>0</v>
      </c>
      <c r="AN11" s="30"/>
      <c r="AO11" s="31">
        <f t="shared" ref="AO11:AO21" si="14">(AJ11*2+AM11)</f>
        <v>0</v>
      </c>
      <c r="AP11" s="817">
        <f t="shared" ref="AP11:AP18" si="15">+L11+V11+AF11+AO11+L33+V33+AF33-AN11</f>
        <v>-1</v>
      </c>
      <c r="AQ11" s="818"/>
      <c r="AR11" s="819">
        <f t="shared" ref="AR11:AR21" si="16">ROUND(BD11*AP11,1)</f>
        <v>-4.5</v>
      </c>
      <c r="AS11" s="820"/>
      <c r="AT11" s="32">
        <f>IF(AT33&gt;0,AT33*$AT$10,0)</f>
        <v>24</v>
      </c>
      <c r="AV11" s="33">
        <f t="shared" ref="AV11:AV21" si="17">+L11</f>
        <v>0</v>
      </c>
      <c r="AW11" s="33">
        <f t="shared" ref="AW11:AW21" si="18">+V11</f>
        <v>0</v>
      </c>
      <c r="AX11" s="33">
        <f t="shared" ref="AX11:AX21" si="19">+AF11</f>
        <v>-1</v>
      </c>
      <c r="AY11" s="34">
        <f t="shared" ref="AY11:AY21" si="20">+AO11</f>
        <v>0</v>
      </c>
      <c r="AZ11" s="33">
        <f>+L33</f>
        <v>0</v>
      </c>
      <c r="BA11" s="33">
        <f>+V33</f>
        <v>0</v>
      </c>
      <c r="BB11" s="33">
        <f>+AF33</f>
        <v>0</v>
      </c>
      <c r="BC11" s="35"/>
      <c r="BD11" s="36">
        <f t="shared" ref="BD11:BD24" si="21">+I73</f>
        <v>4.5464285714285708</v>
      </c>
      <c r="BE11" s="37">
        <f t="shared" ref="BE11:BE21" si="22">+BD11*AP11</f>
        <v>-4.5464285714285708</v>
      </c>
      <c r="BF11" s="38">
        <f t="shared" ref="BF11:BF21" si="23">+BD11*AY11</f>
        <v>0</v>
      </c>
    </row>
    <row r="12" spans="1:60" ht="14.1" customHeight="1">
      <c r="A12" s="1">
        <v>2</v>
      </c>
      <c r="B12" s="63" t="str">
        <f t="shared" si="0"/>
        <v>Cesar Mendez M.</v>
      </c>
      <c r="C12" s="17">
        <v>7</v>
      </c>
      <c r="D12" s="18">
        <v>16</v>
      </c>
      <c r="E12" s="19">
        <v>1</v>
      </c>
      <c r="F12" s="40">
        <f t="shared" si="1"/>
        <v>8</v>
      </c>
      <c r="G12" s="18"/>
      <c r="H12" s="18"/>
      <c r="I12" s="40">
        <f t="shared" si="2"/>
        <v>0</v>
      </c>
      <c r="J12" s="19"/>
      <c r="K12" s="41">
        <f t="shared" si="3"/>
        <v>8</v>
      </c>
      <c r="L12" s="25">
        <f t="shared" si="4"/>
        <v>0</v>
      </c>
      <c r="M12" s="600">
        <v>7</v>
      </c>
      <c r="N12" s="18">
        <v>18</v>
      </c>
      <c r="O12" s="19">
        <v>1</v>
      </c>
      <c r="P12" s="40">
        <f t="shared" si="5"/>
        <v>10</v>
      </c>
      <c r="Q12" s="43"/>
      <c r="R12" s="43"/>
      <c r="S12" s="40">
        <f t="shared" si="6"/>
        <v>0</v>
      </c>
      <c r="T12" s="19"/>
      <c r="U12" s="41">
        <f t="shared" si="7"/>
        <v>8</v>
      </c>
      <c r="V12" s="25">
        <f t="shared" si="8"/>
        <v>2</v>
      </c>
      <c r="W12" s="18">
        <v>8</v>
      </c>
      <c r="X12" s="18">
        <v>16</v>
      </c>
      <c r="Y12" s="19">
        <v>1</v>
      </c>
      <c r="Z12" s="40">
        <f t="shared" si="9"/>
        <v>7</v>
      </c>
      <c r="AA12" s="44"/>
      <c r="AB12" s="28">
        <v>0.5</v>
      </c>
      <c r="AC12" s="40">
        <f t="shared" si="10"/>
        <v>0.5</v>
      </c>
      <c r="AD12" s="19"/>
      <c r="AE12" s="41">
        <f t="shared" si="11"/>
        <v>8.5</v>
      </c>
      <c r="AF12" s="25">
        <f>IF(W12&gt;0,IF(AE$5&gt;0,(Z12+AC12)*2,(Z12+AC12-8)),0)*IF(Z12&lt;9,IF(AE$5&gt;0,1,2),1)+IF(Z12&gt;8,AC12,0)</f>
        <v>-1</v>
      </c>
      <c r="AG12" s="45"/>
      <c r="AH12" s="18"/>
      <c r="AI12" s="19"/>
      <c r="AJ12" s="46">
        <f>+AH12-AG12-AI12</f>
        <v>0</v>
      </c>
      <c r="AK12" s="18"/>
      <c r="AL12" s="18"/>
      <c r="AM12" s="40">
        <f t="shared" si="13"/>
        <v>0</v>
      </c>
      <c r="AN12" s="47"/>
      <c r="AO12" s="48">
        <f t="shared" si="14"/>
        <v>0</v>
      </c>
      <c r="AP12" s="821">
        <f t="shared" si="15"/>
        <v>25</v>
      </c>
      <c r="AQ12" s="822"/>
      <c r="AR12" s="823">
        <f t="shared" si="16"/>
        <v>128.30000000000001</v>
      </c>
      <c r="AS12" s="824"/>
      <c r="AT12" s="49">
        <f>IF(AT34&gt;0,AT34*$AT$10,0)</f>
        <v>24</v>
      </c>
      <c r="AV12" s="33">
        <f t="shared" si="17"/>
        <v>0</v>
      </c>
      <c r="AW12" s="33">
        <f t="shared" si="18"/>
        <v>2</v>
      </c>
      <c r="AX12" s="33">
        <f t="shared" si="19"/>
        <v>-1</v>
      </c>
      <c r="AY12" s="34">
        <f t="shared" si="20"/>
        <v>0</v>
      </c>
      <c r="AZ12" s="33">
        <f>+L34</f>
        <v>15</v>
      </c>
      <c r="BA12" s="33">
        <f>+V34</f>
        <v>3</v>
      </c>
      <c r="BB12" s="33">
        <f>+AF34</f>
        <v>6</v>
      </c>
      <c r="BC12" s="35"/>
      <c r="BD12" s="36">
        <f t="shared" si="21"/>
        <v>5.1339285714285712</v>
      </c>
      <c r="BE12" s="37">
        <f t="shared" si="22"/>
        <v>128.34821428571428</v>
      </c>
      <c r="BF12" s="38">
        <f t="shared" si="23"/>
        <v>0</v>
      </c>
    </row>
    <row r="13" spans="1:60" ht="14.1" customHeight="1">
      <c r="A13" s="1">
        <v>4</v>
      </c>
      <c r="B13" s="559" t="str">
        <f t="shared" si="0"/>
        <v>Juan Manrique V.</v>
      </c>
      <c r="C13" s="17">
        <v>7</v>
      </c>
      <c r="D13" s="18">
        <v>16</v>
      </c>
      <c r="E13" s="19">
        <v>1</v>
      </c>
      <c r="F13" s="40">
        <f t="shared" si="1"/>
        <v>8</v>
      </c>
      <c r="G13" s="18"/>
      <c r="H13" s="43"/>
      <c r="I13" s="40">
        <f t="shared" si="2"/>
        <v>0</v>
      </c>
      <c r="J13" s="19"/>
      <c r="K13" s="41">
        <f t="shared" si="3"/>
        <v>8</v>
      </c>
      <c r="L13" s="25">
        <f t="shared" si="4"/>
        <v>0</v>
      </c>
      <c r="M13" s="600">
        <v>8</v>
      </c>
      <c r="N13" s="18">
        <v>16</v>
      </c>
      <c r="O13" s="19">
        <v>1</v>
      </c>
      <c r="P13" s="40">
        <f t="shared" si="5"/>
        <v>7</v>
      </c>
      <c r="Q13" s="43"/>
      <c r="R13" s="43"/>
      <c r="S13" s="40">
        <f t="shared" si="6"/>
        <v>0</v>
      </c>
      <c r="T13" s="19"/>
      <c r="U13" s="41">
        <f t="shared" si="7"/>
        <v>8</v>
      </c>
      <c r="V13" s="25">
        <f t="shared" si="8"/>
        <v>-1</v>
      </c>
      <c r="W13" s="18"/>
      <c r="X13" s="18"/>
      <c r="Y13" s="19"/>
      <c r="Z13" s="40">
        <f t="shared" si="9"/>
        <v>0</v>
      </c>
      <c r="AA13" s="43"/>
      <c r="AB13" s="28"/>
      <c r="AC13" s="40">
        <f t="shared" si="10"/>
        <v>0</v>
      </c>
      <c r="AD13" s="19"/>
      <c r="AE13" s="41">
        <f t="shared" si="11"/>
        <v>0</v>
      </c>
      <c r="AF13" s="25">
        <f>IF(W13&gt;0,IF(AE$5&gt;0,(Z13+AC13)*2,(Z13+AC13-8)),0)*IF(Z13&lt;9,IF(AE$5&gt;0,1,2),1)+IF(Z13&gt;8,AC13,0)</f>
        <v>0</v>
      </c>
      <c r="AG13" s="45"/>
      <c r="AH13" s="18"/>
      <c r="AI13" s="19"/>
      <c r="AJ13" s="46">
        <f t="shared" si="12"/>
        <v>0</v>
      </c>
      <c r="AK13" s="18"/>
      <c r="AL13" s="18"/>
      <c r="AM13" s="40">
        <f t="shared" si="13"/>
        <v>0</v>
      </c>
      <c r="AN13" s="47"/>
      <c r="AO13" s="48">
        <f t="shared" si="14"/>
        <v>0</v>
      </c>
      <c r="AP13" s="845">
        <f t="shared" si="15"/>
        <v>2</v>
      </c>
      <c r="AQ13" s="846"/>
      <c r="AR13" s="823">
        <f t="shared" si="16"/>
        <v>10.3</v>
      </c>
      <c r="AS13" s="824"/>
      <c r="AT13" s="49">
        <f>IF(AT35&gt;0,AT35*$AT$10,0)</f>
        <v>20</v>
      </c>
      <c r="AV13" s="33">
        <f t="shared" si="17"/>
        <v>0</v>
      </c>
      <c r="AW13" s="33">
        <f t="shared" si="18"/>
        <v>-1</v>
      </c>
      <c r="AX13" s="33">
        <f t="shared" si="19"/>
        <v>0</v>
      </c>
      <c r="AY13" s="34">
        <f t="shared" si="20"/>
        <v>0</v>
      </c>
      <c r="AZ13" s="33">
        <f>+L35</f>
        <v>2</v>
      </c>
      <c r="BA13" s="33">
        <f>+V35</f>
        <v>1</v>
      </c>
      <c r="BB13" s="33">
        <f>+AF35</f>
        <v>0</v>
      </c>
      <c r="BC13" s="35"/>
      <c r="BD13" s="36">
        <f t="shared" si="21"/>
        <v>5.1339285714285712</v>
      </c>
      <c r="BE13" s="60">
        <f t="shared" si="22"/>
        <v>10.267857142857142</v>
      </c>
      <c r="BF13" s="61">
        <f t="shared" si="23"/>
        <v>0</v>
      </c>
    </row>
    <row r="14" spans="1:60" s="69" customFormat="1" ht="14.1" customHeight="1">
      <c r="A14" s="62">
        <v>5</v>
      </c>
      <c r="B14" s="63" t="str">
        <f t="shared" si="0"/>
        <v xml:space="preserve"> Irving Huaringa B.</v>
      </c>
      <c r="C14" s="17">
        <v>7</v>
      </c>
      <c r="D14" s="18">
        <v>16</v>
      </c>
      <c r="E14" s="19">
        <v>1</v>
      </c>
      <c r="F14" s="40">
        <f t="shared" si="1"/>
        <v>8</v>
      </c>
      <c r="G14" s="18"/>
      <c r="H14" s="43"/>
      <c r="I14" s="40">
        <f t="shared" si="2"/>
        <v>0</v>
      </c>
      <c r="J14" s="19"/>
      <c r="K14" s="41">
        <f t="shared" si="3"/>
        <v>8</v>
      </c>
      <c r="L14" s="25">
        <f t="shared" si="4"/>
        <v>0</v>
      </c>
      <c r="M14" s="18">
        <v>7</v>
      </c>
      <c r="N14" s="18">
        <v>16</v>
      </c>
      <c r="O14" s="19">
        <v>1</v>
      </c>
      <c r="P14" s="40">
        <f t="shared" si="5"/>
        <v>8</v>
      </c>
      <c r="Q14" s="43"/>
      <c r="R14" s="43"/>
      <c r="S14" s="40">
        <f t="shared" si="6"/>
        <v>0</v>
      </c>
      <c r="T14" s="19"/>
      <c r="U14" s="41">
        <f t="shared" si="7"/>
        <v>8</v>
      </c>
      <c r="V14" s="25">
        <f t="shared" si="8"/>
        <v>0</v>
      </c>
      <c r="W14" s="18">
        <v>8</v>
      </c>
      <c r="X14" s="43">
        <v>16</v>
      </c>
      <c r="Y14" s="54">
        <v>1</v>
      </c>
      <c r="Z14" s="53">
        <f t="shared" si="9"/>
        <v>7</v>
      </c>
      <c r="AA14" s="64"/>
      <c r="AB14" s="28"/>
      <c r="AC14" s="40">
        <f t="shared" si="10"/>
        <v>0</v>
      </c>
      <c r="AD14" s="19"/>
      <c r="AE14" s="41">
        <f t="shared" si="11"/>
        <v>5</v>
      </c>
      <c r="AF14" s="25">
        <f>IF(W14&gt;0,IF(AE$5&gt;0,(Z14+AC14)*2,(Z14+AC14-5)),0)*IF(Z14&lt;6,IF(AE$5&gt;0,1,2),1)+IF(Z14&gt;5,AC14,0)</f>
        <v>2</v>
      </c>
      <c r="AG14" s="45"/>
      <c r="AH14" s="18"/>
      <c r="AI14" s="19"/>
      <c r="AJ14" s="46">
        <f>+AH14-AG14-AI14</f>
        <v>0</v>
      </c>
      <c r="AK14" s="18"/>
      <c r="AL14" s="18"/>
      <c r="AM14" s="40">
        <f>+AL14-AK14</f>
        <v>0</v>
      </c>
      <c r="AN14" s="65"/>
      <c r="AO14" s="48">
        <f>(AJ14*2+AM14)</f>
        <v>0</v>
      </c>
      <c r="AP14" s="821">
        <f t="shared" si="15"/>
        <v>1</v>
      </c>
      <c r="AQ14" s="822"/>
      <c r="AR14" s="823">
        <f>ROUND(BD14*AP14,1)</f>
        <v>5.0999999999999996</v>
      </c>
      <c r="AS14" s="824"/>
      <c r="AT14" s="49">
        <f>IF(AT36&gt;0,AT36*$AT$10,0)</f>
        <v>24</v>
      </c>
      <c r="AU14" s="7"/>
      <c r="AV14" s="33">
        <f>+L14</f>
        <v>0</v>
      </c>
      <c r="AW14" s="33">
        <f>+V14</f>
        <v>0</v>
      </c>
      <c r="AX14" s="33">
        <f>+AF14</f>
        <v>2</v>
      </c>
      <c r="AY14" s="34">
        <f>+AO14</f>
        <v>0</v>
      </c>
      <c r="AZ14" s="33">
        <f>+L36</f>
        <v>0</v>
      </c>
      <c r="BA14" s="33">
        <f>+V36</f>
        <v>0</v>
      </c>
      <c r="BB14" s="33">
        <f>+AF36</f>
        <v>-1</v>
      </c>
      <c r="BC14" s="66"/>
      <c r="BD14" s="36">
        <f t="shared" si="21"/>
        <v>5.1339285714285712</v>
      </c>
      <c r="BE14" s="67">
        <f>+BD14*AP14</f>
        <v>5.1339285714285712</v>
      </c>
      <c r="BF14" s="68">
        <f>+BD14*AY14</f>
        <v>0</v>
      </c>
    </row>
    <row r="15" spans="1:60" ht="14.1" customHeight="1">
      <c r="A15" s="1">
        <v>12</v>
      </c>
      <c r="B15" s="39" t="str">
        <f t="shared" si="0"/>
        <v>Pier Alejos A.</v>
      </c>
      <c r="C15" s="56">
        <v>7</v>
      </c>
      <c r="D15" s="43">
        <v>17</v>
      </c>
      <c r="E15" s="54">
        <v>1</v>
      </c>
      <c r="F15" s="53">
        <f>+D15-C15-E15</f>
        <v>9</v>
      </c>
      <c r="G15" s="43"/>
      <c r="H15" s="117"/>
      <c r="I15" s="53">
        <f>+H15-G15</f>
        <v>0</v>
      </c>
      <c r="J15" s="54"/>
      <c r="K15" s="55">
        <f>+I15+F15-L15</f>
        <v>8</v>
      </c>
      <c r="L15" s="135">
        <f>IF(C15&gt;0,(F15+I15)+IF(K$5&gt;0,F15,-8),0)+IF(U$5&gt;0,I15,0)</f>
        <v>1</v>
      </c>
      <c r="M15" s="136">
        <v>7</v>
      </c>
      <c r="N15" s="43">
        <v>16</v>
      </c>
      <c r="O15" s="54">
        <v>1</v>
      </c>
      <c r="P15" s="53">
        <f>+N15-M15-O15</f>
        <v>8</v>
      </c>
      <c r="Q15" s="43"/>
      <c r="R15" s="43"/>
      <c r="S15" s="53">
        <f>+R15-Q15</f>
        <v>0</v>
      </c>
      <c r="T15" s="54"/>
      <c r="U15" s="55">
        <f>+S15+P15-V15</f>
        <v>8</v>
      </c>
      <c r="V15" s="135">
        <f>IF(M15&gt;0,(P15+S15)+IF(U$5&gt;0,P15,-8),0)+IF(AE$5&gt;0,S15,0)</f>
        <v>0</v>
      </c>
      <c r="W15" s="43">
        <v>7</v>
      </c>
      <c r="X15" s="43">
        <v>16</v>
      </c>
      <c r="Y15" s="54">
        <v>1</v>
      </c>
      <c r="Z15" s="53">
        <f>+X15-W15-Y15</f>
        <v>8</v>
      </c>
      <c r="AA15" s="44"/>
      <c r="AB15" s="28"/>
      <c r="AC15" s="53">
        <f>+AB15-AA15</f>
        <v>0</v>
      </c>
      <c r="AD15" s="54"/>
      <c r="AE15" s="137">
        <f>+AC15+Z15-IF(AE$5&gt;0,AF15/2,AF15)</f>
        <v>8</v>
      </c>
      <c r="AF15" s="135">
        <f>IF(W15&gt;0,IF(AE$5&gt;0,(Z15+AC15)*2,(Z15+AC15-8)),0)*IF(Z15&lt;9,IF(AE$5&gt;0,1,2),1)+IF(Z15&gt;8,AC15,0)</f>
        <v>0</v>
      </c>
      <c r="AG15" s="138"/>
      <c r="AH15" s="43"/>
      <c r="AI15" s="54"/>
      <c r="AJ15" s="139">
        <f>+AH15-AG15-AI15</f>
        <v>0</v>
      </c>
      <c r="AK15" s="43"/>
      <c r="AL15" s="43"/>
      <c r="AM15" s="53">
        <f>+AL15-AK15</f>
        <v>0</v>
      </c>
      <c r="AN15" s="57"/>
      <c r="AO15" s="140">
        <f>(AJ15*2+AM15)</f>
        <v>0</v>
      </c>
      <c r="AP15" s="821">
        <f t="shared" si="15"/>
        <v>3</v>
      </c>
      <c r="AQ15" s="822"/>
      <c r="AR15" s="823">
        <f>ROUND(BD15*AP15,1)</f>
        <v>11.6</v>
      </c>
      <c r="AS15" s="824"/>
      <c r="AT15" s="49">
        <f>IF(AT37&gt;0,AT37*$AT$10,0)</f>
        <v>20</v>
      </c>
      <c r="AV15" s="33">
        <f>+L15</f>
        <v>1</v>
      </c>
      <c r="AW15" s="33">
        <f>+V15</f>
        <v>0</v>
      </c>
      <c r="AX15" s="33">
        <f>+AF15</f>
        <v>0</v>
      </c>
      <c r="AY15" s="34">
        <f>+AO15</f>
        <v>0</v>
      </c>
      <c r="AZ15" s="33">
        <f>+L37</f>
        <v>0</v>
      </c>
      <c r="BA15" s="33">
        <f>+V37</f>
        <v>2</v>
      </c>
      <c r="BB15" s="33">
        <f>+AF37</f>
        <v>0</v>
      </c>
      <c r="BC15" s="35"/>
      <c r="BD15" s="36">
        <f t="shared" si="21"/>
        <v>3.8750035714285715</v>
      </c>
      <c r="BE15" s="37">
        <f>+BD15*AP15</f>
        <v>11.625010714285715</v>
      </c>
      <c r="BF15" s="38">
        <f>+BD15*AY15</f>
        <v>0</v>
      </c>
      <c r="BH15" s="141"/>
    </row>
    <row r="16" spans="1:60" s="84" customFormat="1" ht="14.1" customHeight="1">
      <c r="A16" s="70"/>
      <c r="B16" s="560" t="str">
        <f t="shared" si="0"/>
        <v>Eduardo Marmoles</v>
      </c>
      <c r="C16" s="72">
        <v>7</v>
      </c>
      <c r="D16" s="73">
        <v>17</v>
      </c>
      <c r="E16" s="74">
        <v>1</v>
      </c>
      <c r="F16" s="75">
        <f t="shared" si="1"/>
        <v>9</v>
      </c>
      <c r="G16" s="73"/>
      <c r="H16" s="43"/>
      <c r="I16" s="75">
        <f t="shared" si="2"/>
        <v>0</v>
      </c>
      <c r="J16" s="74"/>
      <c r="K16" s="76">
        <f t="shared" si="3"/>
        <v>8</v>
      </c>
      <c r="L16" s="77">
        <f t="shared" si="4"/>
        <v>1</v>
      </c>
      <c r="M16" s="72">
        <v>7</v>
      </c>
      <c r="N16" s="73">
        <v>17</v>
      </c>
      <c r="O16" s="74">
        <v>1</v>
      </c>
      <c r="P16" s="75">
        <f t="shared" si="5"/>
        <v>9</v>
      </c>
      <c r="Q16" s="78"/>
      <c r="R16" s="78"/>
      <c r="S16" s="75">
        <f t="shared" si="6"/>
        <v>0</v>
      </c>
      <c r="T16" s="74"/>
      <c r="U16" s="76">
        <f t="shared" si="7"/>
        <v>8</v>
      </c>
      <c r="V16" s="77">
        <f t="shared" si="8"/>
        <v>1</v>
      </c>
      <c r="W16" s="73">
        <v>7</v>
      </c>
      <c r="X16" s="73">
        <v>16</v>
      </c>
      <c r="Y16" s="74">
        <v>1</v>
      </c>
      <c r="Z16" s="79">
        <f t="shared" si="9"/>
        <v>8</v>
      </c>
      <c r="AA16" s="78"/>
      <c r="AB16" s="80"/>
      <c r="AC16" s="75">
        <f t="shared" si="10"/>
        <v>0</v>
      </c>
      <c r="AD16" s="74"/>
      <c r="AE16" s="76">
        <f t="shared" si="11"/>
        <v>8</v>
      </c>
      <c r="AF16" s="77">
        <f t="shared" ref="AF16:AF21" si="24">IF(W16&gt;0,IF(AE$5&gt;0,(Z16+AC16)*2,(Z16+AC16-8)),0)*IF(Z16&lt;9,IF(AE$5&gt;0,1,2),1)+IF(Z16&gt;8,AC16,0)</f>
        <v>0</v>
      </c>
      <c r="AG16" s="616">
        <v>7</v>
      </c>
      <c r="AH16" s="616">
        <v>16</v>
      </c>
      <c r="AI16" s="616">
        <v>1</v>
      </c>
      <c r="AJ16" s="46">
        <f t="shared" si="12"/>
        <v>8</v>
      </c>
      <c r="AK16" s="73"/>
      <c r="AL16" s="73"/>
      <c r="AM16" s="75">
        <f t="shared" si="13"/>
        <v>0</v>
      </c>
      <c r="AN16" s="81">
        <v>16</v>
      </c>
      <c r="AO16" s="82">
        <f t="shared" si="14"/>
        <v>16</v>
      </c>
      <c r="AP16" s="1186">
        <f t="shared" si="15"/>
        <v>5</v>
      </c>
      <c r="AQ16" s="1187"/>
      <c r="AR16" s="1188">
        <f t="shared" si="16"/>
        <v>19.399999999999999</v>
      </c>
      <c r="AS16" s="1189"/>
      <c r="AT16" s="83">
        <f t="shared" ref="AT16:AT18" si="25">IF(AT38&gt;0,AT38*$AT$10,0)</f>
        <v>0</v>
      </c>
      <c r="AV16" s="85">
        <f t="shared" si="17"/>
        <v>1</v>
      </c>
      <c r="AW16" s="85">
        <f t="shared" si="18"/>
        <v>1</v>
      </c>
      <c r="AX16" s="85">
        <f t="shared" si="19"/>
        <v>0</v>
      </c>
      <c r="AY16" s="86">
        <f t="shared" si="20"/>
        <v>16</v>
      </c>
      <c r="AZ16" s="85">
        <f t="shared" ref="AZ16:AZ18" si="26">+L38</f>
        <v>1</v>
      </c>
      <c r="BA16" s="85">
        <f t="shared" ref="BA16:BA18" si="27">+V38</f>
        <v>1</v>
      </c>
      <c r="BB16" s="85">
        <f t="shared" ref="BB16:BB18" si="28">+AF38</f>
        <v>1</v>
      </c>
      <c r="BC16" s="87"/>
      <c r="BD16" s="88">
        <f t="shared" si="21"/>
        <v>3.875</v>
      </c>
      <c r="BE16" s="89">
        <f t="shared" si="22"/>
        <v>19.375</v>
      </c>
      <c r="BF16" s="90">
        <f t="shared" si="23"/>
        <v>62</v>
      </c>
    </row>
    <row r="17" spans="1:60" s="69" customFormat="1" ht="14.1" customHeight="1">
      <c r="A17" s="62">
        <v>6</v>
      </c>
      <c r="B17" s="91" t="str">
        <f t="shared" si="0"/>
        <v>Jose Cortez P.</v>
      </c>
      <c r="C17" s="92">
        <v>7</v>
      </c>
      <c r="D17" s="92">
        <v>17</v>
      </c>
      <c r="E17" s="92">
        <v>1</v>
      </c>
      <c r="F17" s="93">
        <f>+D17-C17-E17</f>
        <v>9</v>
      </c>
      <c r="G17" s="43"/>
      <c r="H17" s="43"/>
      <c r="I17" s="93">
        <f>+H17-G17</f>
        <v>0</v>
      </c>
      <c r="J17" s="92"/>
      <c r="K17" s="41">
        <f>+I17+F17-L17</f>
        <v>8</v>
      </c>
      <c r="L17" s="94">
        <f>IF(C17&gt;0,(F17+I17)+IF(K$5&gt;0,F17,-8),0)+IF(U$5&gt;0,I17,0)</f>
        <v>1</v>
      </c>
      <c r="M17" s="599">
        <v>7</v>
      </c>
      <c r="N17" s="92">
        <v>18</v>
      </c>
      <c r="O17" s="92">
        <v>1</v>
      </c>
      <c r="P17" s="93">
        <f>+N17-M17-O17</f>
        <v>10</v>
      </c>
      <c r="Q17" s="43"/>
      <c r="R17" s="43"/>
      <c r="S17" s="93">
        <f>+R17-Q17</f>
        <v>0</v>
      </c>
      <c r="T17" s="19"/>
      <c r="U17" s="41">
        <f>+S17+P17-V17</f>
        <v>8</v>
      </c>
      <c r="V17" s="94">
        <f>IF(M17&gt;0,(P17+S17)+IF(U$5&gt;0,P17,-8),0)+IF(AE$5&gt;0,S17,0)</f>
        <v>2</v>
      </c>
      <c r="W17" s="92">
        <v>7</v>
      </c>
      <c r="X17" s="92">
        <v>16</v>
      </c>
      <c r="Y17" s="92">
        <v>1</v>
      </c>
      <c r="Z17" s="93">
        <f>+X17-W17-Y17</f>
        <v>8</v>
      </c>
      <c r="AA17" s="92"/>
      <c r="AB17" s="80"/>
      <c r="AC17" s="93">
        <f>+AB17-AA17</f>
        <v>0</v>
      </c>
      <c r="AD17" s="92"/>
      <c r="AE17" s="41">
        <f t="shared" si="11"/>
        <v>8</v>
      </c>
      <c r="AF17" s="94">
        <f t="shared" si="24"/>
        <v>0</v>
      </c>
      <c r="AG17" s="92"/>
      <c r="AH17" s="92"/>
      <c r="AI17" s="92"/>
      <c r="AJ17" s="46">
        <f>+AH17-AG17-AI17</f>
        <v>0</v>
      </c>
      <c r="AK17" s="92"/>
      <c r="AL17" s="92"/>
      <c r="AM17" s="93">
        <f>+AL17-AK17</f>
        <v>0</v>
      </c>
      <c r="AN17" s="96"/>
      <c r="AO17" s="97">
        <f>(AJ17*2+AM17)</f>
        <v>0</v>
      </c>
      <c r="AP17" s="833">
        <f t="shared" si="15"/>
        <v>7</v>
      </c>
      <c r="AQ17" s="834"/>
      <c r="AR17" s="835">
        <f>ROUND(BD17*AP17,1)</f>
        <v>27.1</v>
      </c>
      <c r="AS17" s="836"/>
      <c r="AT17" s="99">
        <f t="shared" si="25"/>
        <v>24</v>
      </c>
      <c r="AV17" s="100">
        <f>+L17</f>
        <v>1</v>
      </c>
      <c r="AW17" s="100">
        <f>+V17</f>
        <v>2</v>
      </c>
      <c r="AX17" s="100">
        <f>+AF17</f>
        <v>0</v>
      </c>
      <c r="AY17" s="101">
        <f>+AO17</f>
        <v>0</v>
      </c>
      <c r="AZ17" s="100">
        <f t="shared" si="26"/>
        <v>2</v>
      </c>
      <c r="BA17" s="100">
        <f t="shared" si="27"/>
        <v>2</v>
      </c>
      <c r="BB17" s="100">
        <f t="shared" si="28"/>
        <v>0</v>
      </c>
      <c r="BC17" s="35"/>
      <c r="BD17" s="36">
        <f t="shared" si="21"/>
        <v>3.8750035714285715</v>
      </c>
      <c r="BE17" s="67">
        <f>+BD17*AP17</f>
        <v>27.125025000000001</v>
      </c>
      <c r="BF17" s="68">
        <f>+BD17*AY17</f>
        <v>0</v>
      </c>
    </row>
    <row r="18" spans="1:60" s="69" customFormat="1" ht="14.1" customHeight="1">
      <c r="A18" s="62">
        <v>7</v>
      </c>
      <c r="B18" s="91" t="str">
        <f t="shared" si="0"/>
        <v>Rafael Armas R.</v>
      </c>
      <c r="C18" s="102">
        <v>7</v>
      </c>
      <c r="D18" s="102">
        <v>17</v>
      </c>
      <c r="E18" s="102">
        <v>1</v>
      </c>
      <c r="F18" s="93">
        <f>+D18-C18-E18</f>
        <v>9</v>
      </c>
      <c r="G18" s="43"/>
      <c r="H18" s="43"/>
      <c r="I18" s="93">
        <f>+H18-G18</f>
        <v>0</v>
      </c>
      <c r="J18" s="92"/>
      <c r="K18" s="41">
        <f>+I18+F18-L18</f>
        <v>8</v>
      </c>
      <c r="L18" s="94">
        <f>IF(C18&gt;0,(F18+I18)+IF(K$5&gt;0,F18,-8),0)+IF(U$5&gt;0,I18,0)</f>
        <v>1</v>
      </c>
      <c r="M18" s="599">
        <v>7</v>
      </c>
      <c r="N18" s="92">
        <v>18</v>
      </c>
      <c r="O18" s="92">
        <v>1</v>
      </c>
      <c r="P18" s="93">
        <f>+N18-M18-O18</f>
        <v>10</v>
      </c>
      <c r="Q18" s="43"/>
      <c r="R18" s="43"/>
      <c r="S18" s="93">
        <f>+R18-Q18</f>
        <v>0</v>
      </c>
      <c r="T18" s="92"/>
      <c r="U18" s="41">
        <f>+S18+P18-V18</f>
        <v>8</v>
      </c>
      <c r="V18" s="94">
        <f>IF(M18&gt;0,(P18+S18)+IF(U$5&gt;0,P18,-8),0)+IF(AE$5&gt;0,S18,0)</f>
        <v>2</v>
      </c>
      <c r="W18" s="92">
        <v>7</v>
      </c>
      <c r="X18" s="92">
        <v>16</v>
      </c>
      <c r="Y18" s="92">
        <v>1</v>
      </c>
      <c r="Z18" s="93">
        <f>+X18-W18-Y18</f>
        <v>8</v>
      </c>
      <c r="AA18" s="92"/>
      <c r="AB18" s="28"/>
      <c r="AC18" s="93">
        <f>+AB18-AA18</f>
        <v>0</v>
      </c>
      <c r="AD18" s="92"/>
      <c r="AE18" s="41">
        <f t="shared" si="11"/>
        <v>8</v>
      </c>
      <c r="AF18" s="94">
        <f t="shared" si="24"/>
        <v>0</v>
      </c>
      <c r="AG18" s="92">
        <v>7</v>
      </c>
      <c r="AH18" s="92">
        <v>16</v>
      </c>
      <c r="AI18" s="92">
        <v>1</v>
      </c>
      <c r="AJ18" s="46">
        <f>+AH18-AG18-AI18</f>
        <v>8</v>
      </c>
      <c r="AK18" s="92"/>
      <c r="AL18" s="92"/>
      <c r="AM18" s="93">
        <f>+AL18-AK18</f>
        <v>0</v>
      </c>
      <c r="AN18" s="96"/>
      <c r="AO18" s="97">
        <f>(AJ18*2+AM18)</f>
        <v>16</v>
      </c>
      <c r="AP18" s="837">
        <f t="shared" si="15"/>
        <v>44</v>
      </c>
      <c r="AQ18" s="838"/>
      <c r="AR18" s="839">
        <f>ROUND(BD18*AP18,1)</f>
        <v>170.5</v>
      </c>
      <c r="AS18" s="840"/>
      <c r="AT18" s="103">
        <f t="shared" si="25"/>
        <v>28</v>
      </c>
      <c r="AV18" s="100">
        <f>+L18</f>
        <v>1</v>
      </c>
      <c r="AW18" s="100">
        <f>+V18</f>
        <v>2</v>
      </c>
      <c r="AX18" s="100">
        <f>+AF18</f>
        <v>0</v>
      </c>
      <c r="AY18" s="101">
        <f>+AO18</f>
        <v>16</v>
      </c>
      <c r="AZ18" s="100">
        <f t="shared" si="26"/>
        <v>15</v>
      </c>
      <c r="BA18" s="100">
        <f t="shared" si="27"/>
        <v>4</v>
      </c>
      <c r="BB18" s="100">
        <f t="shared" si="28"/>
        <v>6</v>
      </c>
      <c r="BC18" s="66"/>
      <c r="BD18" s="36">
        <f t="shared" si="21"/>
        <v>3.8750035714285715</v>
      </c>
      <c r="BE18" s="67">
        <f>+BD18*AP18</f>
        <v>170.50015714285715</v>
      </c>
      <c r="BF18" s="68">
        <f>+BD18*AY18</f>
        <v>62.000057142857145</v>
      </c>
    </row>
    <row r="19" spans="1:60" s="116" customFormat="1" ht="14.1" customHeight="1">
      <c r="A19" s="62">
        <v>8</v>
      </c>
      <c r="B19" s="91" t="str">
        <f t="shared" si="0"/>
        <v>Jose Ochoa I.</v>
      </c>
      <c r="C19" s="102">
        <v>7</v>
      </c>
      <c r="D19" s="102">
        <v>17</v>
      </c>
      <c r="E19" s="102">
        <v>1</v>
      </c>
      <c r="F19" s="104">
        <f>+D19-C19-E19</f>
        <v>9</v>
      </c>
      <c r="G19" s="51"/>
      <c r="H19" s="43"/>
      <c r="I19" s="104">
        <f>+H19-G19</f>
        <v>0</v>
      </c>
      <c r="J19" s="105"/>
      <c r="K19" s="106">
        <f>+I19+F19-L19</f>
        <v>8</v>
      </c>
      <c r="L19" s="107">
        <f>IF(C19&gt;0,(F19+I19)+IF(K$5&gt;0,F19,-8),0)+IF(U$5&gt;0,I19,0)</f>
        <v>1</v>
      </c>
      <c r="M19" s="108">
        <v>7</v>
      </c>
      <c r="N19" s="105">
        <v>17</v>
      </c>
      <c r="O19" s="105">
        <v>1</v>
      </c>
      <c r="P19" s="104">
        <f>+N19-M19-O19</f>
        <v>9</v>
      </c>
      <c r="Q19" s="43"/>
      <c r="R19" s="43"/>
      <c r="S19" s="104">
        <f>+R19-Q19</f>
        <v>0</v>
      </c>
      <c r="T19" s="105"/>
      <c r="U19" s="106">
        <f>+S19+P19-V19</f>
        <v>8</v>
      </c>
      <c r="V19" s="107">
        <f>IF(M19&gt;0,(P19+S19)+IF(U$5&gt;0,P19,-8),0)+IF(AE$5&gt;0,S19,0)</f>
        <v>1</v>
      </c>
      <c r="W19" s="105">
        <v>7</v>
      </c>
      <c r="X19" s="105">
        <v>12</v>
      </c>
      <c r="Y19" s="105">
        <v>1</v>
      </c>
      <c r="Z19" s="104">
        <f>+X19-W19-Y19</f>
        <v>4</v>
      </c>
      <c r="AA19" s="105"/>
      <c r="AB19" s="109">
        <v>4</v>
      </c>
      <c r="AC19" s="104">
        <f>+AB19-AA19</f>
        <v>4</v>
      </c>
      <c r="AD19" s="105"/>
      <c r="AE19" s="106">
        <f t="shared" si="11"/>
        <v>8</v>
      </c>
      <c r="AF19" s="107">
        <f t="shared" si="24"/>
        <v>0</v>
      </c>
      <c r="AG19" s="105">
        <v>7</v>
      </c>
      <c r="AH19" s="105">
        <v>16</v>
      </c>
      <c r="AI19" s="105">
        <v>1</v>
      </c>
      <c r="AJ19" s="110">
        <f>+AH19-AG19-AI19</f>
        <v>8</v>
      </c>
      <c r="AK19" s="105"/>
      <c r="AL19" s="105"/>
      <c r="AM19" s="104">
        <f>+AL19-AK19</f>
        <v>0</v>
      </c>
      <c r="AN19" s="111"/>
      <c r="AO19" s="112">
        <f>(AJ19*2+AM19)</f>
        <v>16</v>
      </c>
      <c r="AP19" s="841">
        <f>+L19+V19+AF19+AO19+L41+V41+AF40-AN19</f>
        <v>26</v>
      </c>
      <c r="AQ19" s="842"/>
      <c r="AR19" s="843">
        <f>ROUND(BD19*AP19,1)</f>
        <v>100.8</v>
      </c>
      <c r="AS19" s="844"/>
      <c r="AT19" s="113">
        <f>IF(AT41&gt;0,AT41*$AT$10,0)</f>
        <v>28</v>
      </c>
      <c r="AU19" s="69"/>
      <c r="AV19" s="114">
        <f>+L19</f>
        <v>1</v>
      </c>
      <c r="AW19" s="114">
        <f>+V19</f>
        <v>1</v>
      </c>
      <c r="AX19" s="114">
        <f>+AF19</f>
        <v>0</v>
      </c>
      <c r="AY19" s="114">
        <f>+AO19</f>
        <v>16</v>
      </c>
      <c r="AZ19" s="114">
        <f>+L42</f>
        <v>0</v>
      </c>
      <c r="BA19" s="114">
        <f>+V42</f>
        <v>0</v>
      </c>
      <c r="BB19" s="114">
        <f>+AF42</f>
        <v>0</v>
      </c>
      <c r="BC19" s="35"/>
      <c r="BD19" s="115">
        <f t="shared" si="21"/>
        <v>3.8750035714285715</v>
      </c>
      <c r="BE19" s="115">
        <f>+BD19*AP19</f>
        <v>100.75009285714286</v>
      </c>
      <c r="BF19" s="115">
        <f>+BD19*AY19</f>
        <v>62.000057142857145</v>
      </c>
    </row>
    <row r="20" spans="1:60" s="116" customFormat="1" ht="14.1" customHeight="1">
      <c r="A20" s="62">
        <v>9</v>
      </c>
      <c r="B20" s="91" t="str">
        <f t="shared" si="0"/>
        <v>Jairo Mirabal</v>
      </c>
      <c r="C20" s="102">
        <v>7</v>
      </c>
      <c r="D20" s="102">
        <v>16</v>
      </c>
      <c r="E20" s="102">
        <v>1</v>
      </c>
      <c r="F20" s="104">
        <f>+D20-C20-E20</f>
        <v>8</v>
      </c>
      <c r="G20" s="51"/>
      <c r="H20" s="43"/>
      <c r="I20" s="104">
        <f>+H20-G20</f>
        <v>0</v>
      </c>
      <c r="J20" s="105"/>
      <c r="K20" s="106">
        <f>+I20+F20-L20</f>
        <v>8</v>
      </c>
      <c r="L20" s="107">
        <f>IF(C20&gt;0,(F20+I20)+IF(K$5&gt;0,F20,-8),0)+IF(U$5&gt;0,I20,0)</f>
        <v>0</v>
      </c>
      <c r="M20" s="108">
        <v>7</v>
      </c>
      <c r="N20" s="105">
        <v>16</v>
      </c>
      <c r="O20" s="105">
        <v>1</v>
      </c>
      <c r="P20" s="104">
        <f>+N20-M20-O20</f>
        <v>8</v>
      </c>
      <c r="Q20" s="43"/>
      <c r="R20" s="117"/>
      <c r="S20" s="104">
        <f>+R20-Q20</f>
        <v>0</v>
      </c>
      <c r="T20" s="105"/>
      <c r="U20" s="106">
        <f>+S20+P20-V20</f>
        <v>8</v>
      </c>
      <c r="V20" s="107">
        <f>IF(M20&gt;0,(P20+S20)+IF(U$5&gt;0,P20,-8),0)+IF(AE$5&gt;0,S20,0)</f>
        <v>0</v>
      </c>
      <c r="W20" s="105">
        <v>7</v>
      </c>
      <c r="X20" s="105">
        <v>16</v>
      </c>
      <c r="Y20" s="105">
        <v>1</v>
      </c>
      <c r="Z20" s="104">
        <f>+X20-W20-Y20</f>
        <v>8</v>
      </c>
      <c r="AA20" s="105"/>
      <c r="AB20" s="28"/>
      <c r="AC20" s="104">
        <f>+AB20-AA20</f>
        <v>0</v>
      </c>
      <c r="AD20" s="105"/>
      <c r="AE20" s="106">
        <f t="shared" si="11"/>
        <v>8</v>
      </c>
      <c r="AF20" s="107">
        <f t="shared" si="24"/>
        <v>0</v>
      </c>
      <c r="AG20" s="105">
        <v>7</v>
      </c>
      <c r="AH20" s="105">
        <v>16</v>
      </c>
      <c r="AI20" s="105">
        <v>1</v>
      </c>
      <c r="AJ20" s="110">
        <f>+AH20-AG20-AI20</f>
        <v>8</v>
      </c>
      <c r="AK20" s="105"/>
      <c r="AL20" s="105"/>
      <c r="AM20" s="104">
        <f>+AL20-AK20</f>
        <v>0</v>
      </c>
      <c r="AN20" s="111"/>
      <c r="AO20" s="112">
        <f>(AJ20*2+AM20)</f>
        <v>16</v>
      </c>
      <c r="AP20" s="841">
        <f t="shared" ref="AP20:AP25" si="29">+L20+V20+AF20+AO20+L42+V42+AF42-AN20</f>
        <v>16</v>
      </c>
      <c r="AQ20" s="842"/>
      <c r="AR20" s="843">
        <f>ROUND(BD20*AP20,1)</f>
        <v>62</v>
      </c>
      <c r="AS20" s="844"/>
      <c r="AT20" s="113">
        <f>IF(AT42&gt;0,AT42*$AT$10,0)</f>
        <v>24</v>
      </c>
      <c r="AU20" s="69"/>
      <c r="AV20" s="114">
        <f>+L20</f>
        <v>0</v>
      </c>
      <c r="AW20" s="114">
        <f>+V20</f>
        <v>0</v>
      </c>
      <c r="AX20" s="114">
        <f>+AF20</f>
        <v>0</v>
      </c>
      <c r="AY20" s="114">
        <f>+AO20</f>
        <v>16</v>
      </c>
      <c r="AZ20" s="114">
        <f>+L42</f>
        <v>0</v>
      </c>
      <c r="BA20" s="114">
        <f>+V42</f>
        <v>0</v>
      </c>
      <c r="BB20" s="114">
        <f>+AF42</f>
        <v>0</v>
      </c>
      <c r="BC20" s="35"/>
      <c r="BD20" s="115">
        <f t="shared" si="21"/>
        <v>3.8750035714285715</v>
      </c>
      <c r="BE20" s="115">
        <f>+BD20*AP20</f>
        <v>62.000057142857145</v>
      </c>
      <c r="BF20" s="115">
        <f>+BD20*AY20</f>
        <v>62.000057142857145</v>
      </c>
    </row>
    <row r="21" spans="1:60" s="69" customFormat="1" ht="14.1" customHeight="1" thickBot="1">
      <c r="A21" s="62">
        <v>10</v>
      </c>
      <c r="B21" s="118" t="str">
        <f t="shared" si="0"/>
        <v>Pedro Hostos S.</v>
      </c>
      <c r="C21" s="119">
        <v>7</v>
      </c>
      <c r="D21" s="119">
        <v>16</v>
      </c>
      <c r="E21" s="119">
        <v>1</v>
      </c>
      <c r="F21" s="120">
        <f t="shared" si="1"/>
        <v>8</v>
      </c>
      <c r="G21" s="121"/>
      <c r="H21" s="121"/>
      <c r="I21" s="120">
        <f t="shared" si="2"/>
        <v>0</v>
      </c>
      <c r="J21" s="119"/>
      <c r="K21" s="120">
        <f t="shared" si="3"/>
        <v>8</v>
      </c>
      <c r="L21" s="122">
        <f t="shared" si="4"/>
        <v>0</v>
      </c>
      <c r="M21" s="598">
        <v>7</v>
      </c>
      <c r="N21" s="119">
        <v>16</v>
      </c>
      <c r="O21" s="119">
        <v>1</v>
      </c>
      <c r="P21" s="120">
        <f t="shared" si="5"/>
        <v>8</v>
      </c>
      <c r="Q21" s="121"/>
      <c r="R21" s="121"/>
      <c r="S21" s="120">
        <f t="shared" si="6"/>
        <v>0</v>
      </c>
      <c r="T21" s="119"/>
      <c r="U21" s="120">
        <f t="shared" si="7"/>
        <v>8</v>
      </c>
      <c r="V21" s="122">
        <f t="shared" si="8"/>
        <v>0</v>
      </c>
      <c r="W21" s="119">
        <v>7</v>
      </c>
      <c r="X21" s="119">
        <v>16</v>
      </c>
      <c r="Y21" s="119">
        <v>1</v>
      </c>
      <c r="Z21" s="120">
        <f t="shared" si="9"/>
        <v>8</v>
      </c>
      <c r="AA21" s="119"/>
      <c r="AB21" s="121"/>
      <c r="AC21" s="120">
        <f t="shared" si="10"/>
        <v>0</v>
      </c>
      <c r="AD21" s="119"/>
      <c r="AE21" s="125">
        <f t="shared" si="11"/>
        <v>8</v>
      </c>
      <c r="AF21" s="122">
        <f t="shared" si="24"/>
        <v>0</v>
      </c>
      <c r="AG21" s="119"/>
      <c r="AH21" s="119"/>
      <c r="AI21" s="119"/>
      <c r="AJ21" s="126">
        <f t="shared" si="12"/>
        <v>0</v>
      </c>
      <c r="AK21" s="119"/>
      <c r="AL21" s="119"/>
      <c r="AM21" s="120">
        <f t="shared" si="13"/>
        <v>0</v>
      </c>
      <c r="AN21" s="127">
        <v>-4</v>
      </c>
      <c r="AO21" s="128">
        <f t="shared" si="14"/>
        <v>0</v>
      </c>
      <c r="AP21" s="847">
        <f t="shared" si="29"/>
        <v>4</v>
      </c>
      <c r="AQ21" s="848"/>
      <c r="AR21" s="849">
        <f t="shared" si="16"/>
        <v>15.5</v>
      </c>
      <c r="AS21" s="850"/>
      <c r="AT21" s="130">
        <f>IF(AT43&gt;0,AT43*$AT$10,0)</f>
        <v>24</v>
      </c>
      <c r="AV21" s="131">
        <f t="shared" si="17"/>
        <v>0</v>
      </c>
      <c r="AW21" s="131">
        <f t="shared" si="18"/>
        <v>0</v>
      </c>
      <c r="AX21" s="131">
        <f t="shared" si="19"/>
        <v>0</v>
      </c>
      <c r="AY21" s="132">
        <f t="shared" si="20"/>
        <v>0</v>
      </c>
      <c r="AZ21" s="131">
        <f>+L43</f>
        <v>0</v>
      </c>
      <c r="BA21" s="131">
        <f>+V43</f>
        <v>0</v>
      </c>
      <c r="BB21" s="131">
        <f>+AF43</f>
        <v>0</v>
      </c>
      <c r="BC21" s="35"/>
      <c r="BD21" s="115">
        <f t="shared" si="21"/>
        <v>3.8750035714285715</v>
      </c>
      <c r="BE21" s="133">
        <f t="shared" si="22"/>
        <v>15.500014285714286</v>
      </c>
      <c r="BF21" s="134">
        <f t="shared" si="23"/>
        <v>0</v>
      </c>
    </row>
    <row r="22" spans="1:60" ht="14.1" customHeight="1" thickTop="1">
      <c r="A22" s="1">
        <v>11</v>
      </c>
      <c r="B22" s="39" t="str">
        <f t="shared" si="0"/>
        <v>Miguel Tejada Ll.</v>
      </c>
      <c r="C22" s="56"/>
      <c r="D22" s="43"/>
      <c r="E22" s="54"/>
      <c r="F22" s="53">
        <f>+D22-C22-E22</f>
        <v>0</v>
      </c>
      <c r="G22" s="43"/>
      <c r="H22" s="117"/>
      <c r="I22" s="53">
        <f>+H22-G22</f>
        <v>0</v>
      </c>
      <c r="J22" s="54"/>
      <c r="K22" s="55">
        <f>+I22+F22-L22</f>
        <v>0</v>
      </c>
      <c r="L22" s="135">
        <f>IF(C22&gt;0,(F22+I22)+IF(K$5&gt;0,F22,-8),0)+IF(U$5&gt;0,I22,0)</f>
        <v>0</v>
      </c>
      <c r="M22" s="136"/>
      <c r="N22" s="43"/>
      <c r="O22" s="54"/>
      <c r="P22" s="53">
        <f>+N22-M22-O22</f>
        <v>0</v>
      </c>
      <c r="Q22" s="43"/>
      <c r="R22" s="43"/>
      <c r="S22" s="53">
        <f>+R22-Q22</f>
        <v>0</v>
      </c>
      <c r="T22" s="54"/>
      <c r="U22" s="55">
        <f>+S22+P22-V22</f>
        <v>0</v>
      </c>
      <c r="V22" s="135">
        <f>IF(M22&gt;0,(P22+S22)+IF(U$5&gt;0,P22,-8),0)+IF(AE$5&gt;0,S22,0)</f>
        <v>0</v>
      </c>
      <c r="W22" s="43"/>
      <c r="X22" s="43"/>
      <c r="Y22" s="54"/>
      <c r="Z22" s="53">
        <f>+X22-W22-Y22</f>
        <v>0</v>
      </c>
      <c r="AA22" s="44"/>
      <c r="AB22" s="28"/>
      <c r="AC22" s="53">
        <f>+AB22-AA22</f>
        <v>0</v>
      </c>
      <c r="AD22" s="54"/>
      <c r="AE22" s="137">
        <f t="shared" si="11"/>
        <v>0</v>
      </c>
      <c r="AF22" s="135">
        <f>IF(W22&gt;0,IF(AE$5&gt;0,(Z22+AC22)*2,(Z22+AC22-8)),0)*IF(Z22&lt;9,IF(AE$5&gt;0,1,2),1)+IF(Z22&gt;8,AC22,0)</f>
        <v>0</v>
      </c>
      <c r="AG22" s="138"/>
      <c r="AH22" s="43"/>
      <c r="AI22" s="54"/>
      <c r="AJ22" s="139">
        <f>+AH22-AG22-AI22</f>
        <v>0</v>
      </c>
      <c r="AK22" s="43"/>
      <c r="AL22" s="43"/>
      <c r="AM22" s="53">
        <f>+AL22-AK22</f>
        <v>0</v>
      </c>
      <c r="AN22" s="57"/>
      <c r="AO22" s="140">
        <f>(AJ22*2+AM22)</f>
        <v>0</v>
      </c>
      <c r="AP22" s="821">
        <f t="shared" si="29"/>
        <v>0</v>
      </c>
      <c r="AQ22" s="822"/>
      <c r="AR22" s="823">
        <f>ROUND(BD22*AP22,1)</f>
        <v>0</v>
      </c>
      <c r="AS22" s="824"/>
      <c r="AT22" s="49">
        <f>IF(AT44&gt;0,AT44*$AT$10,0)</f>
        <v>12</v>
      </c>
      <c r="AV22" s="33">
        <f>+L22</f>
        <v>0</v>
      </c>
      <c r="AW22" s="33">
        <f>+V22</f>
        <v>0</v>
      </c>
      <c r="AX22" s="33">
        <f>+AF22</f>
        <v>0</v>
      </c>
      <c r="AY22" s="34">
        <f>+AO22</f>
        <v>0</v>
      </c>
      <c r="AZ22" s="33">
        <f>+L44</f>
        <v>0</v>
      </c>
      <c r="BA22" s="33">
        <f>+V44</f>
        <v>0</v>
      </c>
      <c r="BB22" s="33">
        <f>+AF44</f>
        <v>0</v>
      </c>
      <c r="BC22" s="35"/>
      <c r="BD22" s="36">
        <f t="shared" si="21"/>
        <v>5.4333333333333327</v>
      </c>
      <c r="BE22" s="37">
        <f>+BD22*AP22</f>
        <v>0</v>
      </c>
      <c r="BF22" s="38">
        <f>+BD22*AY22</f>
        <v>0</v>
      </c>
      <c r="BH22" s="141"/>
    </row>
    <row r="23" spans="1:60" s="116" customFormat="1" ht="14.1" customHeight="1">
      <c r="A23" s="62">
        <v>13</v>
      </c>
      <c r="B23" s="142" t="str">
        <f t="shared" si="0"/>
        <v>Angel Colina N.</v>
      </c>
      <c r="C23" s="102">
        <v>7</v>
      </c>
      <c r="D23" s="102">
        <v>16</v>
      </c>
      <c r="E23" s="102">
        <v>1</v>
      </c>
      <c r="F23" s="143">
        <f>+D23-C23-E23</f>
        <v>8</v>
      </c>
      <c r="G23" s="144"/>
      <c r="H23" s="145"/>
      <c r="I23" s="143">
        <f>+H23-G23</f>
        <v>0</v>
      </c>
      <c r="J23" s="102"/>
      <c r="K23" s="146">
        <f>+I23+F23-L23</f>
        <v>8</v>
      </c>
      <c r="L23" s="147">
        <f>IF(C23&gt;0,(F23+I23)+IF(K$5&gt;0,F23,-8),0)+IF(U$5&gt;0,I23,0)</f>
        <v>0</v>
      </c>
      <c r="M23" s="148">
        <v>7</v>
      </c>
      <c r="N23" s="102">
        <v>16</v>
      </c>
      <c r="O23" s="102">
        <v>1</v>
      </c>
      <c r="P23" s="143">
        <f>+N23-M23-O23</f>
        <v>8</v>
      </c>
      <c r="Q23" s="43"/>
      <c r="R23" s="43"/>
      <c r="S23" s="143">
        <f>+R23-Q23</f>
        <v>0</v>
      </c>
      <c r="T23" s="102"/>
      <c r="U23" s="146">
        <f>+S23+P23-V23</f>
        <v>8</v>
      </c>
      <c r="V23" s="147">
        <f>IF(M23&gt;0,(P23+S23)+IF(U$5&gt;0,P23,-8),0)+IF(AE$5&gt;0,S23,0)</f>
        <v>0</v>
      </c>
      <c r="W23" s="102">
        <v>7</v>
      </c>
      <c r="X23" s="102">
        <v>16</v>
      </c>
      <c r="Y23" s="102">
        <v>1</v>
      </c>
      <c r="Z23" s="143">
        <f>+X23-W23-Y23</f>
        <v>8</v>
      </c>
      <c r="AA23" s="102"/>
      <c r="AB23" s="28"/>
      <c r="AC23" s="143">
        <f>+AB23-AA23</f>
        <v>0</v>
      </c>
      <c r="AD23" s="102"/>
      <c r="AE23" s="146">
        <f t="shared" si="11"/>
        <v>8</v>
      </c>
      <c r="AF23" s="147">
        <f>IF(W23&gt;0,IF(AE$5&gt;0,(Z23+AC23)*2,(Z23+AC23-8)),0)*IF(Z23&lt;9,IF(AE$5&gt;0,1,2),1)+IF(Z23&gt;8,AC23,0)</f>
        <v>0</v>
      </c>
      <c r="AG23" s="102"/>
      <c r="AH23" s="102"/>
      <c r="AI23" s="102"/>
      <c r="AJ23" s="149">
        <f>+AH23-AG23-AI23</f>
        <v>0</v>
      </c>
      <c r="AK23" s="102"/>
      <c r="AL23" s="102"/>
      <c r="AM23" s="143">
        <f>+AL23-AK23</f>
        <v>0</v>
      </c>
      <c r="AN23" s="150"/>
      <c r="AO23" s="151">
        <f>(AJ23*2+AM23)</f>
        <v>0</v>
      </c>
      <c r="AP23" s="841">
        <f t="shared" si="29"/>
        <v>4</v>
      </c>
      <c r="AQ23" s="842"/>
      <c r="AR23" s="843">
        <f>ROUND(BD23*AP23,1)</f>
        <v>15.5</v>
      </c>
      <c r="AS23" s="844"/>
      <c r="AT23" s="113">
        <f t="shared" ref="AT23:AT25" si="30">IF(AT45&gt;0,AT45*$AT$10,0)</f>
        <v>24</v>
      </c>
      <c r="AU23" s="69"/>
      <c r="AV23" s="114">
        <f>+L23</f>
        <v>0</v>
      </c>
      <c r="AW23" s="114">
        <f>+V23</f>
        <v>0</v>
      </c>
      <c r="AX23" s="114">
        <f>+AF23</f>
        <v>0</v>
      </c>
      <c r="AY23" s="114">
        <f>+AO23</f>
        <v>0</v>
      </c>
      <c r="AZ23" s="114">
        <f>+L45</f>
        <v>2</v>
      </c>
      <c r="BA23" s="114">
        <f>+V45</f>
        <v>2</v>
      </c>
      <c r="BB23" s="114">
        <f>+AF45</f>
        <v>0</v>
      </c>
      <c r="BC23" s="35"/>
      <c r="BD23" s="115">
        <f t="shared" si="21"/>
        <v>3.8750035714285715</v>
      </c>
      <c r="BE23" s="115">
        <f>+BD23*AP23</f>
        <v>15.500014285714286</v>
      </c>
      <c r="BF23" s="115">
        <f>+BD23*AY23</f>
        <v>0</v>
      </c>
    </row>
    <row r="24" spans="1:60" s="116" customFormat="1" ht="14.1" customHeight="1">
      <c r="A24" s="62">
        <v>13</v>
      </c>
      <c r="B24" s="142" t="str">
        <f t="shared" si="0"/>
        <v>Jose Lares P.</v>
      </c>
      <c r="C24" s="102"/>
      <c r="D24" s="102"/>
      <c r="E24" s="102"/>
      <c r="F24" s="143">
        <f>+D24-C24-E24</f>
        <v>0</v>
      </c>
      <c r="G24" s="144"/>
      <c r="H24" s="145"/>
      <c r="I24" s="143">
        <f>+H24-G24</f>
        <v>0</v>
      </c>
      <c r="J24" s="102"/>
      <c r="K24" s="146">
        <f>+I24+F24-L24</f>
        <v>0</v>
      </c>
      <c r="L24" s="147">
        <f>IF(C24&gt;0,(F24+I24)+IF(K$5&gt;0,F24,-8),0)+IF(U$5&gt;0,I24,0)</f>
        <v>0</v>
      </c>
      <c r="M24" s="148">
        <v>7</v>
      </c>
      <c r="N24" s="102">
        <v>16</v>
      </c>
      <c r="O24" s="102">
        <v>1</v>
      </c>
      <c r="P24" s="143">
        <f>+N24-M24-O24</f>
        <v>8</v>
      </c>
      <c r="Q24" s="43"/>
      <c r="R24" s="43"/>
      <c r="S24" s="143">
        <f>+R24-Q24</f>
        <v>0</v>
      </c>
      <c r="T24" s="102"/>
      <c r="U24" s="146">
        <f>+S24+P24-V24</f>
        <v>8</v>
      </c>
      <c r="V24" s="147">
        <f>IF(M24&gt;0,(P24+S24)+IF(U$5&gt;0,P24,-8),0)+IF(AE$5&gt;0,S24,0)</f>
        <v>0</v>
      </c>
      <c r="W24" s="102">
        <v>7</v>
      </c>
      <c r="X24" s="102">
        <v>16</v>
      </c>
      <c r="Y24" s="102">
        <v>1</v>
      </c>
      <c r="Z24" s="143">
        <f>+X24-W24-Y24</f>
        <v>8</v>
      </c>
      <c r="AA24" s="102"/>
      <c r="AB24" s="28"/>
      <c r="AC24" s="143">
        <f>+AB24-AA24</f>
        <v>0</v>
      </c>
      <c r="AD24" s="102"/>
      <c r="AE24" s="146">
        <f t="shared" si="11"/>
        <v>8</v>
      </c>
      <c r="AF24" s="147">
        <f>IF(W24&gt;0,IF(AE$5&gt;0,(Z24+AC24)*2,(Z24+AC24-8)),0)*IF(Z24&lt;9,IF(AE$5&gt;0,1,2),1)+IF(Z24&gt;8,AC24,0)</f>
        <v>0</v>
      </c>
      <c r="AG24" s="102"/>
      <c r="AH24" s="102"/>
      <c r="AI24" s="102"/>
      <c r="AJ24" s="149">
        <f>+AH24-AG24-AI24</f>
        <v>0</v>
      </c>
      <c r="AK24" s="102"/>
      <c r="AL24" s="102"/>
      <c r="AM24" s="143">
        <f>+AL24-AK24</f>
        <v>0</v>
      </c>
      <c r="AN24" s="150"/>
      <c r="AO24" s="151">
        <f>(AJ24*2+AM24)</f>
        <v>0</v>
      </c>
      <c r="AP24" s="841">
        <f t="shared" si="29"/>
        <v>0</v>
      </c>
      <c r="AQ24" s="842"/>
      <c r="AR24" s="843">
        <f>ROUND(BD24*AP24,1)</f>
        <v>0</v>
      </c>
      <c r="AS24" s="844"/>
      <c r="AT24" s="113">
        <f t="shared" si="30"/>
        <v>20</v>
      </c>
      <c r="AU24" s="69"/>
      <c r="AV24" s="114">
        <f>+L24</f>
        <v>0</v>
      </c>
      <c r="AW24" s="114">
        <f>+V24</f>
        <v>0</v>
      </c>
      <c r="AX24" s="114">
        <f>+AF24</f>
        <v>0</v>
      </c>
      <c r="AY24" s="114">
        <f>+AO24</f>
        <v>0</v>
      </c>
      <c r="AZ24" s="114">
        <f>+L47</f>
        <v>0</v>
      </c>
      <c r="BA24" s="114">
        <f>+V47</f>
        <v>0</v>
      </c>
      <c r="BB24" s="114">
        <f>+AF47</f>
        <v>0</v>
      </c>
      <c r="BC24" s="35"/>
      <c r="BD24" s="115">
        <f t="shared" si="21"/>
        <v>3.8750035714285715</v>
      </c>
      <c r="BE24" s="115">
        <f>+BD24*AP24</f>
        <v>0</v>
      </c>
      <c r="BF24" s="115">
        <f>+BD24*AY24</f>
        <v>0</v>
      </c>
    </row>
    <row r="25" spans="1:60" ht="14.1" customHeight="1" thickBot="1">
      <c r="A25" s="1">
        <v>14</v>
      </c>
      <c r="B25" s="152" t="str">
        <f t="shared" ref="B25" si="31">+B87</f>
        <v>Jeeimy Davila C.</v>
      </c>
      <c r="C25" s="601">
        <v>7</v>
      </c>
      <c r="D25" s="160">
        <v>16</v>
      </c>
      <c r="E25" s="602">
        <v>1</v>
      </c>
      <c r="F25" s="603">
        <f>+D25-C25-E25</f>
        <v>8</v>
      </c>
      <c r="G25" s="160"/>
      <c r="H25" s="160"/>
      <c r="I25" s="603">
        <f>+H25-G25</f>
        <v>0</v>
      </c>
      <c r="J25" s="602"/>
      <c r="K25" s="604">
        <f>+I25+F25-L25</f>
        <v>8</v>
      </c>
      <c r="L25" s="605">
        <f t="shared" si="4"/>
        <v>0</v>
      </c>
      <c r="M25" s="606">
        <v>8</v>
      </c>
      <c r="N25" s="160">
        <v>17</v>
      </c>
      <c r="O25" s="602">
        <v>1</v>
      </c>
      <c r="P25" s="603">
        <f>+N25-M25-O25</f>
        <v>8</v>
      </c>
      <c r="Q25" s="160"/>
      <c r="R25" s="160"/>
      <c r="S25" s="603">
        <f>+R25-Q25</f>
        <v>0</v>
      </c>
      <c r="T25" s="602"/>
      <c r="U25" s="604">
        <f>+S25+P25-V25</f>
        <v>8</v>
      </c>
      <c r="V25" s="605">
        <f>IF(M25&gt;0,(P25+S25)+IF(U$5&gt;0,P25,-8),0)+IF(AE$5&gt;0,S25,0)</f>
        <v>0</v>
      </c>
      <c r="W25" s="160">
        <v>7</v>
      </c>
      <c r="X25" s="160">
        <v>16</v>
      </c>
      <c r="Y25" s="602">
        <v>1</v>
      </c>
      <c r="Z25" s="603">
        <f>+X25-W25-Y25</f>
        <v>8</v>
      </c>
      <c r="AA25" s="160"/>
      <c r="AB25" s="161"/>
      <c r="AC25" s="603">
        <f>+AB25-AA25</f>
        <v>0</v>
      </c>
      <c r="AD25" s="602"/>
      <c r="AE25" s="604">
        <f t="shared" si="11"/>
        <v>8</v>
      </c>
      <c r="AF25" s="605">
        <f>IF(W25&gt;0,IF(AE$5&gt;0,(Z25+AC25)*2,(Z25+AC25-8)),0)*IF(Z25&lt;9,IF(AE$5&gt;0,1,2),1)+IF(Z25&gt;8,AC25,0)</f>
        <v>0</v>
      </c>
      <c r="AG25" s="271"/>
      <c r="AH25" s="160"/>
      <c r="AI25" s="602"/>
      <c r="AJ25" s="607">
        <f t="shared" si="12"/>
        <v>0</v>
      </c>
      <c r="AK25" s="160"/>
      <c r="AL25" s="160"/>
      <c r="AM25" s="603">
        <f>+AL25-AK25</f>
        <v>0</v>
      </c>
      <c r="AN25" s="608"/>
      <c r="AO25" s="609">
        <f>(AJ25*2+AM25)</f>
        <v>0</v>
      </c>
      <c r="AP25" s="1190">
        <f t="shared" si="29"/>
        <v>0</v>
      </c>
      <c r="AQ25" s="1191"/>
      <c r="AR25" s="1192">
        <f>ROUND(BD25*AP25,1)</f>
        <v>0</v>
      </c>
      <c r="AS25" s="1193"/>
      <c r="AT25" s="166">
        <f t="shared" si="30"/>
        <v>24</v>
      </c>
      <c r="AV25" s="114">
        <f>+L25</f>
        <v>0</v>
      </c>
      <c r="AW25" s="114">
        <f>+V25</f>
        <v>0</v>
      </c>
      <c r="AX25" s="114">
        <f>+AF25</f>
        <v>0</v>
      </c>
      <c r="AY25" s="114">
        <f>+AO25</f>
        <v>0</v>
      </c>
      <c r="AZ25" s="114">
        <f t="shared" ref="AZ25" si="32">+L47</f>
        <v>0</v>
      </c>
      <c r="BA25" s="114">
        <f t="shared" ref="BA25" si="33">+V47</f>
        <v>0</v>
      </c>
      <c r="BB25" s="114">
        <f t="shared" ref="BB25" si="34">+AF47</f>
        <v>0</v>
      </c>
      <c r="BC25" s="35"/>
      <c r="BD25" s="36">
        <f t="shared" ref="BD25" si="35">+I87</f>
        <v>4.125</v>
      </c>
      <c r="BE25" s="37">
        <f>+BD25*AP25</f>
        <v>0</v>
      </c>
      <c r="BF25" s="38">
        <f>+BD25*AY25</f>
        <v>0</v>
      </c>
    </row>
    <row r="26" spans="1:60" ht="5.0999999999999996" customHeight="1" thickBot="1">
      <c r="BC26" s="167"/>
      <c r="BD26" s="168"/>
      <c r="BE26" s="855">
        <f>SUM(BE11:BE25)</f>
        <v>561.57894285714292</v>
      </c>
      <c r="BF26" s="856">
        <f>SUM(BF11:BF25)</f>
        <v>248.00017142857143</v>
      </c>
    </row>
    <row r="27" spans="1:60" ht="9.9499999999999993" customHeight="1">
      <c r="B27" s="741" t="s">
        <v>1</v>
      </c>
      <c r="C27" s="858">
        <f>1+AG5</f>
        <v>43857</v>
      </c>
      <c r="D27" s="858"/>
      <c r="E27" s="858"/>
      <c r="F27" s="858"/>
      <c r="G27" s="858"/>
      <c r="H27" s="858"/>
      <c r="I27" s="858"/>
      <c r="J27" s="858"/>
      <c r="K27" s="860"/>
      <c r="L27" s="861"/>
      <c r="M27" s="864">
        <f>1+C27</f>
        <v>43858</v>
      </c>
      <c r="N27" s="865"/>
      <c r="O27" s="865"/>
      <c r="P27" s="865"/>
      <c r="Q27" s="865"/>
      <c r="R27" s="865"/>
      <c r="S27" s="865"/>
      <c r="T27" s="866"/>
      <c r="U27" s="870"/>
      <c r="V27" s="871"/>
      <c r="W27" s="864">
        <f>1+M27</f>
        <v>43859</v>
      </c>
      <c r="X27" s="865"/>
      <c r="Y27" s="865"/>
      <c r="Z27" s="865"/>
      <c r="AA27" s="865"/>
      <c r="AB27" s="865"/>
      <c r="AC27" s="865"/>
      <c r="AD27" s="866"/>
      <c r="AE27" s="880"/>
      <c r="AF27" s="881"/>
      <c r="AH27" s="884" t="s">
        <v>18</v>
      </c>
      <c r="AI27" s="879">
        <f>+C5</f>
        <v>43853</v>
      </c>
      <c r="AJ27" s="885">
        <f t="shared" ref="AJ27:AO27" si="36">1+AI27</f>
        <v>43854</v>
      </c>
      <c r="AK27" s="885">
        <f t="shared" si="36"/>
        <v>43855</v>
      </c>
      <c r="AL27" s="878">
        <f t="shared" si="36"/>
        <v>43856</v>
      </c>
      <c r="AM27" s="878">
        <f t="shared" si="36"/>
        <v>43857</v>
      </c>
      <c r="AN27" s="879">
        <f t="shared" si="36"/>
        <v>43858</v>
      </c>
      <c r="AO27" s="879">
        <f t="shared" si="36"/>
        <v>43859</v>
      </c>
      <c r="AP27" s="911" t="s">
        <v>19</v>
      </c>
      <c r="AQ27" s="912"/>
      <c r="AR27" s="913" t="s">
        <v>20</v>
      </c>
      <c r="AS27" s="914"/>
      <c r="AT27" s="898" t="s">
        <v>21</v>
      </c>
      <c r="AW27" s="901">
        <f>+AL27</f>
        <v>43856</v>
      </c>
      <c r="AX27" s="902"/>
      <c r="AZ27" s="907" t="s">
        <v>22</v>
      </c>
      <c r="BA27" s="907"/>
      <c r="BB27" s="907"/>
      <c r="BC27" s="907"/>
      <c r="BD27" s="168"/>
      <c r="BE27" s="855"/>
      <c r="BF27" s="857"/>
    </row>
    <row r="28" spans="1:60" ht="9.9499999999999993" customHeight="1">
      <c r="B28" s="742"/>
      <c r="C28" s="859"/>
      <c r="D28" s="859"/>
      <c r="E28" s="859"/>
      <c r="F28" s="859"/>
      <c r="G28" s="859"/>
      <c r="H28" s="859"/>
      <c r="I28" s="859"/>
      <c r="J28" s="859"/>
      <c r="K28" s="862"/>
      <c r="L28" s="863"/>
      <c r="M28" s="867"/>
      <c r="N28" s="868"/>
      <c r="O28" s="868"/>
      <c r="P28" s="868"/>
      <c r="Q28" s="868"/>
      <c r="R28" s="868"/>
      <c r="S28" s="868"/>
      <c r="T28" s="869"/>
      <c r="U28" s="872"/>
      <c r="V28" s="873"/>
      <c r="W28" s="867"/>
      <c r="X28" s="868"/>
      <c r="Y28" s="868"/>
      <c r="Z28" s="868"/>
      <c r="AA28" s="868"/>
      <c r="AB28" s="868"/>
      <c r="AC28" s="868"/>
      <c r="AD28" s="869"/>
      <c r="AE28" s="882"/>
      <c r="AF28" s="883"/>
      <c r="AH28" s="884"/>
      <c r="AI28" s="879"/>
      <c r="AJ28" s="885"/>
      <c r="AK28" s="885"/>
      <c r="AL28" s="878"/>
      <c r="AM28" s="878"/>
      <c r="AN28" s="879"/>
      <c r="AO28" s="879"/>
      <c r="AP28" s="911"/>
      <c r="AQ28" s="912"/>
      <c r="AR28" s="915"/>
      <c r="AS28" s="916"/>
      <c r="AT28" s="899"/>
      <c r="AW28" s="903"/>
      <c r="AX28" s="904"/>
      <c r="AZ28" s="908">
        <f>SUM(AV11:BB25)</f>
        <v>140</v>
      </c>
      <c r="BA28" s="909"/>
      <c r="BB28" s="909"/>
      <c r="BC28" s="169"/>
      <c r="BD28" s="168"/>
      <c r="BE28" s="170"/>
    </row>
    <row r="29" spans="1:60" ht="15.2" customHeight="1">
      <c r="B29" s="742"/>
      <c r="C29" s="780" t="s">
        <v>10</v>
      </c>
      <c r="D29" s="874"/>
      <c r="E29" s="766" t="s">
        <v>11</v>
      </c>
      <c r="F29" s="769" t="s">
        <v>12</v>
      </c>
      <c r="G29" s="877" t="s">
        <v>10</v>
      </c>
      <c r="H29" s="874"/>
      <c r="I29" s="769" t="s">
        <v>12</v>
      </c>
      <c r="J29" s="773" t="s">
        <v>13</v>
      </c>
      <c r="K29" s="786" t="s">
        <v>14</v>
      </c>
      <c r="L29" s="886" t="s">
        <v>15</v>
      </c>
      <c r="M29" s="780" t="s">
        <v>10</v>
      </c>
      <c r="N29" s="888"/>
      <c r="O29" s="767" t="s">
        <v>11</v>
      </c>
      <c r="P29" s="770" t="s">
        <v>12</v>
      </c>
      <c r="Q29" s="877" t="s">
        <v>10</v>
      </c>
      <c r="R29" s="893"/>
      <c r="S29" s="770" t="s">
        <v>12</v>
      </c>
      <c r="T29" s="774" t="s">
        <v>13</v>
      </c>
      <c r="U29" s="787" t="s">
        <v>14</v>
      </c>
      <c r="V29" s="886" t="s">
        <v>15</v>
      </c>
      <c r="W29" s="780" t="s">
        <v>10</v>
      </c>
      <c r="X29" s="888"/>
      <c r="Y29" s="767" t="s">
        <v>11</v>
      </c>
      <c r="Z29" s="770" t="s">
        <v>12</v>
      </c>
      <c r="AA29" s="877" t="s">
        <v>10</v>
      </c>
      <c r="AB29" s="893"/>
      <c r="AC29" s="770" t="s">
        <v>12</v>
      </c>
      <c r="AD29" s="774" t="s">
        <v>13</v>
      </c>
      <c r="AE29" s="787" t="s">
        <v>14</v>
      </c>
      <c r="AF29" s="886"/>
      <c r="AH29" s="884"/>
      <c r="AI29" s="879"/>
      <c r="AJ29" s="885"/>
      <c r="AK29" s="885"/>
      <c r="AL29" s="878"/>
      <c r="AM29" s="878"/>
      <c r="AN29" s="879"/>
      <c r="AO29" s="879"/>
      <c r="AP29" s="911"/>
      <c r="AQ29" s="912"/>
      <c r="AR29" s="915"/>
      <c r="AS29" s="916"/>
      <c r="AT29" s="899"/>
      <c r="AW29" s="903"/>
      <c r="AX29" s="904"/>
      <c r="AZ29" s="910"/>
      <c r="BA29" s="910"/>
      <c r="BB29" s="910"/>
      <c r="BC29" s="169"/>
      <c r="BD29" s="168"/>
      <c r="BE29" s="168"/>
    </row>
    <row r="30" spans="1:60" ht="15.2" customHeight="1">
      <c r="B30" s="742"/>
      <c r="C30" s="875"/>
      <c r="D30" s="810"/>
      <c r="E30" s="767"/>
      <c r="F30" s="770"/>
      <c r="G30" s="811"/>
      <c r="H30" s="810"/>
      <c r="I30" s="770"/>
      <c r="J30" s="774"/>
      <c r="K30" s="787"/>
      <c r="L30" s="886"/>
      <c r="M30" s="889"/>
      <c r="N30" s="890"/>
      <c r="O30" s="767"/>
      <c r="P30" s="770"/>
      <c r="Q30" s="894"/>
      <c r="R30" s="895"/>
      <c r="S30" s="770"/>
      <c r="T30" s="774"/>
      <c r="U30" s="787"/>
      <c r="V30" s="886"/>
      <c r="W30" s="889"/>
      <c r="X30" s="890"/>
      <c r="Y30" s="767"/>
      <c r="Z30" s="770"/>
      <c r="AA30" s="894"/>
      <c r="AB30" s="895"/>
      <c r="AC30" s="770"/>
      <c r="AD30" s="774"/>
      <c r="AE30" s="787"/>
      <c r="AF30" s="886"/>
      <c r="AH30" s="884"/>
      <c r="AI30" s="879"/>
      <c r="AJ30" s="885"/>
      <c r="AK30" s="885"/>
      <c r="AL30" s="878"/>
      <c r="AM30" s="878"/>
      <c r="AN30" s="879"/>
      <c r="AO30" s="879"/>
      <c r="AP30" s="911"/>
      <c r="AQ30" s="912"/>
      <c r="AR30" s="915"/>
      <c r="AS30" s="916"/>
      <c r="AT30" s="899"/>
      <c r="AW30" s="903"/>
      <c r="AX30" s="904"/>
      <c r="AY30" s="7" t="s">
        <v>23</v>
      </c>
      <c r="BD30" s="171">
        <f>+AZ28-AW49</f>
        <v>76</v>
      </c>
      <c r="BE30" s="172" t="s">
        <v>24</v>
      </c>
    </row>
    <row r="31" spans="1:60" ht="15.2" customHeight="1">
      <c r="B31" s="742"/>
      <c r="C31" s="875"/>
      <c r="D31" s="810"/>
      <c r="E31" s="767"/>
      <c r="F31" s="770"/>
      <c r="G31" s="811"/>
      <c r="H31" s="810"/>
      <c r="I31" s="770"/>
      <c r="J31" s="774"/>
      <c r="K31" s="787"/>
      <c r="L31" s="886"/>
      <c r="M31" s="889"/>
      <c r="N31" s="890"/>
      <c r="O31" s="767"/>
      <c r="P31" s="770"/>
      <c r="Q31" s="894"/>
      <c r="R31" s="895"/>
      <c r="S31" s="770"/>
      <c r="T31" s="774"/>
      <c r="U31" s="787"/>
      <c r="V31" s="886"/>
      <c r="W31" s="889"/>
      <c r="X31" s="890"/>
      <c r="Y31" s="767"/>
      <c r="Z31" s="770"/>
      <c r="AA31" s="894"/>
      <c r="AB31" s="895"/>
      <c r="AC31" s="770"/>
      <c r="AD31" s="774"/>
      <c r="AE31" s="787"/>
      <c r="AF31" s="886"/>
      <c r="AH31" s="884"/>
      <c r="AI31" s="879"/>
      <c r="AJ31" s="885"/>
      <c r="AK31" s="885"/>
      <c r="AL31" s="878"/>
      <c r="AM31" s="878"/>
      <c r="AN31" s="879"/>
      <c r="AO31" s="879"/>
      <c r="AP31" s="911"/>
      <c r="AQ31" s="912"/>
      <c r="AR31" s="915"/>
      <c r="AS31" s="916"/>
      <c r="AT31" s="899"/>
      <c r="AW31" s="903"/>
      <c r="AX31" s="904"/>
    </row>
    <row r="32" spans="1:60" ht="15.2" customHeight="1" thickBot="1">
      <c r="B32" s="743"/>
      <c r="C32" s="876"/>
      <c r="D32" s="813"/>
      <c r="E32" s="768"/>
      <c r="F32" s="771"/>
      <c r="G32" s="812"/>
      <c r="H32" s="813"/>
      <c r="I32" s="771"/>
      <c r="J32" s="775"/>
      <c r="K32" s="788"/>
      <c r="L32" s="887"/>
      <c r="M32" s="891"/>
      <c r="N32" s="892"/>
      <c r="O32" s="768"/>
      <c r="P32" s="771"/>
      <c r="Q32" s="896"/>
      <c r="R32" s="897"/>
      <c r="S32" s="771"/>
      <c r="T32" s="775"/>
      <c r="U32" s="788"/>
      <c r="V32" s="887"/>
      <c r="W32" s="891"/>
      <c r="X32" s="892"/>
      <c r="Y32" s="768"/>
      <c r="Z32" s="771"/>
      <c r="AA32" s="896"/>
      <c r="AB32" s="897"/>
      <c r="AC32" s="771"/>
      <c r="AD32" s="775"/>
      <c r="AE32" s="788"/>
      <c r="AF32" s="887"/>
      <c r="AH32" s="884"/>
      <c r="AI32" s="879"/>
      <c r="AJ32" s="885"/>
      <c r="AK32" s="885"/>
      <c r="AL32" s="878"/>
      <c r="AM32" s="878"/>
      <c r="AN32" s="879"/>
      <c r="AO32" s="879"/>
      <c r="AP32" s="911"/>
      <c r="AQ32" s="912"/>
      <c r="AR32" s="917"/>
      <c r="AS32" s="918"/>
      <c r="AT32" s="900"/>
      <c r="AW32" s="905"/>
      <c r="AX32" s="906"/>
      <c r="BE32" s="173"/>
    </row>
    <row r="33" spans="1:57" ht="14.1" customHeight="1">
      <c r="B33" s="16" t="str">
        <f t="shared" ref="B33:B44" si="37">+B11</f>
        <v>Eduardo Segura D.</v>
      </c>
      <c r="C33" s="17">
        <v>7</v>
      </c>
      <c r="D33" s="18">
        <v>16</v>
      </c>
      <c r="E33" s="19">
        <v>1</v>
      </c>
      <c r="F33" s="40">
        <f t="shared" ref="F33:F47" si="38">+D33-C33-E33</f>
        <v>8</v>
      </c>
      <c r="G33" s="43"/>
      <c r="H33" s="22"/>
      <c r="I33" s="40">
        <f t="shared" ref="I33:I47" si="39">+H33-G33</f>
        <v>0</v>
      </c>
      <c r="J33" s="19"/>
      <c r="K33" s="41">
        <f t="shared" ref="K33:K47" si="40">+I33+F33-L33</f>
        <v>8</v>
      </c>
      <c r="L33" s="25">
        <f t="shared" ref="L33:L47" si="41">IF(C33&gt;0,(F33+I33)+IF(K$27&gt;0,F33,-8),0)+IF(U$27&gt;0,I33,0)</f>
        <v>0</v>
      </c>
      <c r="M33" s="43">
        <v>7</v>
      </c>
      <c r="N33" s="18">
        <v>16</v>
      </c>
      <c r="O33" s="19">
        <v>1</v>
      </c>
      <c r="P33" s="40">
        <f t="shared" ref="P33:P47" si="42">+N33-M33-O33</f>
        <v>8</v>
      </c>
      <c r="Q33" s="138"/>
      <c r="R33" s="174"/>
      <c r="S33" s="40">
        <f t="shared" ref="S33:S47" si="43">+R33-Q33</f>
        <v>0</v>
      </c>
      <c r="T33" s="19"/>
      <c r="U33" s="41">
        <f t="shared" ref="U33:U47" si="44">+S33+P33-V33</f>
        <v>8</v>
      </c>
      <c r="V33" s="25">
        <f t="shared" ref="V33:V47" si="45">IF(M33&gt;0,(P33+S33)+IF(U$27&gt;0,P33,-8),0)+IF(AE$27&gt;0,S33,0)</f>
        <v>0</v>
      </c>
      <c r="W33" s="18">
        <v>7</v>
      </c>
      <c r="X33" s="18">
        <v>16</v>
      </c>
      <c r="Y33" s="175">
        <v>1</v>
      </c>
      <c r="Z33" s="176">
        <f t="shared" ref="Z33:Z47" si="46">+X33-W33-Y33</f>
        <v>8</v>
      </c>
      <c r="AA33" s="138"/>
      <c r="AB33" s="22"/>
      <c r="AC33" s="176">
        <f t="shared" ref="AC33:AC47" si="47">+AB33-AA33</f>
        <v>0</v>
      </c>
      <c r="AD33" s="175"/>
      <c r="AE33" s="177">
        <f t="shared" ref="AE33:AE47" si="48">+AC33+Z33-AF33</f>
        <v>8</v>
      </c>
      <c r="AF33" s="25">
        <f t="shared" ref="AF33:AF47" si="49">IF(W33&gt;0,(Z33+AC33)+IF(AE$27&gt;0,0+Z33,-8),0)</f>
        <v>0</v>
      </c>
      <c r="AG33" s="69"/>
      <c r="AH33" s="178">
        <v>0</v>
      </c>
      <c r="AI33" s="179">
        <f>+K11+(IF(ISBLANK($K$5),-8,0))</f>
        <v>0</v>
      </c>
      <c r="AJ33" s="179">
        <f>IF(ISBLANK($U$5),-8,0)+U11</f>
        <v>0</v>
      </c>
      <c r="AK33" s="179">
        <f>IF(ISBLANK($AE$5),-8,0)+AE11</f>
        <v>0.5</v>
      </c>
      <c r="AL33" s="179">
        <f t="shared" ref="AL33:AL47" si="50">IF(ISBLANK($AO$5),-8,0)+AO11+AW33</f>
        <v>0</v>
      </c>
      <c r="AM33" s="179">
        <f t="shared" ref="AM33:AM47" si="51">IF(ISBLANK($K$27),-8,0)+K33</f>
        <v>0</v>
      </c>
      <c r="AN33" s="179">
        <f t="shared" ref="AN33:AN47" si="52">IF(ISBLANK($U$27),-8,0)+U33</f>
        <v>0</v>
      </c>
      <c r="AO33" s="179">
        <f t="shared" ref="AO33:AO47" si="53">IF(ISBLANK($AE$27),-8,0)+AE33</f>
        <v>0</v>
      </c>
      <c r="AP33" s="180">
        <f t="shared" ref="AP33:AP47" si="54">SUM(AH33:AO33)</f>
        <v>0.5</v>
      </c>
      <c r="AQ33" s="69"/>
      <c r="AR33" s="919">
        <f>+X73*Q73</f>
        <v>0</v>
      </c>
      <c r="AS33" s="925"/>
      <c r="AT33" s="181">
        <f>IF(K11+L11&gt;0,1,0)+IF(U11+V11&gt;0,1,0)+IF(AE11+AF11&gt;0,1,0)+IF(AO11&gt;3,1,0)+IF(K33+L33&gt;0,1,0)+IF(U33+V33&gt;0,1,0)+IF(AE33+AF33&gt;0,1,0)</f>
        <v>6</v>
      </c>
      <c r="AU33" s="69"/>
      <c r="AV33" s="69"/>
      <c r="AW33" s="921"/>
      <c r="AX33" s="922"/>
      <c r="BD33" s="182"/>
      <c r="BE33" s="183"/>
    </row>
    <row r="34" spans="1:57" ht="14.1" customHeight="1">
      <c r="B34" s="190" t="str">
        <f t="shared" si="37"/>
        <v>Cesar Mendez M.</v>
      </c>
      <c r="C34" s="17">
        <v>7</v>
      </c>
      <c r="D34" s="18">
        <v>24</v>
      </c>
      <c r="E34" s="19">
        <v>2</v>
      </c>
      <c r="F34" s="40">
        <f t="shared" si="38"/>
        <v>15</v>
      </c>
      <c r="G34" s="43">
        <v>0</v>
      </c>
      <c r="H34" s="43">
        <v>8</v>
      </c>
      <c r="I34" s="40">
        <f t="shared" si="39"/>
        <v>8</v>
      </c>
      <c r="J34" s="19">
        <v>8</v>
      </c>
      <c r="K34" s="41">
        <f t="shared" si="40"/>
        <v>8</v>
      </c>
      <c r="L34" s="25">
        <f t="shared" si="41"/>
        <v>15</v>
      </c>
      <c r="M34" s="43">
        <v>19</v>
      </c>
      <c r="N34" s="18">
        <v>24</v>
      </c>
      <c r="O34" s="19">
        <v>1</v>
      </c>
      <c r="P34" s="40">
        <f t="shared" si="42"/>
        <v>4</v>
      </c>
      <c r="Q34" s="43">
        <v>0</v>
      </c>
      <c r="R34" s="43">
        <v>7</v>
      </c>
      <c r="S34" s="40">
        <f t="shared" si="43"/>
        <v>7</v>
      </c>
      <c r="T34" s="19">
        <v>8</v>
      </c>
      <c r="U34" s="41">
        <f t="shared" si="44"/>
        <v>8</v>
      </c>
      <c r="V34" s="25">
        <f t="shared" si="45"/>
        <v>3</v>
      </c>
      <c r="W34" s="18">
        <v>18</v>
      </c>
      <c r="X34" s="18">
        <v>24</v>
      </c>
      <c r="Y34" s="19">
        <v>1</v>
      </c>
      <c r="Z34" s="40">
        <f t="shared" si="46"/>
        <v>5</v>
      </c>
      <c r="AA34" s="18">
        <v>0</v>
      </c>
      <c r="AB34" s="43">
        <v>9</v>
      </c>
      <c r="AC34" s="40">
        <f t="shared" si="47"/>
        <v>9</v>
      </c>
      <c r="AD34" s="19">
        <v>8</v>
      </c>
      <c r="AE34" s="41">
        <f t="shared" si="48"/>
        <v>8</v>
      </c>
      <c r="AF34" s="25">
        <f t="shared" si="49"/>
        <v>6</v>
      </c>
      <c r="AG34" s="69"/>
      <c r="AH34" s="178">
        <v>0</v>
      </c>
      <c r="AI34" s="179">
        <f>+K12+(IF(ISBLANK($K$5),-8,0))</f>
        <v>0</v>
      </c>
      <c r="AJ34" s="179">
        <f>IF(ISBLANK($U$5),-8,0)+U12</f>
        <v>0</v>
      </c>
      <c r="AK34" s="179">
        <f>IF(ISBLANK($AE$5),-8,0)+AE12</f>
        <v>0.5</v>
      </c>
      <c r="AL34" s="179">
        <f t="shared" si="50"/>
        <v>0</v>
      </c>
      <c r="AM34" s="179">
        <f t="shared" si="51"/>
        <v>0</v>
      </c>
      <c r="AN34" s="179">
        <f t="shared" si="52"/>
        <v>0</v>
      </c>
      <c r="AO34" s="179">
        <f t="shared" si="53"/>
        <v>0</v>
      </c>
      <c r="AP34" s="180">
        <f t="shared" si="54"/>
        <v>0.5</v>
      </c>
      <c r="AQ34" s="69"/>
      <c r="AR34" s="919">
        <f>+X74*Q74</f>
        <v>2.3357142857142961</v>
      </c>
      <c r="AS34" s="920"/>
      <c r="AT34" s="181">
        <f>IF(K12+L12&gt;0,1,0)+IF(U12+V12&gt;0,1,0)+IF(AE12+AF12&gt;0,1,0)+IF(AO12&gt;3,1,0)+IF(K34+L34&gt;0,1,0)+IF(U34+V34&gt;0,1,0)+IF(AE34+AF34&gt;0,1,0)</f>
        <v>6</v>
      </c>
      <c r="AU34" s="69"/>
      <c r="AV34" s="69"/>
      <c r="AW34" s="921"/>
      <c r="AX34" s="922"/>
    </row>
    <row r="35" spans="1:57" ht="14.1" customHeight="1">
      <c r="B35" s="559" t="str">
        <f t="shared" si="37"/>
        <v>Juan Manrique V.</v>
      </c>
      <c r="C35" s="17">
        <v>7</v>
      </c>
      <c r="D35" s="18">
        <v>18</v>
      </c>
      <c r="E35" s="19">
        <v>1</v>
      </c>
      <c r="F35" s="40">
        <f t="shared" si="38"/>
        <v>10</v>
      </c>
      <c r="G35" s="43"/>
      <c r="H35" s="43"/>
      <c r="I35" s="40">
        <f t="shared" si="39"/>
        <v>0</v>
      </c>
      <c r="J35" s="19"/>
      <c r="K35" s="41">
        <f t="shared" si="40"/>
        <v>8</v>
      </c>
      <c r="L35" s="25">
        <f t="shared" si="41"/>
        <v>2</v>
      </c>
      <c r="M35" s="43">
        <v>7</v>
      </c>
      <c r="N35" s="18">
        <v>17</v>
      </c>
      <c r="O35" s="19">
        <v>1</v>
      </c>
      <c r="P35" s="40">
        <f t="shared" si="42"/>
        <v>9</v>
      </c>
      <c r="Q35" s="117"/>
      <c r="R35" s="189"/>
      <c r="S35" s="40">
        <f t="shared" si="43"/>
        <v>0</v>
      </c>
      <c r="T35" s="19"/>
      <c r="U35" s="41">
        <f t="shared" si="44"/>
        <v>8</v>
      </c>
      <c r="V35" s="25">
        <f t="shared" si="45"/>
        <v>1</v>
      </c>
      <c r="W35" s="18">
        <v>8</v>
      </c>
      <c r="X35" s="18">
        <v>17</v>
      </c>
      <c r="Y35" s="19">
        <v>1</v>
      </c>
      <c r="Z35" s="40">
        <f t="shared" si="46"/>
        <v>8</v>
      </c>
      <c r="AA35" s="18"/>
      <c r="AB35" s="18"/>
      <c r="AC35" s="40">
        <f t="shared" si="47"/>
        <v>0</v>
      </c>
      <c r="AD35" s="19"/>
      <c r="AE35" s="41">
        <f t="shared" si="48"/>
        <v>8</v>
      </c>
      <c r="AF35" s="25">
        <f t="shared" si="49"/>
        <v>0</v>
      </c>
      <c r="AG35" s="69"/>
      <c r="AH35" s="178">
        <v>0</v>
      </c>
      <c r="AI35" s="179">
        <f>+K13+(IF(ISBLANK($K$5),-8,0))</f>
        <v>0</v>
      </c>
      <c r="AJ35" s="179">
        <f>IF(ISBLANK($U$5),-8,0)+U13</f>
        <v>0</v>
      </c>
      <c r="AK35" s="179">
        <f>IF(ISBLANK($AE$5),-8,0)+AE13</f>
        <v>-8</v>
      </c>
      <c r="AL35" s="179">
        <f t="shared" si="50"/>
        <v>0</v>
      </c>
      <c r="AM35" s="179">
        <f t="shared" si="51"/>
        <v>0</v>
      </c>
      <c r="AN35" s="179">
        <f t="shared" si="52"/>
        <v>0</v>
      </c>
      <c r="AO35" s="179">
        <f t="shared" si="53"/>
        <v>0</v>
      </c>
      <c r="AP35" s="180">
        <f t="shared" si="54"/>
        <v>-8</v>
      </c>
      <c r="AQ35" s="69"/>
      <c r="AR35" s="919">
        <f>+X75*Q75</f>
        <v>0</v>
      </c>
      <c r="AS35" s="920"/>
      <c r="AT35" s="187">
        <f>IF(K13+L13&gt;0,1,0)+IF(U13+V13&gt;0,1,0)+IF(AE13+AF13&gt;0,1,0)+IF(AO13&gt;3,1,0)+IF(K35+L35&gt;0,1,0)+IF(U35+V35&gt;0,1,0)+IF(AE35+AF35&gt;0,1,0)</f>
        <v>5</v>
      </c>
      <c r="AU35" s="69"/>
      <c r="AV35" s="69"/>
      <c r="AW35" s="926"/>
      <c r="AX35" s="927"/>
      <c r="AZ35" s="182"/>
      <c r="BD35" s="182"/>
    </row>
    <row r="36" spans="1:57" ht="14.1" customHeight="1">
      <c r="B36" s="190" t="str">
        <f t="shared" si="37"/>
        <v xml:space="preserve"> Irving Huaringa B.</v>
      </c>
      <c r="C36" s="17">
        <v>7</v>
      </c>
      <c r="D36" s="18">
        <v>16</v>
      </c>
      <c r="E36" s="19">
        <v>1</v>
      </c>
      <c r="F36" s="40">
        <f>+D36-C36-E36</f>
        <v>8</v>
      </c>
      <c r="G36" s="43"/>
      <c r="H36" s="43"/>
      <c r="I36" s="40">
        <f>+H36-G36</f>
        <v>0</v>
      </c>
      <c r="J36" s="19"/>
      <c r="K36" s="41">
        <f>+I36+F36-L36</f>
        <v>8</v>
      </c>
      <c r="L36" s="25">
        <f t="shared" si="41"/>
        <v>0</v>
      </c>
      <c r="M36" s="43">
        <v>7</v>
      </c>
      <c r="N36" s="18">
        <v>16</v>
      </c>
      <c r="O36" s="19">
        <v>1</v>
      </c>
      <c r="P36" s="40">
        <f>+N36-M36-O36</f>
        <v>8</v>
      </c>
      <c r="Q36" s="117"/>
      <c r="R36" s="189"/>
      <c r="S36" s="40">
        <f>+R36-Q36</f>
        <v>0</v>
      </c>
      <c r="T36" s="19"/>
      <c r="U36" s="41">
        <f>+S36+P36-V36</f>
        <v>8</v>
      </c>
      <c r="V36" s="25">
        <f t="shared" si="45"/>
        <v>0</v>
      </c>
      <c r="W36" s="18">
        <v>8</v>
      </c>
      <c r="X36" s="18">
        <v>16</v>
      </c>
      <c r="Y36" s="19">
        <v>1</v>
      </c>
      <c r="Z36" s="40">
        <f>+X36-W36-Y36</f>
        <v>7</v>
      </c>
      <c r="AA36" s="18"/>
      <c r="AB36" s="18"/>
      <c r="AC36" s="40">
        <f t="shared" si="47"/>
        <v>0</v>
      </c>
      <c r="AD36" s="19"/>
      <c r="AE36" s="41">
        <f>+AC36+Z36-AF36</f>
        <v>8</v>
      </c>
      <c r="AF36" s="25">
        <f t="shared" si="49"/>
        <v>-1</v>
      </c>
      <c r="AG36" s="69"/>
      <c r="AH36" s="178">
        <v>0</v>
      </c>
      <c r="AI36" s="179">
        <f>+K14+(IF(ISBLANK($K$5),-8,0))</f>
        <v>0</v>
      </c>
      <c r="AJ36" s="179">
        <f>IF(ISBLANK($U$5),-8,0)+U14</f>
        <v>0</v>
      </c>
      <c r="AK36" s="191">
        <f>IF(ISBLANK($AE$5),-5,0)+AE14</f>
        <v>0</v>
      </c>
      <c r="AL36" s="179">
        <f t="shared" si="50"/>
        <v>0</v>
      </c>
      <c r="AM36" s="192">
        <f t="shared" si="51"/>
        <v>0</v>
      </c>
      <c r="AN36" s="192">
        <f t="shared" si="52"/>
        <v>0</v>
      </c>
      <c r="AO36" s="192">
        <f t="shared" si="53"/>
        <v>0</v>
      </c>
      <c r="AP36" s="180">
        <f>SUM(AH36:AO36)</f>
        <v>0</v>
      </c>
      <c r="AQ36" s="69"/>
      <c r="AR36" s="919">
        <f t="shared" ref="AR36:AR46" si="55">+X76*Q76</f>
        <v>0</v>
      </c>
      <c r="AS36" s="920"/>
      <c r="AT36" s="187">
        <f>IF(K14+L14&gt;0,1,0)+IF(U14+V14&gt;0,1,0)+IF(AE14+AF14&gt;0,1,0)+IF(AO14&gt;3,1,0)+IF(K36+L36&gt;0,1,0)+IF(U36+V36&gt;0,1,0)+IF(AE36+AF36&gt;0,1,0)</f>
        <v>6</v>
      </c>
      <c r="AU36" s="69"/>
      <c r="AV36" s="69"/>
      <c r="AW36" s="921"/>
      <c r="AX36" s="922"/>
    </row>
    <row r="37" spans="1:57" ht="14.1" customHeight="1">
      <c r="B37" s="39" t="str">
        <f t="shared" si="37"/>
        <v>Pier Alejos A.</v>
      </c>
      <c r="C37" s="56"/>
      <c r="D37" s="43"/>
      <c r="E37" s="54"/>
      <c r="F37" s="53">
        <f>+D37-C37-E37</f>
        <v>0</v>
      </c>
      <c r="G37" s="43"/>
      <c r="H37" s="228"/>
      <c r="I37" s="53">
        <f>+H37-G37</f>
        <v>0</v>
      </c>
      <c r="J37" s="54"/>
      <c r="K37" s="55">
        <f>+I37+F37-L37</f>
        <v>0</v>
      </c>
      <c r="L37" s="135">
        <f>IF(C37&gt;0,(F37+I37)+IF(K$27&gt;0,F37,-8),0)+IF(U$27&gt;0,I37,0)</f>
        <v>0</v>
      </c>
      <c r="M37" s="56">
        <v>7</v>
      </c>
      <c r="N37" s="201">
        <v>18</v>
      </c>
      <c r="O37" s="54">
        <v>1</v>
      </c>
      <c r="P37" s="53">
        <f>+N37-M37-O37</f>
        <v>10</v>
      </c>
      <c r="Q37" s="117"/>
      <c r="R37" s="226"/>
      <c r="S37" s="53">
        <f>+R37-Q37</f>
        <v>0</v>
      </c>
      <c r="T37" s="54"/>
      <c r="U37" s="55">
        <f>+S37+P37-V37</f>
        <v>8</v>
      </c>
      <c r="V37" s="135">
        <f>IF(M37&gt;0,(P37+S37)+IF(U$27&gt;0,P37,-8),0)+IF(AE$27&gt;0,S37,0)</f>
        <v>2</v>
      </c>
      <c r="W37" s="56">
        <v>7</v>
      </c>
      <c r="X37" s="43">
        <v>16</v>
      </c>
      <c r="Y37" s="54">
        <v>1</v>
      </c>
      <c r="Z37" s="53">
        <f>+X37-W37-Y37</f>
        <v>8</v>
      </c>
      <c r="AA37" s="43"/>
      <c r="AB37" s="64"/>
      <c r="AC37" s="53">
        <f>+AB37-AA37</f>
        <v>0</v>
      </c>
      <c r="AD37" s="54"/>
      <c r="AE37" s="55">
        <f>+AC37+Z37-AF37</f>
        <v>8</v>
      </c>
      <c r="AF37" s="135">
        <f>IF(W37&gt;0,(Z37+AC37)+IF(AE$27&gt;0,0+Z37,-8),0)</f>
        <v>0</v>
      </c>
      <c r="AG37" s="69"/>
      <c r="AH37" s="178">
        <v>0</v>
      </c>
      <c r="AI37" s="179">
        <f>+K15+(IF(ISBLANK($K$5),-8,0))</f>
        <v>0</v>
      </c>
      <c r="AJ37" s="179">
        <f>IF(ISBLANK($U$5),-8,0)+U15</f>
        <v>0</v>
      </c>
      <c r="AK37" s="179">
        <f>IF(ISBLANK($AE$5),-8,0)+AE15</f>
        <v>0</v>
      </c>
      <c r="AL37" s="179">
        <f t="shared" si="50"/>
        <v>0</v>
      </c>
      <c r="AM37" s="179">
        <f>IF(ISBLANK($K$27),-8,0)+K37</f>
        <v>-8</v>
      </c>
      <c r="AN37" s="179">
        <f>IF(ISBLANK($U$27),-8,0)+U37</f>
        <v>0</v>
      </c>
      <c r="AO37" s="179">
        <f>IF(ISBLANK($AE$27),-8,0)+AE37</f>
        <v>0</v>
      </c>
      <c r="AP37" s="180">
        <f>SUM(AH37:AO37)</f>
        <v>-8</v>
      </c>
      <c r="AQ37" s="69"/>
      <c r="AR37" s="919">
        <f t="shared" si="55"/>
        <v>0</v>
      </c>
      <c r="AS37" s="920"/>
      <c r="AT37" s="230">
        <f>IF(K15+L15&gt;0,1,0)+IF(U15+V15&gt;0,1,0)+IF(AE15+AF15&gt;0,1,0)+IF(AO15&gt;3,1,0)+IF(K37+L37&gt;0,1,0)+IF(U37+V37&gt;0,1,0)+IF(AE37+AF37&gt;0,1,0)</f>
        <v>5</v>
      </c>
      <c r="AU37" s="69"/>
      <c r="AV37" s="69"/>
      <c r="AW37" s="921"/>
      <c r="AX37" s="922"/>
    </row>
    <row r="38" spans="1:57" s="84" customFormat="1" ht="14.1" customHeight="1">
      <c r="A38" s="70"/>
      <c r="B38" s="560" t="str">
        <f t="shared" si="37"/>
        <v>Eduardo Marmoles</v>
      </c>
      <c r="C38" s="72">
        <v>7</v>
      </c>
      <c r="D38" s="73">
        <v>17</v>
      </c>
      <c r="E38" s="74">
        <v>1</v>
      </c>
      <c r="F38" s="75">
        <f t="shared" si="38"/>
        <v>9</v>
      </c>
      <c r="G38" s="78"/>
      <c r="H38" s="43"/>
      <c r="I38" s="75">
        <f t="shared" si="39"/>
        <v>0</v>
      </c>
      <c r="J38" s="74"/>
      <c r="K38" s="76">
        <f t="shared" si="40"/>
        <v>8</v>
      </c>
      <c r="L38" s="77">
        <f t="shared" si="41"/>
        <v>1</v>
      </c>
      <c r="M38" s="78">
        <v>7</v>
      </c>
      <c r="N38" s="73">
        <v>17</v>
      </c>
      <c r="O38" s="74">
        <v>1</v>
      </c>
      <c r="P38" s="75">
        <f t="shared" si="42"/>
        <v>9</v>
      </c>
      <c r="Q38" s="193"/>
      <c r="R38" s="186"/>
      <c r="S38" s="75">
        <f t="shared" si="43"/>
        <v>0</v>
      </c>
      <c r="T38" s="74"/>
      <c r="U38" s="76">
        <f t="shared" si="44"/>
        <v>8</v>
      </c>
      <c r="V38" s="77">
        <f t="shared" si="45"/>
        <v>1</v>
      </c>
      <c r="W38" s="73">
        <v>7</v>
      </c>
      <c r="X38" s="73">
        <v>17</v>
      </c>
      <c r="Y38" s="74">
        <v>1</v>
      </c>
      <c r="Z38" s="75">
        <f t="shared" si="46"/>
        <v>9</v>
      </c>
      <c r="AA38" s="73"/>
      <c r="AB38" s="78"/>
      <c r="AC38" s="75">
        <f t="shared" si="47"/>
        <v>0</v>
      </c>
      <c r="AD38" s="74"/>
      <c r="AE38" s="76">
        <f t="shared" si="48"/>
        <v>8</v>
      </c>
      <c r="AF38" s="77">
        <f t="shared" si="49"/>
        <v>1</v>
      </c>
      <c r="AG38" s="194"/>
      <c r="AH38" s="195">
        <v>0</v>
      </c>
      <c r="AI38" s="196">
        <f t="shared" ref="AI38:AI40" si="56">+K16+(IF(ISBLANK($K$5),-8,0))</f>
        <v>0</v>
      </c>
      <c r="AJ38" s="196">
        <f t="shared" ref="AJ38:AJ40" si="57">IF(ISBLANK($U$5),-8,0)+U16</f>
        <v>0</v>
      </c>
      <c r="AK38" s="196">
        <f>IF(ISBLANK($AE$5),-8,0)+AE16</f>
        <v>0</v>
      </c>
      <c r="AL38" s="196">
        <f t="shared" si="50"/>
        <v>0</v>
      </c>
      <c r="AM38" s="196">
        <f t="shared" si="51"/>
        <v>0</v>
      </c>
      <c r="AN38" s="196">
        <f t="shared" si="52"/>
        <v>0</v>
      </c>
      <c r="AO38" s="196">
        <f t="shared" si="53"/>
        <v>0</v>
      </c>
      <c r="AP38" s="197">
        <f t="shared" si="54"/>
        <v>0</v>
      </c>
      <c r="AQ38" s="194"/>
      <c r="AR38" s="1194">
        <f t="shared" si="55"/>
        <v>0</v>
      </c>
      <c r="AS38" s="1195"/>
      <c r="AT38" s="562">
        <v>0</v>
      </c>
      <c r="AU38" s="194"/>
      <c r="AV38" s="194"/>
      <c r="AW38" s="1196">
        <v>-16</v>
      </c>
      <c r="AX38" s="1197"/>
      <c r="AZ38" s="199"/>
    </row>
    <row r="39" spans="1:57" ht="14.1" customHeight="1">
      <c r="B39" s="91" t="str">
        <f t="shared" si="37"/>
        <v>Jose Cortez P.</v>
      </c>
      <c r="C39" s="92">
        <v>7</v>
      </c>
      <c r="D39" s="92">
        <v>18</v>
      </c>
      <c r="E39" s="92">
        <v>1</v>
      </c>
      <c r="F39" s="93">
        <f>+D39-C39-E39</f>
        <v>10</v>
      </c>
      <c r="G39" s="43"/>
      <c r="H39" s="43"/>
      <c r="I39" s="93">
        <f>+H39-G39</f>
        <v>0</v>
      </c>
      <c r="J39" s="92"/>
      <c r="K39" s="41">
        <f>+I39+F39-L39</f>
        <v>8</v>
      </c>
      <c r="L39" s="94">
        <f t="shared" si="41"/>
        <v>2</v>
      </c>
      <c r="M39" s="92">
        <v>7</v>
      </c>
      <c r="N39" s="92">
        <v>18</v>
      </c>
      <c r="O39" s="92">
        <v>1</v>
      </c>
      <c r="P39" s="93">
        <f>+N39-M39-O39</f>
        <v>10</v>
      </c>
      <c r="Q39" s="200"/>
      <c r="R39" s="189"/>
      <c r="S39" s="93">
        <f>+R39-Q39</f>
        <v>0</v>
      </c>
      <c r="T39" s="92"/>
      <c r="U39" s="41">
        <f>+S39+P39-V39</f>
        <v>8</v>
      </c>
      <c r="V39" s="94">
        <f t="shared" si="45"/>
        <v>2</v>
      </c>
      <c r="W39" s="92">
        <v>7</v>
      </c>
      <c r="X39" s="92">
        <v>16</v>
      </c>
      <c r="Y39" s="201">
        <v>1</v>
      </c>
      <c r="Z39" s="202">
        <f>+X39-W39-Y39</f>
        <v>8</v>
      </c>
      <c r="AA39" s="18"/>
      <c r="AB39" s="43"/>
      <c r="AC39" s="53">
        <f t="shared" si="47"/>
        <v>0</v>
      </c>
      <c r="AD39" s="19"/>
      <c r="AE39" s="41">
        <f>+AC39+Z39-AF39</f>
        <v>8</v>
      </c>
      <c r="AF39" s="25">
        <f t="shared" si="49"/>
        <v>0</v>
      </c>
      <c r="AG39" s="69"/>
      <c r="AH39" s="203">
        <v>0</v>
      </c>
      <c r="AI39" s="204">
        <f t="shared" si="56"/>
        <v>0</v>
      </c>
      <c r="AJ39" s="205">
        <f t="shared" si="57"/>
        <v>0</v>
      </c>
      <c r="AK39" s="205">
        <f>IF(ISBLANK($AE$5),-8,0)+AE17</f>
        <v>0</v>
      </c>
      <c r="AL39" s="179">
        <f t="shared" si="50"/>
        <v>0</v>
      </c>
      <c r="AM39" s="205">
        <f t="shared" si="51"/>
        <v>0</v>
      </c>
      <c r="AN39" s="205">
        <f t="shared" si="52"/>
        <v>0</v>
      </c>
      <c r="AO39" s="205">
        <f t="shared" si="53"/>
        <v>0</v>
      </c>
      <c r="AP39" s="206">
        <f>SUM(AH39:AO39)</f>
        <v>0</v>
      </c>
      <c r="AQ39" s="69"/>
      <c r="AR39" s="919">
        <f t="shared" si="55"/>
        <v>0</v>
      </c>
      <c r="AS39" s="920"/>
      <c r="AT39" s="561">
        <f t="shared" ref="AT39:AT47" si="58">IF(K17+L17&gt;0,1,0)+IF(U17+V17&gt;0,1,0)+IF(AE17+AF17&gt;0,1,0)+IF(AO17&gt;3,1,0)+IF(K39+L39&gt;0,1,0)+IF(U39+V39&gt;0,1,0)+IF(AE39+AF39&gt;0,1,0)</f>
        <v>6</v>
      </c>
      <c r="AU39" s="69"/>
      <c r="AV39" s="69"/>
      <c r="AW39" s="923"/>
      <c r="AX39" s="924"/>
    </row>
    <row r="40" spans="1:57" ht="14.1" customHeight="1">
      <c r="B40" s="91" t="str">
        <f t="shared" si="37"/>
        <v>Rafael Armas R.</v>
      </c>
      <c r="C40" s="102">
        <v>7</v>
      </c>
      <c r="D40" s="102">
        <v>24</v>
      </c>
      <c r="E40" s="102">
        <v>2</v>
      </c>
      <c r="F40" s="143">
        <f>+D40-C40-E40</f>
        <v>15</v>
      </c>
      <c r="G40" s="144">
        <v>0</v>
      </c>
      <c r="H40" s="43">
        <v>8</v>
      </c>
      <c r="I40" s="143">
        <f>+H40-G40</f>
        <v>8</v>
      </c>
      <c r="J40" s="102">
        <v>8</v>
      </c>
      <c r="K40" s="41">
        <f>+I40+F40-L40</f>
        <v>8</v>
      </c>
      <c r="L40" s="147">
        <f t="shared" si="41"/>
        <v>15</v>
      </c>
      <c r="M40" s="92">
        <v>18</v>
      </c>
      <c r="N40" s="92">
        <v>24</v>
      </c>
      <c r="O40" s="201">
        <v>1</v>
      </c>
      <c r="P40" s="202">
        <f>+N40-M40-O40</f>
        <v>5</v>
      </c>
      <c r="Q40" s="201">
        <v>0</v>
      </c>
      <c r="R40" s="43">
        <v>7</v>
      </c>
      <c r="S40" s="202">
        <f>+R40-Q40</f>
        <v>7</v>
      </c>
      <c r="T40" s="201">
        <v>8</v>
      </c>
      <c r="U40" s="41">
        <f>+S40+P40-V40</f>
        <v>8</v>
      </c>
      <c r="V40" s="209">
        <f t="shared" si="45"/>
        <v>4</v>
      </c>
      <c r="W40" s="201">
        <v>18</v>
      </c>
      <c r="X40" s="201">
        <v>24</v>
      </c>
      <c r="Y40" s="201">
        <v>1</v>
      </c>
      <c r="Z40" s="202">
        <f>+X40-W40-Y40</f>
        <v>5</v>
      </c>
      <c r="AA40" s="201">
        <v>0</v>
      </c>
      <c r="AB40" s="43">
        <v>9</v>
      </c>
      <c r="AC40" s="202">
        <f t="shared" si="47"/>
        <v>9</v>
      </c>
      <c r="AD40" s="201">
        <v>8</v>
      </c>
      <c r="AE40" s="41">
        <f>+AC40+Z40-AF40</f>
        <v>8</v>
      </c>
      <c r="AF40" s="209">
        <f t="shared" si="49"/>
        <v>6</v>
      </c>
      <c r="AG40" s="69"/>
      <c r="AH40" s="210">
        <v>0</v>
      </c>
      <c r="AI40" s="179">
        <f t="shared" si="56"/>
        <v>0</v>
      </c>
      <c r="AJ40" s="179">
        <f t="shared" si="57"/>
        <v>0</v>
      </c>
      <c r="AK40" s="211">
        <f>IF(ISBLANK($AE$5),-8,0)+AE18</f>
        <v>0</v>
      </c>
      <c r="AL40" s="179">
        <f t="shared" si="50"/>
        <v>0</v>
      </c>
      <c r="AM40" s="179">
        <f t="shared" si="51"/>
        <v>0</v>
      </c>
      <c r="AN40" s="179">
        <f t="shared" si="52"/>
        <v>0</v>
      </c>
      <c r="AO40" s="179">
        <f t="shared" si="53"/>
        <v>0</v>
      </c>
      <c r="AP40" s="180">
        <f>SUM(AH40:AO40)</f>
        <v>0</v>
      </c>
      <c r="AQ40" s="69"/>
      <c r="AR40" s="919">
        <f t="shared" si="55"/>
        <v>32.549914285714287</v>
      </c>
      <c r="AS40" s="920"/>
      <c r="AT40" s="207">
        <f t="shared" si="58"/>
        <v>7</v>
      </c>
      <c r="AU40" s="69"/>
      <c r="AV40" s="69"/>
      <c r="AW40" s="921">
        <v>-16</v>
      </c>
      <c r="AX40" s="922"/>
    </row>
    <row r="41" spans="1:57" s="116" customFormat="1" ht="14.1" customHeight="1">
      <c r="A41" s="212"/>
      <c r="B41" s="91" t="str">
        <f t="shared" si="37"/>
        <v>Jose Ochoa I.</v>
      </c>
      <c r="C41" s="102">
        <v>7</v>
      </c>
      <c r="D41" s="102">
        <v>17</v>
      </c>
      <c r="E41" s="102">
        <v>1</v>
      </c>
      <c r="F41" s="143">
        <f>+D41-C41-E41</f>
        <v>9</v>
      </c>
      <c r="G41" s="144"/>
      <c r="H41" s="43"/>
      <c r="I41" s="143">
        <f>+H41-G41</f>
        <v>0</v>
      </c>
      <c r="J41" s="102"/>
      <c r="K41" s="41">
        <f>+I41+F41-L41</f>
        <v>8</v>
      </c>
      <c r="L41" s="147">
        <f t="shared" si="41"/>
        <v>1</v>
      </c>
      <c r="M41" s="213">
        <v>7</v>
      </c>
      <c r="N41" s="201">
        <v>17</v>
      </c>
      <c r="O41" s="201">
        <v>1</v>
      </c>
      <c r="P41" s="202">
        <f>+N41-M41-O41</f>
        <v>9</v>
      </c>
      <c r="Q41" s="214"/>
      <c r="R41" s="189"/>
      <c r="S41" s="202">
        <f>+R41-Q41</f>
        <v>0</v>
      </c>
      <c r="T41" s="201"/>
      <c r="U41" s="41">
        <f>+S41+P41-V41</f>
        <v>8</v>
      </c>
      <c r="V41" s="209">
        <f t="shared" si="45"/>
        <v>1</v>
      </c>
      <c r="W41" s="201">
        <v>7</v>
      </c>
      <c r="X41" s="201">
        <v>17</v>
      </c>
      <c r="Y41" s="201">
        <v>1</v>
      </c>
      <c r="Z41" s="202">
        <f>+X41-W41-Y41</f>
        <v>9</v>
      </c>
      <c r="AA41" s="201"/>
      <c r="AB41" s="215"/>
      <c r="AC41" s="202">
        <f t="shared" si="47"/>
        <v>0</v>
      </c>
      <c r="AD41" s="201"/>
      <c r="AE41" s="41">
        <f>+AC41+Z41-AF41</f>
        <v>8</v>
      </c>
      <c r="AF41" s="209">
        <f t="shared" si="49"/>
        <v>1</v>
      </c>
      <c r="AG41" s="69"/>
      <c r="AH41" s="216">
        <v>0</v>
      </c>
      <c r="AI41" s="217">
        <f>+K22+(IF(ISBLANK($K$5),-8,0))</f>
        <v>-8</v>
      </c>
      <c r="AJ41" s="217">
        <f>IF(ISBLANK($U$5),-8,0)+U22</f>
        <v>-8</v>
      </c>
      <c r="AK41" s="217">
        <f>IF(ISBLANK($AE$5),-8,0)+AE22</f>
        <v>-8</v>
      </c>
      <c r="AL41" s="217">
        <f t="shared" si="50"/>
        <v>0</v>
      </c>
      <c r="AM41" s="217">
        <f t="shared" si="51"/>
        <v>0</v>
      </c>
      <c r="AN41" s="217">
        <f t="shared" si="52"/>
        <v>0</v>
      </c>
      <c r="AO41" s="217">
        <f t="shared" si="53"/>
        <v>0</v>
      </c>
      <c r="AP41" s="218">
        <f>SUM(AH41:AO41)</f>
        <v>-24</v>
      </c>
      <c r="AQ41" s="69"/>
      <c r="AR41" s="919">
        <f t="shared" si="55"/>
        <v>0</v>
      </c>
      <c r="AS41" s="920"/>
      <c r="AT41" s="207">
        <f t="shared" si="58"/>
        <v>7</v>
      </c>
      <c r="AU41" s="69"/>
      <c r="AV41" s="69"/>
      <c r="AW41" s="930">
        <v>-16</v>
      </c>
      <c r="AX41" s="931"/>
    </row>
    <row r="42" spans="1:57" s="116" customFormat="1" ht="14.1" customHeight="1">
      <c r="A42" s="212"/>
      <c r="B42" s="91" t="str">
        <f t="shared" si="37"/>
        <v>Jairo Mirabal</v>
      </c>
      <c r="C42" s="102">
        <v>7</v>
      </c>
      <c r="D42" s="102">
        <v>16</v>
      </c>
      <c r="E42" s="102">
        <v>1</v>
      </c>
      <c r="F42" s="143">
        <f>+D42-C42-E42</f>
        <v>8</v>
      </c>
      <c r="G42" s="144"/>
      <c r="H42" s="43"/>
      <c r="I42" s="143">
        <f>+H42-G42</f>
        <v>0</v>
      </c>
      <c r="J42" s="102"/>
      <c r="K42" s="41">
        <f>+I42+F42-L42</f>
        <v>8</v>
      </c>
      <c r="L42" s="147">
        <f t="shared" si="41"/>
        <v>0</v>
      </c>
      <c r="M42" s="213"/>
      <c r="N42" s="201"/>
      <c r="O42" s="201"/>
      <c r="P42" s="202">
        <f>+N42-M42-O42</f>
        <v>0</v>
      </c>
      <c r="Q42" s="214"/>
      <c r="R42" s="189"/>
      <c r="S42" s="202">
        <f>+R42-Q42</f>
        <v>0</v>
      </c>
      <c r="T42" s="201"/>
      <c r="U42" s="41">
        <f>+S42+P42-V42</f>
        <v>0</v>
      </c>
      <c r="V42" s="209">
        <f t="shared" si="45"/>
        <v>0</v>
      </c>
      <c r="W42" s="201">
        <v>7</v>
      </c>
      <c r="X42" s="201">
        <v>16</v>
      </c>
      <c r="Y42" s="201">
        <v>1</v>
      </c>
      <c r="Z42" s="202">
        <f>+X42-W42-Y42</f>
        <v>8</v>
      </c>
      <c r="AA42" s="201"/>
      <c r="AB42" s="219"/>
      <c r="AC42" s="202">
        <f t="shared" si="47"/>
        <v>0</v>
      </c>
      <c r="AD42" s="201"/>
      <c r="AE42" s="41">
        <f>+AC42+Z42-AF42</f>
        <v>8</v>
      </c>
      <c r="AF42" s="209">
        <f t="shared" si="49"/>
        <v>0</v>
      </c>
      <c r="AG42" s="69"/>
      <c r="AH42" s="216">
        <v>0</v>
      </c>
      <c r="AI42" s="217">
        <f>+K19+(IF(ISBLANK($K$5),-8,0))</f>
        <v>0</v>
      </c>
      <c r="AJ42" s="217">
        <f>IF(ISBLANK($U$5),-8,0)+U19</f>
        <v>0</v>
      </c>
      <c r="AK42" s="217">
        <f>IF(ISBLANK($AE$5),-8,0)+AE19</f>
        <v>0</v>
      </c>
      <c r="AL42" s="217">
        <f t="shared" si="50"/>
        <v>0</v>
      </c>
      <c r="AM42" s="217">
        <f t="shared" si="51"/>
        <v>0</v>
      </c>
      <c r="AN42" s="217">
        <f t="shared" si="52"/>
        <v>-8</v>
      </c>
      <c r="AO42" s="217">
        <f t="shared" si="53"/>
        <v>0</v>
      </c>
      <c r="AP42" s="218">
        <f>SUM(AH42:AO42)</f>
        <v>-8</v>
      </c>
      <c r="AQ42" s="69"/>
      <c r="AR42" s="928">
        <f t="shared" si="55"/>
        <v>0</v>
      </c>
      <c r="AS42" s="929"/>
      <c r="AT42" s="207">
        <f t="shared" si="58"/>
        <v>6</v>
      </c>
      <c r="AU42" s="69"/>
      <c r="AV42" s="69"/>
      <c r="AW42" s="930">
        <v>-16</v>
      </c>
      <c r="AX42" s="931"/>
    </row>
    <row r="43" spans="1:57" ht="14.1" customHeight="1" thickBot="1">
      <c r="B43" s="118" t="str">
        <f t="shared" si="37"/>
        <v>Pedro Hostos S.</v>
      </c>
      <c r="C43" s="119">
        <v>7</v>
      </c>
      <c r="D43" s="119">
        <v>16</v>
      </c>
      <c r="E43" s="119">
        <v>1</v>
      </c>
      <c r="F43" s="120">
        <f t="shared" si="38"/>
        <v>8</v>
      </c>
      <c r="G43" s="121"/>
      <c r="H43" s="121"/>
      <c r="I43" s="120">
        <f t="shared" si="39"/>
        <v>0</v>
      </c>
      <c r="J43" s="119"/>
      <c r="K43" s="120">
        <f t="shared" si="40"/>
        <v>8</v>
      </c>
      <c r="L43" s="122">
        <f t="shared" si="41"/>
        <v>0</v>
      </c>
      <c r="M43" s="119">
        <v>7</v>
      </c>
      <c r="N43" s="119">
        <v>16</v>
      </c>
      <c r="O43" s="119">
        <v>1</v>
      </c>
      <c r="P43" s="120">
        <f t="shared" si="42"/>
        <v>8</v>
      </c>
      <c r="Q43" s="121"/>
      <c r="R43" s="220"/>
      <c r="S43" s="120">
        <f t="shared" si="43"/>
        <v>0</v>
      </c>
      <c r="T43" s="119"/>
      <c r="U43" s="120">
        <f t="shared" si="44"/>
        <v>8</v>
      </c>
      <c r="V43" s="122">
        <f t="shared" si="45"/>
        <v>0</v>
      </c>
      <c r="W43" s="119">
        <v>7</v>
      </c>
      <c r="X43" s="119">
        <v>16</v>
      </c>
      <c r="Y43" s="119">
        <v>1</v>
      </c>
      <c r="Z43" s="120">
        <f t="shared" si="46"/>
        <v>8</v>
      </c>
      <c r="AA43" s="121"/>
      <c r="AB43" s="121"/>
      <c r="AC43" s="120">
        <f t="shared" si="47"/>
        <v>0</v>
      </c>
      <c r="AD43" s="119"/>
      <c r="AE43" s="120">
        <f t="shared" si="48"/>
        <v>8</v>
      </c>
      <c r="AF43" s="122">
        <f t="shared" si="49"/>
        <v>0</v>
      </c>
      <c r="AG43" s="221"/>
      <c r="AH43" s="222">
        <v>0</v>
      </c>
      <c r="AI43" s="223">
        <f>+K21+(IF(ISBLANK($K$5),-8,0))</f>
        <v>0</v>
      </c>
      <c r="AJ43" s="223">
        <f>IF(ISBLANK($U$5),-8,0)+U21</f>
        <v>0</v>
      </c>
      <c r="AK43" s="223">
        <f>IF(ISBLANK($AE$5),-8,0)+AE21</f>
        <v>0</v>
      </c>
      <c r="AL43" s="223">
        <f t="shared" si="50"/>
        <v>0</v>
      </c>
      <c r="AM43" s="223">
        <f t="shared" si="51"/>
        <v>0</v>
      </c>
      <c r="AN43" s="223">
        <f t="shared" si="52"/>
        <v>0</v>
      </c>
      <c r="AO43" s="223">
        <f t="shared" si="53"/>
        <v>0</v>
      </c>
      <c r="AP43" s="224">
        <f t="shared" si="54"/>
        <v>0</v>
      </c>
      <c r="AQ43" s="69"/>
      <c r="AR43" s="932">
        <f t="shared" si="55"/>
        <v>0</v>
      </c>
      <c r="AS43" s="933"/>
      <c r="AT43" s="225">
        <f t="shared" si="58"/>
        <v>6</v>
      </c>
      <c r="AU43" s="69"/>
      <c r="AV43" s="69"/>
      <c r="AW43" s="934"/>
      <c r="AX43" s="935"/>
    </row>
    <row r="44" spans="1:57" ht="14.1" customHeight="1" thickTop="1">
      <c r="B44" s="39" t="str">
        <f t="shared" si="37"/>
        <v>Miguel Tejada Ll.</v>
      </c>
      <c r="C44" s="56">
        <v>7</v>
      </c>
      <c r="D44" s="43">
        <v>16</v>
      </c>
      <c r="E44" s="54">
        <v>1</v>
      </c>
      <c r="F44" s="53">
        <f>+D44-C44-E44</f>
        <v>8</v>
      </c>
      <c r="G44" s="43"/>
      <c r="H44" s="22"/>
      <c r="I44" s="53">
        <f>+H44-G44</f>
        <v>0</v>
      </c>
      <c r="J44" s="54"/>
      <c r="K44" s="55">
        <f>+I44+F44-L44</f>
        <v>8</v>
      </c>
      <c r="L44" s="135">
        <f t="shared" si="41"/>
        <v>0</v>
      </c>
      <c r="M44" s="56">
        <v>7</v>
      </c>
      <c r="N44" s="43">
        <v>16</v>
      </c>
      <c r="O44" s="54">
        <v>1</v>
      </c>
      <c r="P44" s="53">
        <f>+N44-M44-O44</f>
        <v>8</v>
      </c>
      <c r="Q44" s="117"/>
      <c r="R44" s="226"/>
      <c r="S44" s="53">
        <f>+R44-Q44</f>
        <v>0</v>
      </c>
      <c r="T44" s="54"/>
      <c r="U44" s="55">
        <f>+S44+P44-V44</f>
        <v>8</v>
      </c>
      <c r="V44" s="135">
        <f t="shared" si="45"/>
        <v>0</v>
      </c>
      <c r="W44" s="56">
        <v>7</v>
      </c>
      <c r="X44" s="43">
        <v>16</v>
      </c>
      <c r="Y44" s="54">
        <v>1</v>
      </c>
      <c r="Z44" s="53">
        <f>+X44-W44-Y44</f>
        <v>8</v>
      </c>
      <c r="AA44" s="43"/>
      <c r="AB44" s="64"/>
      <c r="AC44" s="53">
        <f>+AB44-AA44</f>
        <v>0</v>
      </c>
      <c r="AD44" s="54"/>
      <c r="AE44" s="55">
        <f>+AC44+Z44-AF44</f>
        <v>8</v>
      </c>
      <c r="AF44" s="135">
        <f t="shared" si="49"/>
        <v>0</v>
      </c>
      <c r="AG44" s="69"/>
      <c r="AH44" s="178">
        <v>0</v>
      </c>
      <c r="AI44" s="179">
        <f>+K22+(IF(ISBLANK($K$5),-8,0))</f>
        <v>-8</v>
      </c>
      <c r="AJ44" s="179">
        <f>IF(ISBLANK($U$5),-8,0)+U22</f>
        <v>-8</v>
      </c>
      <c r="AK44" s="179">
        <f>IF(ISBLANK($AE$5),-8,0)+AE22</f>
        <v>-8</v>
      </c>
      <c r="AL44" s="179">
        <f t="shared" si="50"/>
        <v>0</v>
      </c>
      <c r="AM44" s="179">
        <f t="shared" si="51"/>
        <v>0</v>
      </c>
      <c r="AN44" s="179">
        <f t="shared" si="52"/>
        <v>0</v>
      </c>
      <c r="AO44" s="179">
        <f t="shared" si="53"/>
        <v>0</v>
      </c>
      <c r="AP44" s="180">
        <f t="shared" si="54"/>
        <v>-24</v>
      </c>
      <c r="AQ44" s="69"/>
      <c r="AR44" s="919">
        <f t="shared" si="55"/>
        <v>0</v>
      </c>
      <c r="AS44" s="920"/>
      <c r="AT44" s="227">
        <f t="shared" si="58"/>
        <v>3</v>
      </c>
      <c r="AU44" s="69"/>
      <c r="AV44" s="69"/>
      <c r="AW44" s="921"/>
      <c r="AX44" s="922"/>
    </row>
    <row r="45" spans="1:57" s="116" customFormat="1" ht="14.1" customHeight="1">
      <c r="A45" s="212"/>
      <c r="B45" s="142" t="str">
        <f t="shared" ref="B45:B47" si="59">+B23</f>
        <v>Angel Colina N.</v>
      </c>
      <c r="C45" s="102">
        <v>7</v>
      </c>
      <c r="D45" s="102">
        <v>18</v>
      </c>
      <c r="E45" s="102">
        <v>1</v>
      </c>
      <c r="F45" s="143">
        <f>+D45-C45-E45</f>
        <v>10</v>
      </c>
      <c r="G45" s="144"/>
      <c r="H45" s="144"/>
      <c r="I45" s="143">
        <f>+H45-G45</f>
        <v>0</v>
      </c>
      <c r="J45" s="102"/>
      <c r="K45" s="41">
        <f>+I45+F45-L45</f>
        <v>8</v>
      </c>
      <c r="L45" s="147">
        <f t="shared" si="41"/>
        <v>2</v>
      </c>
      <c r="M45" s="201">
        <v>7</v>
      </c>
      <c r="N45" s="201">
        <v>18</v>
      </c>
      <c r="O45" s="201">
        <v>1</v>
      </c>
      <c r="P45" s="202">
        <f>+N45-M45-O45</f>
        <v>10</v>
      </c>
      <c r="Q45" s="214"/>
      <c r="R45" s="189"/>
      <c r="S45" s="202">
        <f>+R45-Q45</f>
        <v>0</v>
      </c>
      <c r="T45" s="201"/>
      <c r="U45" s="41">
        <f>+S45+P45-V45</f>
        <v>8</v>
      </c>
      <c r="V45" s="209">
        <f t="shared" si="45"/>
        <v>2</v>
      </c>
      <c r="W45" s="201">
        <v>7</v>
      </c>
      <c r="X45" s="201">
        <v>16</v>
      </c>
      <c r="Y45" s="201">
        <v>1</v>
      </c>
      <c r="Z45" s="202">
        <f>+X45-W45-Y45</f>
        <v>8</v>
      </c>
      <c r="AA45" s="201"/>
      <c r="AB45" s="219"/>
      <c r="AC45" s="202">
        <f>+AB45-AA45</f>
        <v>0</v>
      </c>
      <c r="AD45" s="201"/>
      <c r="AE45" s="41">
        <f>+AC45+Z45-AF45</f>
        <v>8</v>
      </c>
      <c r="AF45" s="209">
        <f t="shared" si="49"/>
        <v>0</v>
      </c>
      <c r="AG45" s="69"/>
      <c r="AH45" s="216">
        <v>0</v>
      </c>
      <c r="AI45" s="217">
        <f>+K23+(IF(ISBLANK($K$5),-8,0))</f>
        <v>0</v>
      </c>
      <c r="AJ45" s="217">
        <f>IF(ISBLANK($U$5),-8,0)+U23</f>
        <v>0</v>
      </c>
      <c r="AK45" s="217">
        <f>IF(ISBLANK($AE$5),-8,0)+AE23</f>
        <v>0</v>
      </c>
      <c r="AL45" s="217">
        <f t="shared" si="50"/>
        <v>0</v>
      </c>
      <c r="AM45" s="217">
        <f t="shared" si="51"/>
        <v>0</v>
      </c>
      <c r="AN45" s="217">
        <f t="shared" si="52"/>
        <v>0</v>
      </c>
      <c r="AO45" s="217">
        <f t="shared" si="53"/>
        <v>0</v>
      </c>
      <c r="AP45" s="218">
        <f t="shared" si="54"/>
        <v>0</v>
      </c>
      <c r="AQ45" s="69"/>
      <c r="AR45" s="928">
        <f t="shared" si="55"/>
        <v>0</v>
      </c>
      <c r="AS45" s="929"/>
      <c r="AT45" s="207">
        <f t="shared" si="58"/>
        <v>6</v>
      </c>
      <c r="AU45" s="69"/>
      <c r="AV45" s="69"/>
      <c r="AW45" s="930"/>
      <c r="AX45" s="931"/>
    </row>
    <row r="46" spans="1:57" ht="14.1" customHeight="1">
      <c r="B46" s="142" t="str">
        <f t="shared" si="59"/>
        <v>Jose Lares P.</v>
      </c>
      <c r="C46" s="50">
        <v>7</v>
      </c>
      <c r="D46" s="51">
        <v>16</v>
      </c>
      <c r="E46" s="52">
        <v>1</v>
      </c>
      <c r="F46" s="185">
        <f t="shared" ref="F46" si="60">+D46-C46-E46</f>
        <v>8</v>
      </c>
      <c r="G46" s="51"/>
      <c r="H46" s="51"/>
      <c r="I46" s="185">
        <f t="shared" ref="I46" si="61">+H46-G46</f>
        <v>0</v>
      </c>
      <c r="J46" s="52"/>
      <c r="K46" s="106">
        <f t="shared" ref="K46" si="62">+I46+F46-L46</f>
        <v>8</v>
      </c>
      <c r="L46" s="575">
        <f t="shared" si="41"/>
        <v>0</v>
      </c>
      <c r="M46" s="51">
        <v>7</v>
      </c>
      <c r="N46" s="51">
        <v>16</v>
      </c>
      <c r="O46" s="52">
        <v>1</v>
      </c>
      <c r="P46" s="185">
        <f t="shared" ref="P46" si="63">+N46-M46-O46</f>
        <v>8</v>
      </c>
      <c r="Q46" s="576"/>
      <c r="R46" s="174"/>
      <c r="S46" s="185">
        <f t="shared" ref="S46" si="64">+R46-Q46</f>
        <v>0</v>
      </c>
      <c r="T46" s="52"/>
      <c r="U46" s="106">
        <f t="shared" ref="U46" si="65">+S46+P46-V46</f>
        <v>8</v>
      </c>
      <c r="V46" s="575">
        <f t="shared" si="45"/>
        <v>0</v>
      </c>
      <c r="W46" s="50">
        <v>7</v>
      </c>
      <c r="X46" s="51">
        <v>16</v>
      </c>
      <c r="Y46" s="52">
        <v>1</v>
      </c>
      <c r="Z46" s="185">
        <f t="shared" ref="Z46" si="66">+X46-W46-Y46</f>
        <v>8</v>
      </c>
      <c r="AA46" s="51"/>
      <c r="AB46" s="51"/>
      <c r="AC46" s="185">
        <f t="shared" ref="AC46" si="67">+AB46-AA46</f>
        <v>0</v>
      </c>
      <c r="AD46" s="52"/>
      <c r="AE46" s="106">
        <f t="shared" ref="AE46" si="68">+AC46+Z46-AF46</f>
        <v>8</v>
      </c>
      <c r="AF46" s="575">
        <f t="shared" si="49"/>
        <v>0</v>
      </c>
      <c r="AG46" s="69"/>
      <c r="AH46" s="178">
        <v>0</v>
      </c>
      <c r="AI46" s="179">
        <f t="shared" ref="AI46:AI47" si="69">+K24+(IF(ISBLANK($K$5),-8,0))</f>
        <v>-8</v>
      </c>
      <c r="AJ46" s="179">
        <f t="shared" ref="AJ46:AJ47" si="70">IF(ISBLANK($U$5),-8,0)+U24</f>
        <v>0</v>
      </c>
      <c r="AK46" s="179">
        <f t="shared" ref="AK46:AK47" si="71">IF(ISBLANK($AE$5),-8,0)+AE24</f>
        <v>0</v>
      </c>
      <c r="AL46" s="179">
        <f t="shared" si="50"/>
        <v>0</v>
      </c>
      <c r="AM46" s="179">
        <f t="shared" si="51"/>
        <v>0</v>
      </c>
      <c r="AN46" s="179">
        <f t="shared" si="52"/>
        <v>0</v>
      </c>
      <c r="AO46" s="179">
        <f t="shared" si="53"/>
        <v>0</v>
      </c>
      <c r="AP46" s="180">
        <f t="shared" si="54"/>
        <v>-8</v>
      </c>
      <c r="AQ46" s="69"/>
      <c r="AR46" s="919">
        <f t="shared" si="55"/>
        <v>0</v>
      </c>
      <c r="AS46" s="920"/>
      <c r="AT46" s="187">
        <f t="shared" si="58"/>
        <v>5</v>
      </c>
      <c r="AU46" s="69"/>
      <c r="AV46" s="69"/>
      <c r="AW46" s="921"/>
      <c r="AX46" s="922"/>
    </row>
    <row r="47" spans="1:57" ht="14.1" customHeight="1" thickBot="1">
      <c r="B47" s="566" t="str">
        <f t="shared" si="59"/>
        <v>Jeeimy Davila C.</v>
      </c>
      <c r="C47" s="610">
        <v>7</v>
      </c>
      <c r="D47" s="611">
        <v>16</v>
      </c>
      <c r="E47" s="612">
        <v>1</v>
      </c>
      <c r="F47" s="613">
        <f t="shared" si="38"/>
        <v>8</v>
      </c>
      <c r="G47" s="611"/>
      <c r="H47" s="611"/>
      <c r="I47" s="613">
        <f t="shared" si="39"/>
        <v>0</v>
      </c>
      <c r="J47" s="612"/>
      <c r="K47" s="614">
        <f t="shared" si="40"/>
        <v>8</v>
      </c>
      <c r="L47" s="615">
        <f t="shared" si="41"/>
        <v>0</v>
      </c>
      <c r="M47" s="568">
        <v>7</v>
      </c>
      <c r="N47" s="568">
        <v>16</v>
      </c>
      <c r="O47" s="569">
        <v>1</v>
      </c>
      <c r="P47" s="570">
        <f t="shared" si="42"/>
        <v>8</v>
      </c>
      <c r="Q47" s="573"/>
      <c r="R47" s="574"/>
      <c r="S47" s="570">
        <f t="shared" si="43"/>
        <v>0</v>
      </c>
      <c r="T47" s="569"/>
      <c r="U47" s="571">
        <f t="shared" si="44"/>
        <v>8</v>
      </c>
      <c r="V47" s="572">
        <f t="shared" si="45"/>
        <v>0</v>
      </c>
      <c r="W47" s="567">
        <v>7</v>
      </c>
      <c r="X47" s="568">
        <v>16</v>
      </c>
      <c r="Y47" s="569">
        <v>1</v>
      </c>
      <c r="Z47" s="570">
        <f t="shared" si="46"/>
        <v>8</v>
      </c>
      <c r="AA47" s="568"/>
      <c r="AB47" s="568"/>
      <c r="AC47" s="570">
        <f t="shared" si="47"/>
        <v>0</v>
      </c>
      <c r="AD47" s="569"/>
      <c r="AE47" s="571">
        <f t="shared" si="48"/>
        <v>8</v>
      </c>
      <c r="AF47" s="572">
        <f t="shared" si="49"/>
        <v>0</v>
      </c>
      <c r="AG47" s="69"/>
      <c r="AH47" s="178">
        <v>0</v>
      </c>
      <c r="AI47" s="179">
        <f t="shared" si="69"/>
        <v>0</v>
      </c>
      <c r="AJ47" s="179">
        <f t="shared" si="70"/>
        <v>0</v>
      </c>
      <c r="AK47" s="179">
        <f t="shared" si="71"/>
        <v>0</v>
      </c>
      <c r="AL47" s="179">
        <f t="shared" si="50"/>
        <v>0</v>
      </c>
      <c r="AM47" s="179">
        <f t="shared" si="51"/>
        <v>0</v>
      </c>
      <c r="AN47" s="179">
        <f t="shared" si="52"/>
        <v>0</v>
      </c>
      <c r="AO47" s="179">
        <f t="shared" si="53"/>
        <v>0</v>
      </c>
      <c r="AP47" s="180">
        <f t="shared" si="54"/>
        <v>0</v>
      </c>
      <c r="AQ47" s="69"/>
      <c r="AR47" s="919">
        <f t="shared" ref="AR47" si="72">+X87*Q87</f>
        <v>0</v>
      </c>
      <c r="AS47" s="920"/>
      <c r="AT47" s="187">
        <f t="shared" si="58"/>
        <v>6</v>
      </c>
      <c r="AU47" s="69"/>
      <c r="AV47" s="69"/>
      <c r="AW47" s="921"/>
      <c r="AX47" s="922"/>
    </row>
    <row r="48" spans="1:57" ht="14.1" customHeight="1">
      <c r="B48" s="239"/>
      <c r="C48" s="240"/>
      <c r="O48" s="241"/>
      <c r="P48" s="242"/>
      <c r="Q48" s="243"/>
      <c r="R48" s="243"/>
      <c r="S48" s="242"/>
      <c r="T48" s="241"/>
      <c r="U48" s="244"/>
      <c r="V48" s="245"/>
      <c r="W48" s="69"/>
      <c r="X48" s="246"/>
      <c r="Y48" s="247"/>
      <c r="Z48" s="248"/>
      <c r="AA48" s="249"/>
      <c r="AH48" s="250"/>
      <c r="AP48" s="250"/>
      <c r="AR48" s="936">
        <f>SUM(AP11:AQ25)</f>
        <v>136</v>
      </c>
      <c r="AS48" s="937"/>
      <c r="AT48" s="251">
        <f>SUM(AT33:AT47)</f>
        <v>80</v>
      </c>
    </row>
    <row r="49" spans="1:58" ht="10.15" customHeight="1">
      <c r="B49" s="239"/>
      <c r="O49" s="241"/>
      <c r="P49" s="242"/>
      <c r="Q49" s="243"/>
      <c r="R49" s="243"/>
      <c r="S49" s="242"/>
      <c r="T49" s="241"/>
      <c r="U49" s="244"/>
      <c r="V49" s="244"/>
      <c r="W49" s="69"/>
      <c r="X49" s="246"/>
      <c r="Y49" s="247"/>
      <c r="Z49" s="248"/>
      <c r="AA49" s="249"/>
      <c r="AW49" s="938">
        <f>SUM(AW33:AX47)*-1</f>
        <v>64</v>
      </c>
      <c r="AX49" s="939"/>
    </row>
    <row r="50" spans="1:58" ht="14.1" customHeight="1">
      <c r="C50" s="240" t="s">
        <v>25</v>
      </c>
      <c r="E50" s="252"/>
      <c r="O50" s="241"/>
      <c r="P50" s="242"/>
      <c r="Q50" s="243"/>
      <c r="R50" s="243"/>
      <c r="S50" s="242"/>
      <c r="T50" s="241"/>
      <c r="U50" s="244"/>
      <c r="V50" s="244"/>
      <c r="W50" s="69"/>
      <c r="X50" s="246"/>
      <c r="Y50" s="247"/>
      <c r="Z50" s="248"/>
      <c r="AA50" s="249"/>
      <c r="AC50" s="253" t="s">
        <v>26</v>
      </c>
      <c r="AD50" s="254"/>
      <c r="AE50" s="254"/>
      <c r="AF50" s="254"/>
      <c r="AG50" s="254"/>
      <c r="AH50" s="254"/>
      <c r="AI50" s="254"/>
      <c r="AJ50" s="254"/>
      <c r="AK50" s="254"/>
      <c r="AL50" s="254"/>
      <c r="AM50" s="253" t="s">
        <v>27</v>
      </c>
      <c r="AO50" s="255"/>
      <c r="AW50" s="940"/>
      <c r="AX50" s="941"/>
    </row>
    <row r="51" spans="1:58" ht="14.1" customHeight="1">
      <c r="C51" s="240"/>
      <c r="D51" s="256"/>
      <c r="E51" s="252"/>
      <c r="O51" s="241"/>
      <c r="P51" s="242"/>
      <c r="Q51" s="243"/>
      <c r="R51" s="243"/>
      <c r="S51" s="242"/>
      <c r="T51" s="241"/>
      <c r="U51" s="244"/>
      <c r="V51" s="244"/>
      <c r="W51" s="69"/>
      <c r="X51" s="246"/>
      <c r="Y51" s="247"/>
      <c r="Z51" s="248"/>
      <c r="AA51" s="249"/>
      <c r="AC51" s="253"/>
      <c r="AD51" s="254"/>
      <c r="AE51" s="254"/>
      <c r="AF51" s="254"/>
      <c r="AG51" s="254"/>
      <c r="AH51" s="254"/>
      <c r="AI51" s="254"/>
      <c r="AJ51" s="254"/>
      <c r="AK51" s="254"/>
      <c r="AL51" s="254"/>
      <c r="AM51" s="253"/>
      <c r="AO51" s="255"/>
      <c r="AW51" s="257"/>
      <c r="AX51" s="257"/>
    </row>
    <row r="52" spans="1:58" ht="14.1" customHeight="1">
      <c r="D52" s="258">
        <v>915</v>
      </c>
      <c r="E52" s="259">
        <v>1545</v>
      </c>
      <c r="F52" s="260"/>
      <c r="G52" s="258"/>
      <c r="H52" s="258"/>
      <c r="I52" s="260"/>
      <c r="J52" s="258"/>
      <c r="K52" s="261"/>
      <c r="L52" s="261"/>
      <c r="M52" s="258">
        <v>847</v>
      </c>
      <c r="N52" s="258">
        <v>1520</v>
      </c>
      <c r="O52" s="262"/>
      <c r="P52" s="263"/>
      <c r="Q52" s="264"/>
      <c r="R52" s="264"/>
      <c r="S52" s="263"/>
      <c r="T52" s="262"/>
      <c r="U52" s="265"/>
      <c r="V52" s="265"/>
      <c r="W52" s="266">
        <v>720</v>
      </c>
      <c r="X52" s="266">
        <v>1615</v>
      </c>
      <c r="Y52" s="247"/>
      <c r="Z52" s="248"/>
      <c r="AA52" s="249"/>
      <c r="AC52" s="253"/>
      <c r="AD52" s="254"/>
      <c r="AE52" s="254"/>
      <c r="AF52" s="254"/>
      <c r="AG52" s="254"/>
      <c r="AH52" s="254"/>
      <c r="AI52" s="254"/>
      <c r="AJ52" s="254"/>
      <c r="AK52" s="254"/>
      <c r="AL52" s="254"/>
      <c r="AM52" s="253"/>
      <c r="AO52" s="255"/>
      <c r="AW52" s="257"/>
      <c r="AX52" s="257"/>
    </row>
    <row r="53" spans="1:58" ht="14.1" customHeight="1">
      <c r="O53" s="241"/>
      <c r="P53" s="242"/>
      <c r="Q53" s="243"/>
      <c r="R53" s="243"/>
      <c r="S53" s="242"/>
      <c r="T53" s="241"/>
      <c r="U53" s="244"/>
      <c r="V53" s="244"/>
      <c r="W53" s="69"/>
      <c r="X53" s="246"/>
      <c r="Y53" s="247"/>
      <c r="Z53" s="248"/>
      <c r="AA53" s="249"/>
      <c r="AC53" s="253"/>
      <c r="AD53" s="254"/>
      <c r="AE53" s="254"/>
      <c r="AF53" s="254"/>
      <c r="AG53" s="254"/>
      <c r="AH53" s="254"/>
      <c r="AI53" s="254"/>
      <c r="AJ53" s="254"/>
      <c r="AK53" s="254"/>
      <c r="AL53" s="254"/>
      <c r="AM53" s="253"/>
      <c r="AO53" s="255"/>
      <c r="AW53" s="257"/>
      <c r="AX53" s="257"/>
    </row>
    <row r="54" spans="1:58" ht="14.1" customHeight="1">
      <c r="O54" s="241"/>
      <c r="P54" s="242"/>
      <c r="Q54" s="243"/>
      <c r="R54" s="243"/>
      <c r="S54" s="242"/>
      <c r="T54" s="241"/>
      <c r="U54" s="244"/>
      <c r="V54" s="244"/>
      <c r="W54" s="69"/>
      <c r="X54" s="246"/>
      <c r="Y54" s="247"/>
      <c r="Z54" s="248"/>
      <c r="AA54" s="249"/>
      <c r="AC54" s="253"/>
      <c r="AD54" s="254"/>
      <c r="AE54" s="254"/>
      <c r="AF54" s="254"/>
      <c r="AG54" s="254"/>
      <c r="AH54" s="254"/>
      <c r="AI54" s="254"/>
      <c r="AJ54" s="254"/>
      <c r="AK54" s="254"/>
      <c r="AL54" s="254"/>
      <c r="AM54" s="253"/>
      <c r="AO54" s="255"/>
      <c r="AW54" s="257"/>
      <c r="AX54" s="257"/>
    </row>
    <row r="55" spans="1:58" ht="14.1" customHeight="1" thickBot="1">
      <c r="O55" s="241"/>
      <c r="P55" s="242"/>
      <c r="Q55" s="243"/>
      <c r="R55" s="243"/>
      <c r="S55" s="242"/>
      <c r="T55" s="241"/>
      <c r="U55" s="244"/>
      <c r="V55" s="244"/>
      <c r="W55" s="69"/>
      <c r="X55" s="246"/>
      <c r="Y55" s="247"/>
      <c r="Z55" s="248"/>
      <c r="AA55" s="249"/>
      <c r="AC55" s="253"/>
      <c r="AD55" s="254"/>
      <c r="AE55" s="254"/>
      <c r="AF55" s="254"/>
      <c r="AG55" s="254"/>
      <c r="AH55" s="254"/>
      <c r="AI55" s="254"/>
      <c r="AJ55" s="254"/>
      <c r="AK55" s="254"/>
      <c r="AL55" s="254"/>
      <c r="AM55" s="253"/>
      <c r="AO55" s="255"/>
      <c r="AW55" s="257"/>
      <c r="AX55" s="257"/>
    </row>
    <row r="56" spans="1:58" ht="6.95" customHeight="1">
      <c r="C56" s="955">
        <f>+C5</f>
        <v>43853</v>
      </c>
      <c r="D56" s="744"/>
      <c r="E56" s="744"/>
      <c r="F56" s="744"/>
      <c r="G56" s="744"/>
      <c r="H56" s="744"/>
      <c r="I56" s="744"/>
      <c r="J56" s="744"/>
      <c r="K56" s="971"/>
      <c r="L56" s="972"/>
      <c r="M56" s="744">
        <f>1+C56</f>
        <v>43854</v>
      </c>
      <c r="N56" s="744"/>
      <c r="O56" s="744"/>
      <c r="P56" s="744"/>
      <c r="Q56" s="744"/>
      <c r="R56" s="744"/>
      <c r="S56" s="744"/>
      <c r="T56" s="744"/>
      <c r="U56" s="967"/>
      <c r="V56" s="968"/>
      <c r="W56" s="975">
        <f>1+M56</f>
        <v>43855</v>
      </c>
      <c r="X56" s="976"/>
      <c r="Y56" s="976"/>
      <c r="Z56" s="976"/>
      <c r="AA56" s="976"/>
      <c r="AB56" s="976"/>
      <c r="AC56" s="976"/>
      <c r="AD56" s="976"/>
      <c r="AE56" s="979"/>
      <c r="AF56" s="980"/>
      <c r="AG56" s="948">
        <f>1+W56</f>
        <v>43856</v>
      </c>
      <c r="AH56" s="949"/>
      <c r="AI56" s="949"/>
      <c r="AJ56" s="949"/>
      <c r="AK56" s="949"/>
      <c r="AL56" s="949"/>
      <c r="AM56" s="949"/>
      <c r="AN56" s="949"/>
      <c r="AO56" s="791" t="s">
        <v>2</v>
      </c>
      <c r="AW56" s="257"/>
      <c r="AX56" s="257"/>
    </row>
    <row r="57" spans="1:58" s="267" customFormat="1" ht="6.95" customHeight="1" thickBot="1">
      <c r="A57" s="1"/>
      <c r="C57" s="956"/>
      <c r="D57" s="745"/>
      <c r="E57" s="745"/>
      <c r="F57" s="745"/>
      <c r="G57" s="745"/>
      <c r="H57" s="745"/>
      <c r="I57" s="745"/>
      <c r="J57" s="745"/>
      <c r="K57" s="973"/>
      <c r="L57" s="974"/>
      <c r="M57" s="745"/>
      <c r="N57" s="745"/>
      <c r="O57" s="745"/>
      <c r="P57" s="745"/>
      <c r="Q57" s="745"/>
      <c r="R57" s="745"/>
      <c r="S57" s="745"/>
      <c r="T57" s="745"/>
      <c r="U57" s="969"/>
      <c r="V57" s="970"/>
      <c r="W57" s="977"/>
      <c r="X57" s="978"/>
      <c r="Y57" s="978"/>
      <c r="Z57" s="978"/>
      <c r="AA57" s="978"/>
      <c r="AB57" s="978"/>
      <c r="AC57" s="978"/>
      <c r="AD57" s="978"/>
      <c r="AE57" s="981"/>
      <c r="AF57" s="982"/>
      <c r="AG57" s="950"/>
      <c r="AH57" s="951"/>
      <c r="AI57" s="951"/>
      <c r="AJ57" s="951"/>
      <c r="AK57" s="951"/>
      <c r="AL57" s="951"/>
      <c r="AM57" s="951"/>
      <c r="AN57" s="951"/>
      <c r="AO57" s="792"/>
      <c r="AW57" s="257"/>
      <c r="AX57" s="257"/>
    </row>
    <row r="58" spans="1:58" ht="14.1" customHeight="1" thickBot="1">
      <c r="B58" s="268" t="str">
        <f>+B88</f>
        <v>CEQR</v>
      </c>
      <c r="C58" s="231"/>
      <c r="D58" s="232"/>
      <c r="E58" s="233"/>
      <c r="F58" s="234">
        <f>+D58-C58-E58</f>
        <v>0</v>
      </c>
      <c r="G58" s="232"/>
      <c r="H58" s="232"/>
      <c r="I58" s="234">
        <f>+H58-G58</f>
        <v>0</v>
      </c>
      <c r="J58" s="233"/>
      <c r="K58" s="235">
        <f>+I58+F58-L58</f>
        <v>0</v>
      </c>
      <c r="L58" s="269">
        <f>IF(C58&gt;0,(F58+I58)+IF(K$5&gt;0,0+F58,-8),0)</f>
        <v>0</v>
      </c>
      <c r="M58" s="270"/>
      <c r="N58" s="232"/>
      <c r="O58" s="233"/>
      <c r="P58" s="234">
        <f>+N58-M58-O58</f>
        <v>0</v>
      </c>
      <c r="Q58" s="271"/>
      <c r="R58" s="160"/>
      <c r="S58" s="234">
        <f>+R58-Q58</f>
        <v>0</v>
      </c>
      <c r="T58" s="233"/>
      <c r="U58" s="235">
        <f>+S58+P58-V58</f>
        <v>0</v>
      </c>
      <c r="V58" s="269">
        <f>IF(M58&gt;0,(P58+S58)+IF(U$5&gt;0,0+P58,-8),0)</f>
        <v>0</v>
      </c>
      <c r="W58" s="232"/>
      <c r="X58" s="232"/>
      <c r="Y58" s="233"/>
      <c r="Z58" s="234">
        <f>+X58-W58-Y58</f>
        <v>0</v>
      </c>
      <c r="AA58" s="232"/>
      <c r="AB58" s="272"/>
      <c r="AC58" s="234">
        <f>+AB58-AA58</f>
        <v>0</v>
      </c>
      <c r="AD58" s="233"/>
      <c r="AE58" s="235">
        <f>+AC58+Z58-IF(AE$5&gt;0,AF58/2,AF58)</f>
        <v>0</v>
      </c>
      <c r="AF58" s="269">
        <f>IF(W58&gt;0,IF(AE$5&gt;0,(Z58+AC58)*2,(Z58+AC58-8)),0)*IF(Z58&lt;9,IF(AE$5&gt;0,1,2),1)+IF(Z58&gt;8,AC58,0)</f>
        <v>0</v>
      </c>
      <c r="AG58" s="273"/>
      <c r="AH58" s="273"/>
      <c r="AI58" s="274"/>
      <c r="AJ58" s="275">
        <f>+AH58-AG58-AI58</f>
        <v>0</v>
      </c>
      <c r="AK58" s="276"/>
      <c r="AL58" s="276"/>
      <c r="AM58" s="277">
        <f>+AL58-AK58</f>
        <v>0</v>
      </c>
      <c r="AN58" s="274">
        <v>-3</v>
      </c>
      <c r="AO58" s="278">
        <f>(AJ58*2+AM58)</f>
        <v>0</v>
      </c>
      <c r="AP58" s="952">
        <f>+L58+V58+AF58+AO58+L62+V62+AF62-AN58</f>
        <v>3</v>
      </c>
      <c r="AQ58" s="953"/>
      <c r="AR58" s="954">
        <f>ROUND(BD58*AP58,1)</f>
        <v>29.4</v>
      </c>
      <c r="AS58" s="954"/>
      <c r="AT58" s="279" t="e">
        <f>IF(AT62&gt;0,AT62*$AT$10,0)</f>
        <v>#REF!</v>
      </c>
      <c r="AU58" s="69"/>
      <c r="AV58" s="100">
        <f>+L58</f>
        <v>0</v>
      </c>
      <c r="AW58" s="100">
        <f>+V58</f>
        <v>0</v>
      </c>
      <c r="AX58" s="100">
        <f>+AF58</f>
        <v>0</v>
      </c>
      <c r="AY58" s="101">
        <f>+AO58</f>
        <v>0</v>
      </c>
      <c r="AZ58" s="100">
        <f>+L62</f>
        <v>0</v>
      </c>
      <c r="BA58" s="100">
        <f>+V62</f>
        <v>0</v>
      </c>
      <c r="BB58" s="100">
        <f>+AF62</f>
        <v>0</v>
      </c>
      <c r="BC58" s="66"/>
      <c r="BD58" s="36">
        <f>+I88</f>
        <v>9.7916660714285708</v>
      </c>
      <c r="BE58" s="67">
        <f>+BD58*AP58</f>
        <v>29.374998214285711</v>
      </c>
      <c r="BF58" s="68">
        <f>+BD58*AY58</f>
        <v>0</v>
      </c>
    </row>
    <row r="59" spans="1:58" ht="14.1" customHeight="1" thickBot="1">
      <c r="C59" s="280"/>
      <c r="D59" s="280"/>
      <c r="E59" s="281"/>
      <c r="F59" s="282"/>
      <c r="G59" s="280"/>
      <c r="H59" s="280"/>
      <c r="I59" s="282"/>
      <c r="J59" s="281"/>
      <c r="K59" s="283"/>
      <c r="L59" s="284"/>
      <c r="M59" s="280"/>
      <c r="N59" s="280"/>
      <c r="O59" s="281"/>
      <c r="P59" s="282"/>
      <c r="Q59" s="285"/>
      <c r="R59" s="286"/>
      <c r="S59" s="282"/>
      <c r="T59" s="281"/>
      <c r="U59" s="283"/>
      <c r="V59" s="284"/>
      <c r="W59" s="280"/>
      <c r="X59" s="280"/>
      <c r="Y59" s="281"/>
      <c r="Z59" s="282"/>
      <c r="AA59" s="280"/>
      <c r="AB59" s="287"/>
      <c r="AC59" s="282"/>
      <c r="AD59" s="281"/>
      <c r="AE59" s="283"/>
      <c r="AF59" s="284"/>
      <c r="AG59" s="243"/>
      <c r="AH59" s="243"/>
      <c r="AI59" s="241"/>
      <c r="AJ59" s="288"/>
      <c r="AK59" s="289"/>
      <c r="AL59" s="289"/>
      <c r="AM59" s="242"/>
      <c r="AN59" s="241"/>
      <c r="AO59" s="244"/>
      <c r="AP59" s="243"/>
      <c r="AQ59" s="243"/>
      <c r="AR59" s="290"/>
      <c r="AS59" s="290"/>
      <c r="AT59" s="291"/>
      <c r="AU59" s="69"/>
      <c r="AV59" s="66"/>
      <c r="AW59" s="66"/>
      <c r="AX59" s="66"/>
      <c r="AY59" s="292"/>
      <c r="AZ59" s="66"/>
      <c r="BA59" s="66"/>
      <c r="BB59" s="66"/>
      <c r="BC59" s="66"/>
      <c r="BD59" s="293"/>
      <c r="BE59" s="294"/>
      <c r="BF59" s="295"/>
    </row>
    <row r="60" spans="1:58" ht="6.95" customHeight="1">
      <c r="C60" s="955">
        <f>+C27</f>
        <v>43857</v>
      </c>
      <c r="D60" s="744"/>
      <c r="E60" s="744"/>
      <c r="F60" s="744"/>
      <c r="G60" s="744"/>
      <c r="H60" s="744"/>
      <c r="I60" s="744"/>
      <c r="J60" s="744"/>
      <c r="K60" s="957"/>
      <c r="L60" s="958"/>
      <c r="M60" s="961">
        <f>1+C60</f>
        <v>43858</v>
      </c>
      <c r="N60" s="962"/>
      <c r="O60" s="962"/>
      <c r="P60" s="962"/>
      <c r="Q60" s="962"/>
      <c r="R60" s="962"/>
      <c r="S60" s="962"/>
      <c r="T60" s="963"/>
      <c r="U60" s="967"/>
      <c r="V60" s="968"/>
      <c r="W60" s="744">
        <f>1+M60</f>
        <v>43859</v>
      </c>
      <c r="X60" s="744"/>
      <c r="Y60" s="744"/>
      <c r="Z60" s="744"/>
      <c r="AA60" s="744"/>
      <c r="AB60" s="744"/>
      <c r="AC60" s="744"/>
      <c r="AD60" s="744"/>
      <c r="AE60" s="967"/>
      <c r="AF60" s="968"/>
      <c r="AG60" s="254"/>
      <c r="AH60" s="254"/>
      <c r="AI60" s="254"/>
      <c r="AJ60" s="254"/>
      <c r="AK60" s="254"/>
      <c r="AL60" s="254"/>
      <c r="AM60" s="253"/>
      <c r="AO60" s="255"/>
      <c r="AW60" s="257"/>
      <c r="AX60" s="257"/>
    </row>
    <row r="61" spans="1:58" s="267" customFormat="1" ht="6.95" customHeight="1" thickBot="1">
      <c r="A61" s="1"/>
      <c r="C61" s="956"/>
      <c r="D61" s="745"/>
      <c r="E61" s="745"/>
      <c r="F61" s="745"/>
      <c r="G61" s="745"/>
      <c r="H61" s="745"/>
      <c r="I61" s="745"/>
      <c r="J61" s="745"/>
      <c r="K61" s="959"/>
      <c r="L61" s="960"/>
      <c r="M61" s="964"/>
      <c r="N61" s="965"/>
      <c r="O61" s="965"/>
      <c r="P61" s="965"/>
      <c r="Q61" s="965"/>
      <c r="R61" s="965"/>
      <c r="S61" s="965"/>
      <c r="T61" s="966"/>
      <c r="U61" s="969"/>
      <c r="V61" s="970"/>
      <c r="W61" s="745"/>
      <c r="X61" s="745"/>
      <c r="Y61" s="745"/>
      <c r="Z61" s="745"/>
      <c r="AA61" s="745"/>
      <c r="AB61" s="745"/>
      <c r="AC61" s="745"/>
      <c r="AD61" s="745"/>
      <c r="AE61" s="969"/>
      <c r="AF61" s="970"/>
      <c r="AG61" s="296"/>
      <c r="AH61" s="296"/>
      <c r="AI61" s="296"/>
      <c r="AJ61" s="296"/>
      <c r="AK61" s="296"/>
      <c r="AL61" s="296"/>
      <c r="AM61" s="297"/>
      <c r="AO61" s="298"/>
      <c r="AW61" s="257"/>
      <c r="AX61" s="257"/>
    </row>
    <row r="62" spans="1:58" ht="14.1" customHeight="1" thickBot="1">
      <c r="B62" s="268" t="str">
        <f>+B58</f>
        <v>CEQR</v>
      </c>
      <c r="C62" s="231"/>
      <c r="D62" s="232"/>
      <c r="E62" s="233"/>
      <c r="F62" s="234">
        <f>+D62-C62-E62</f>
        <v>0</v>
      </c>
      <c r="G62" s="271"/>
      <c r="H62" s="160"/>
      <c r="I62" s="234">
        <f>+H62-G62</f>
        <v>0</v>
      </c>
      <c r="J62" s="233"/>
      <c r="K62" s="235">
        <f>+I62+F62-L62</f>
        <v>0</v>
      </c>
      <c r="L62" s="269">
        <f>IF(C62&gt;0,(F62+I62)+IF(K$27&gt;0,0+F62,-8),0)</f>
        <v>0</v>
      </c>
      <c r="M62" s="276"/>
      <c r="N62" s="276"/>
      <c r="O62" s="274"/>
      <c r="P62" s="277">
        <f>+N62-M62-O62</f>
        <v>0</v>
      </c>
      <c r="Q62" s="273"/>
      <c r="R62" s="276"/>
      <c r="S62" s="234">
        <f>+R62-Q62</f>
        <v>0</v>
      </c>
      <c r="T62" s="274"/>
      <c r="U62" s="299">
        <f>+S62+P62-V62</f>
        <v>0</v>
      </c>
      <c r="V62" s="300">
        <f>IF(M62&gt;0,(P62+S62)+IF(U$27&gt;0,0+P62,-8),0)</f>
        <v>0</v>
      </c>
      <c r="W62" s="301"/>
      <c r="X62" s="276"/>
      <c r="Y62" s="274"/>
      <c r="Z62" s="277">
        <f>+X62-W62-Y62</f>
        <v>0</v>
      </c>
      <c r="AA62" s="276"/>
      <c r="AB62" s="276"/>
      <c r="AC62" s="234">
        <f>+AB62-AA62</f>
        <v>0</v>
      </c>
      <c r="AD62" s="274"/>
      <c r="AE62" s="299">
        <f>+AC62+Z62-AF62</f>
        <v>0</v>
      </c>
      <c r="AF62" s="236">
        <f>IF(W62&gt;0,(Z62+AC62)+IF(AE$27&gt;0,0+Z62,-8),0)</f>
        <v>0</v>
      </c>
      <c r="AG62" s="69"/>
      <c r="AH62" s="302">
        <v>0</v>
      </c>
      <c r="AI62" s="303">
        <f>+K58+(IF(ISBLANK($K$56),-8,0))</f>
        <v>-8</v>
      </c>
      <c r="AJ62" s="303">
        <f>IF(ISBLANK($U$56),-8,0)+U58</f>
        <v>-8</v>
      </c>
      <c r="AK62" s="304">
        <f>IF(ISBLANK($AE$56),-8,0)+AE58</f>
        <v>-8</v>
      </c>
      <c r="AL62" s="303">
        <f>IF(ISBLANK($AO$56),-8,0)+AM58+AW62</f>
        <v>0</v>
      </c>
      <c r="AM62" s="303">
        <f>IF(ISBLANK($K$60),-8,0)+K62</f>
        <v>-8</v>
      </c>
      <c r="AN62" s="303">
        <f>IF(ISBLANK($U$60),-8,0)+U62</f>
        <v>-8</v>
      </c>
      <c r="AO62" s="303">
        <f>IF(ISBLANK($AE$60),-8,0)+AE62</f>
        <v>-8</v>
      </c>
      <c r="AP62" s="305">
        <f>SUM(AH62:AO62)</f>
        <v>-48</v>
      </c>
      <c r="AQ62" s="306"/>
      <c r="AR62" s="994">
        <f>+X88*Q88</f>
        <v>0</v>
      </c>
      <c r="AS62" s="995"/>
      <c r="AT62" s="307" t="e">
        <f>IF(#REF!+#REF!&gt;0,1,0)+IF(#REF!+#REF!&gt;0,1,0)+IF(#REF!+#REF!&gt;0,1,0)+IF(#REF!&gt;3,1,0)+IF(K62+L62&gt;0,1,0)+IF(U62+V62&gt;0,1,0)+IF(AE62+AF62&gt;0,1,0)</f>
        <v>#REF!</v>
      </c>
      <c r="AU62" s="69"/>
      <c r="AV62" s="69"/>
      <c r="AW62" s="921"/>
      <c r="AX62" s="922"/>
    </row>
    <row r="63" spans="1:58" ht="14.1" customHeight="1">
      <c r="O63" s="241"/>
      <c r="P63" s="242"/>
      <c r="Q63" s="243"/>
      <c r="R63" s="243"/>
      <c r="S63" s="242"/>
      <c r="T63" s="241"/>
      <c r="U63" s="244"/>
      <c r="V63" s="244"/>
      <c r="W63" s="69"/>
      <c r="X63" s="246"/>
      <c r="Y63" s="247"/>
      <c r="Z63" s="248"/>
      <c r="AA63" s="249"/>
      <c r="AC63" s="253"/>
      <c r="AD63" s="254"/>
      <c r="AE63" s="254"/>
      <c r="AF63" s="254"/>
      <c r="AG63" s="254"/>
      <c r="AH63" s="254"/>
      <c r="AI63" s="254"/>
      <c r="AJ63" s="254"/>
      <c r="AK63" s="996"/>
      <c r="AL63" s="996"/>
      <c r="AM63" s="253"/>
      <c r="AO63" s="255"/>
      <c r="AW63" s="257"/>
      <c r="AX63" s="257"/>
    </row>
    <row r="64" spans="1:58" ht="14.1" customHeight="1">
      <c r="O64" s="241"/>
      <c r="P64" s="242"/>
      <c r="Q64" s="243"/>
      <c r="R64" s="243"/>
      <c r="S64" s="242"/>
      <c r="T64" s="241"/>
      <c r="U64" s="244"/>
      <c r="V64" s="244"/>
      <c r="W64" s="69"/>
      <c r="X64" s="246"/>
      <c r="Y64" s="247"/>
      <c r="AW64" s="257"/>
      <c r="AX64" s="257"/>
    </row>
    <row r="65" spans="1:50" ht="18" customHeight="1">
      <c r="C65" s="240" t="s">
        <v>28</v>
      </c>
      <c r="O65" s="241"/>
      <c r="P65" s="242"/>
      <c r="Q65" s="243"/>
      <c r="R65" s="243"/>
      <c r="S65" s="242"/>
      <c r="T65" s="241"/>
      <c r="U65" s="244"/>
      <c r="V65" s="244"/>
      <c r="W65" s="69"/>
      <c r="X65" s="246"/>
      <c r="Y65" s="247"/>
      <c r="AW65" s="257"/>
      <c r="AX65" s="257"/>
    </row>
    <row r="66" spans="1:50" ht="3" customHeight="1">
      <c r="Q66" s="308"/>
      <c r="R66" s="309"/>
      <c r="S66" s="310"/>
      <c r="T66" s="311"/>
      <c r="AX66" s="257"/>
    </row>
    <row r="67" spans="1:50" ht="14.1" customHeight="1" thickBot="1">
      <c r="B67" s="7" t="s">
        <v>29</v>
      </c>
      <c r="C67" s="997" t="s">
        <v>30</v>
      </c>
      <c r="D67" s="997"/>
      <c r="E67" s="997" t="s">
        <v>31</v>
      </c>
      <c r="F67" s="997"/>
      <c r="G67" s="998" t="s">
        <v>32</v>
      </c>
      <c r="H67" s="999"/>
      <c r="I67" s="1004" t="s">
        <v>33</v>
      </c>
      <c r="J67" s="1005"/>
      <c r="K67" s="1006" t="s">
        <v>34</v>
      </c>
      <c r="L67" s="1006"/>
      <c r="M67" s="6"/>
      <c r="N67" s="1007" t="s">
        <v>35</v>
      </c>
      <c r="O67" s="1007"/>
      <c r="P67" s="6"/>
      <c r="Q67" s="1008" t="s">
        <v>36</v>
      </c>
      <c r="R67" s="1009"/>
      <c r="U67" s="1019" t="s">
        <v>37</v>
      </c>
      <c r="V67" s="1022" t="s">
        <v>38</v>
      </c>
      <c r="W67" s="1025" t="s">
        <v>39</v>
      </c>
      <c r="X67" s="983" t="s">
        <v>40</v>
      </c>
      <c r="AX67" s="257"/>
    </row>
    <row r="68" spans="1:50" ht="14.1" customHeight="1">
      <c r="B68" s="7" t="s">
        <v>41</v>
      </c>
      <c r="C68" s="997"/>
      <c r="D68" s="997"/>
      <c r="E68" s="997"/>
      <c r="F68" s="997"/>
      <c r="G68" s="1000"/>
      <c r="H68" s="1001"/>
      <c r="I68" s="1004"/>
      <c r="J68" s="1005"/>
      <c r="K68" s="1006"/>
      <c r="L68" s="1006"/>
      <c r="M68" s="6"/>
      <c r="N68" s="1007"/>
      <c r="O68" s="1007"/>
      <c r="P68" s="6"/>
      <c r="Q68" s="1010"/>
      <c r="R68" s="1011"/>
      <c r="U68" s="1020"/>
      <c r="V68" s="1023"/>
      <c r="W68" s="1026"/>
      <c r="X68" s="984"/>
      <c r="AA68" s="312"/>
      <c r="AB68" s="313"/>
      <c r="AC68" s="314"/>
      <c r="AD68" s="315"/>
      <c r="AE68" s="316"/>
      <c r="AF68" s="316"/>
      <c r="AG68" s="316"/>
      <c r="AH68" s="316"/>
      <c r="AI68" s="316"/>
      <c r="AJ68" s="316"/>
      <c r="AK68" s="316"/>
      <c r="AL68" s="316"/>
      <c r="AM68" s="316"/>
      <c r="AN68" s="314"/>
      <c r="AO68" s="314"/>
      <c r="AP68" s="314"/>
      <c r="AQ68" s="314"/>
      <c r="AR68" s="317"/>
      <c r="AX68" s="257"/>
    </row>
    <row r="69" spans="1:50" ht="14.1" customHeight="1">
      <c r="B69" s="7" t="s">
        <v>42</v>
      </c>
      <c r="C69" s="997"/>
      <c r="D69" s="997"/>
      <c r="E69" s="997"/>
      <c r="F69" s="997"/>
      <c r="G69" s="1000"/>
      <c r="H69" s="1001"/>
      <c r="I69" s="1004"/>
      <c r="J69" s="1005"/>
      <c r="K69" s="1006"/>
      <c r="L69" s="1006"/>
      <c r="M69" s="6"/>
      <c r="N69" s="1007"/>
      <c r="O69" s="1007"/>
      <c r="P69" s="6"/>
      <c r="Q69" s="1012"/>
      <c r="R69" s="1013"/>
      <c r="U69" s="1020"/>
      <c r="V69" s="1023"/>
      <c r="W69" s="1026"/>
      <c r="X69" s="984"/>
      <c r="AA69" s="318"/>
      <c r="AB69" s="319" t="s">
        <v>43</v>
      </c>
      <c r="AC69" s="320"/>
      <c r="AD69" s="320"/>
      <c r="AE69" s="320"/>
      <c r="AF69" s="321"/>
      <c r="AG69" s="321"/>
      <c r="AH69" s="320"/>
      <c r="AI69" s="320"/>
      <c r="AJ69" s="320"/>
      <c r="AK69" s="320"/>
      <c r="AL69" s="320"/>
      <c r="AM69" s="320"/>
      <c r="AN69" s="320"/>
      <c r="AO69" s="322"/>
      <c r="AP69" s="322"/>
      <c r="AQ69" s="323"/>
      <c r="AR69" s="324"/>
      <c r="AT69" s="254"/>
      <c r="AX69" s="257"/>
    </row>
    <row r="70" spans="1:50" ht="27" thickBot="1">
      <c r="B70" s="325" t="s">
        <v>44</v>
      </c>
      <c r="C70" s="986">
        <f>+E70*7</f>
        <v>217</v>
      </c>
      <c r="D70" s="986"/>
      <c r="E70" s="987">
        <f>+K70/30</f>
        <v>31</v>
      </c>
      <c r="F70" s="987"/>
      <c r="G70" s="1000"/>
      <c r="H70" s="1001"/>
      <c r="I70" s="988">
        <f>+E70/8</f>
        <v>3.875</v>
      </c>
      <c r="J70" s="989"/>
      <c r="K70" s="990">
        <f>850+80</f>
        <v>930</v>
      </c>
      <c r="L70" s="990"/>
      <c r="M70" s="326"/>
      <c r="N70" s="991">
        <f>+I70/6*7</f>
        <v>4.5208333333333339</v>
      </c>
      <c r="O70" s="992"/>
      <c r="P70" s="326"/>
      <c r="Q70" s="993">
        <f>+$I$71-I70</f>
        <v>1.3562500000000002</v>
      </c>
      <c r="R70" s="993"/>
      <c r="U70" s="1020"/>
      <c r="V70" s="1023"/>
      <c r="W70" s="1026"/>
      <c r="X70" s="984"/>
      <c r="AA70" s="327"/>
      <c r="AB70" s="328"/>
      <c r="AC70" s="328"/>
      <c r="AD70" s="328"/>
      <c r="AE70" s="328"/>
      <c r="AF70" s="328"/>
      <c r="AG70" s="328"/>
      <c r="AH70" s="328"/>
      <c r="AI70" s="328"/>
      <c r="AJ70" s="328"/>
      <c r="AK70" s="328"/>
      <c r="AL70" s="328"/>
      <c r="AM70" s="328"/>
      <c r="AN70" s="328"/>
      <c r="AO70" s="329" t="s">
        <v>45</v>
      </c>
      <c r="AP70" s="330"/>
      <c r="AQ70" s="328"/>
      <c r="AR70" s="331"/>
    </row>
    <row r="71" spans="1:50" ht="24.75">
      <c r="B71" s="332" t="s">
        <v>46</v>
      </c>
      <c r="C71" s="1014">
        <f>+E71*7</f>
        <v>292.95</v>
      </c>
      <c r="D71" s="1014"/>
      <c r="E71" s="1015">
        <f>+K71/30</f>
        <v>41.85</v>
      </c>
      <c r="F71" s="1015"/>
      <c r="G71" s="1002"/>
      <c r="H71" s="1003"/>
      <c r="I71" s="1016">
        <f>+E71/8</f>
        <v>5.2312500000000002</v>
      </c>
      <c r="J71" s="1017"/>
      <c r="K71" s="1018">
        <f>+K70*1.35</f>
        <v>1255.5</v>
      </c>
      <c r="L71" s="1018"/>
      <c r="M71" s="326"/>
      <c r="N71" s="991">
        <f>+I71/6*7</f>
        <v>6.1031250000000004</v>
      </c>
      <c r="O71" s="992"/>
      <c r="P71" s="326"/>
      <c r="Q71" s="993">
        <f>+$I$71-I71</f>
        <v>0</v>
      </c>
      <c r="R71" s="993"/>
      <c r="U71" s="1020"/>
      <c r="V71" s="1023"/>
      <c r="W71" s="1026"/>
      <c r="X71" s="984"/>
      <c r="AA71" s="333"/>
      <c r="AB71" s="333"/>
      <c r="AC71" s="333"/>
      <c r="AD71" s="333"/>
      <c r="AE71" s="333"/>
      <c r="AF71" s="167"/>
      <c r="AG71" s="167"/>
      <c r="AH71" s="167"/>
      <c r="AJ71" s="296"/>
      <c r="AK71" s="296"/>
      <c r="AL71" s="296"/>
      <c r="AM71" s="296"/>
      <c r="AN71" s="296"/>
      <c r="AO71" s="296"/>
      <c r="AP71" s="296"/>
      <c r="AQ71" s="296"/>
      <c r="AR71" s="296"/>
    </row>
    <row r="72" spans="1:50" ht="2.1" customHeight="1" thickBot="1">
      <c r="B72" s="334"/>
      <c r="C72" s="258"/>
      <c r="D72" s="258"/>
      <c r="G72" s="335"/>
      <c r="H72" s="335"/>
      <c r="I72" s="336"/>
      <c r="J72" s="336"/>
      <c r="K72" s="337"/>
      <c r="L72" s="337"/>
      <c r="M72" s="6"/>
      <c r="N72" s="338"/>
      <c r="O72" s="338"/>
      <c r="P72" s="6"/>
      <c r="Q72" s="339"/>
      <c r="R72" s="339"/>
      <c r="U72" s="1021"/>
      <c r="V72" s="1024"/>
      <c r="W72" s="1027"/>
      <c r="X72" s="985"/>
      <c r="AA72" s="3"/>
    </row>
    <row r="73" spans="1:50" ht="16.5">
      <c r="A73" s="1">
        <v>1</v>
      </c>
      <c r="B73" s="340" t="s">
        <v>47</v>
      </c>
      <c r="C73" s="1040">
        <f>6*3+7*33.8</f>
        <v>254.59999999999997</v>
      </c>
      <c r="D73" s="1041"/>
      <c r="E73" s="1030">
        <f t="shared" ref="E73:E80" si="73">+C73/7</f>
        <v>36.371428571428567</v>
      </c>
      <c r="F73" s="1031"/>
      <c r="G73" s="341"/>
      <c r="H73" s="341"/>
      <c r="I73" s="1032">
        <f t="shared" ref="I73:I80" si="74">+E73/8</f>
        <v>4.5464285714285708</v>
      </c>
      <c r="J73" s="1033"/>
      <c r="K73" s="1034">
        <f t="shared" ref="K73:K80" si="75">+E73*30</f>
        <v>1091.1428571428569</v>
      </c>
      <c r="L73" s="1034"/>
      <c r="M73" s="6"/>
      <c r="N73" s="1035">
        <f t="shared" ref="N73:N88" si="76">+I73/6*7</f>
        <v>5.3041666666666654</v>
      </c>
      <c r="O73" s="1035"/>
      <c r="P73" s="6"/>
      <c r="Q73" s="1036">
        <f>+$I$71-I73</f>
        <v>0.68482142857142936</v>
      </c>
      <c r="R73" s="1037"/>
      <c r="U73" s="342">
        <f>+AE33+U33+K33+AO11+AE11+U11+K11</f>
        <v>48.5</v>
      </c>
      <c r="V73" s="343">
        <v>48</v>
      </c>
      <c r="W73" s="344">
        <f t="shared" ref="W73:W88" si="77">+V73-U73</f>
        <v>-0.5</v>
      </c>
      <c r="X73" s="345">
        <f>+J11+T11+AD11+J33+T33+AD33</f>
        <v>0</v>
      </c>
      <c r="Y73" s="1038">
        <f>+X73*Q73</f>
        <v>0</v>
      </c>
      <c r="Z73" s="1039"/>
      <c r="AA73" s="346"/>
      <c r="AB73" s="347"/>
      <c r="AC73" s="348"/>
      <c r="AD73" s="349"/>
      <c r="AE73" s="350"/>
      <c r="AF73" s="350"/>
      <c r="AG73" s="350"/>
      <c r="AH73" s="350"/>
      <c r="AI73" s="350"/>
      <c r="AJ73" s="350"/>
      <c r="AK73" s="350"/>
      <c r="AL73" s="350"/>
      <c r="AM73" s="350"/>
      <c r="AN73" s="348"/>
      <c r="AO73" s="348"/>
      <c r="AP73" s="348"/>
      <c r="AQ73" s="348"/>
      <c r="AR73" s="351"/>
    </row>
    <row r="74" spans="1:50" ht="16.5">
      <c r="A74" s="1">
        <v>2</v>
      </c>
      <c r="B74" s="340" t="s">
        <v>48</v>
      </c>
      <c r="C74" s="1040">
        <f>6*3+7*38.5</f>
        <v>287.5</v>
      </c>
      <c r="D74" s="1041"/>
      <c r="E74" s="1030">
        <f t="shared" si="73"/>
        <v>41.071428571428569</v>
      </c>
      <c r="F74" s="1031"/>
      <c r="G74" s="341"/>
      <c r="H74" s="341"/>
      <c r="I74" s="1032">
        <f t="shared" si="74"/>
        <v>5.1339285714285712</v>
      </c>
      <c r="J74" s="1033"/>
      <c r="K74" s="1034">
        <f t="shared" si="75"/>
        <v>1232.1428571428571</v>
      </c>
      <c r="L74" s="1034"/>
      <c r="M74" s="6"/>
      <c r="N74" s="1035">
        <f t="shared" si="76"/>
        <v>5.989583333333333</v>
      </c>
      <c r="O74" s="1035"/>
      <c r="P74" s="6"/>
      <c r="Q74" s="1036">
        <f>+$I$71-I74</f>
        <v>9.7321428571429003E-2</v>
      </c>
      <c r="R74" s="1037"/>
      <c r="U74" s="342">
        <f>+AE34+U34+K34+AO12+AE12+U12+K12</f>
        <v>48.5</v>
      </c>
      <c r="V74" s="343">
        <v>48</v>
      </c>
      <c r="W74" s="344">
        <f t="shared" si="77"/>
        <v>-0.5</v>
      </c>
      <c r="X74" s="345">
        <f>+J12+T12+AD12+J34+T34+AD34</f>
        <v>24</v>
      </c>
      <c r="Y74" s="1038">
        <f>+X74*Q74</f>
        <v>2.3357142857142961</v>
      </c>
      <c r="Z74" s="1039"/>
      <c r="AA74" s="352"/>
      <c r="AB74" s="353" t="s">
        <v>49</v>
      </c>
      <c r="AC74" s="354"/>
      <c r="AD74" s="354"/>
      <c r="AE74" s="354"/>
      <c r="AF74" s="355"/>
      <c r="AG74" s="355"/>
      <c r="AH74" s="354"/>
      <c r="AI74" s="354"/>
      <c r="AJ74" s="354"/>
      <c r="AK74" s="354"/>
      <c r="AL74" s="354"/>
      <c r="AM74" s="354"/>
      <c r="AN74" s="354"/>
      <c r="AO74" s="356"/>
      <c r="AP74" s="356"/>
      <c r="AQ74" s="357"/>
      <c r="AR74" s="358"/>
    </row>
    <row r="75" spans="1:50" ht="16.5">
      <c r="A75" s="1">
        <v>5</v>
      </c>
      <c r="B75" s="340" t="s">
        <v>52</v>
      </c>
      <c r="C75" s="1028">
        <f>6*3+7*38.5</f>
        <v>287.5</v>
      </c>
      <c r="D75" s="1029"/>
      <c r="E75" s="1030">
        <f t="shared" si="73"/>
        <v>41.071428571428569</v>
      </c>
      <c r="F75" s="1031"/>
      <c r="G75" s="341"/>
      <c r="H75" s="341"/>
      <c r="I75" s="1032">
        <f t="shared" si="74"/>
        <v>5.1339285714285712</v>
      </c>
      <c r="J75" s="1033"/>
      <c r="K75" s="1034">
        <f t="shared" si="75"/>
        <v>1232.1428571428571</v>
      </c>
      <c r="L75" s="1034"/>
      <c r="M75" s="6"/>
      <c r="N75" s="1035">
        <f t="shared" si="76"/>
        <v>5.989583333333333</v>
      </c>
      <c r="O75" s="1035"/>
      <c r="P75" s="6"/>
      <c r="Q75" s="1036">
        <f>+$I$71-I75</f>
        <v>9.7321428571429003E-2</v>
      </c>
      <c r="R75" s="1037"/>
      <c r="U75" s="342">
        <f>+AE35+U35+K35+AO13+AE13+U13+K13</f>
        <v>40</v>
      </c>
      <c r="V75" s="343">
        <v>48</v>
      </c>
      <c r="W75" s="344">
        <f t="shared" si="77"/>
        <v>8</v>
      </c>
      <c r="X75" s="345">
        <f>+J13+T13+AD13+J35+T35+AD35</f>
        <v>0</v>
      </c>
    </row>
    <row r="76" spans="1:50" ht="16.5">
      <c r="A76" s="1">
        <v>7</v>
      </c>
      <c r="B76" s="365" t="s">
        <v>53</v>
      </c>
      <c r="C76" s="1042">
        <f>6*3+7*(38.5)</f>
        <v>287.5</v>
      </c>
      <c r="D76" s="1043"/>
      <c r="E76" s="1030">
        <f t="shared" si="73"/>
        <v>41.071428571428569</v>
      </c>
      <c r="F76" s="1031"/>
      <c r="G76" s="1046"/>
      <c r="H76" s="1047"/>
      <c r="I76" s="1032">
        <f t="shared" si="74"/>
        <v>5.1339285714285712</v>
      </c>
      <c r="J76" s="1033"/>
      <c r="K76" s="1034">
        <f t="shared" si="75"/>
        <v>1232.1428571428571</v>
      </c>
      <c r="L76" s="1034"/>
      <c r="M76" s="6"/>
      <c r="N76" s="1035">
        <f>+I76/6*7</f>
        <v>5.989583333333333</v>
      </c>
      <c r="O76" s="1035"/>
      <c r="P76" s="6"/>
      <c r="Q76" s="1036">
        <f>+$I$71-I76</f>
        <v>9.7321428571429003E-2</v>
      </c>
      <c r="R76" s="1037"/>
      <c r="U76" s="342">
        <f>+AE36+U36+K36+AO14+AE14+U14+K14</f>
        <v>45</v>
      </c>
      <c r="V76" s="343">
        <v>48</v>
      </c>
      <c r="W76" s="344">
        <f>+V76-U76</f>
        <v>3</v>
      </c>
      <c r="X76" s="345">
        <f>+J14+T14+AD14+J36+T36+AD36</f>
        <v>0</v>
      </c>
      <c r="AD76"/>
    </row>
    <row r="77" spans="1:50" ht="16.5">
      <c r="A77" s="1">
        <v>2</v>
      </c>
      <c r="B77" s="359" t="s">
        <v>62</v>
      </c>
      <c r="C77" s="1042">
        <f>6*3+7*(28.4286)</f>
        <v>217.00020000000001</v>
      </c>
      <c r="D77" s="1043"/>
      <c r="E77" s="1030">
        <f>+C77/7</f>
        <v>31.000028571428572</v>
      </c>
      <c r="F77" s="1031"/>
      <c r="G77" s="1044"/>
      <c r="H77" s="1045"/>
      <c r="I77" s="1032">
        <f>+E77/8</f>
        <v>3.8750035714285715</v>
      </c>
      <c r="J77" s="1033"/>
      <c r="K77" s="1034">
        <f>+E77*30</f>
        <v>930.00085714285717</v>
      </c>
      <c r="L77" s="1034"/>
      <c r="M77" s="6"/>
      <c r="N77" s="1035">
        <f>+I77/6*7</f>
        <v>4.5208375000000007</v>
      </c>
      <c r="O77" s="1035"/>
      <c r="P77" s="6"/>
      <c r="Q77" s="1036">
        <f>+$I$71-I77</f>
        <v>1.3562464285714286</v>
      </c>
      <c r="R77" s="1037"/>
      <c r="U77" s="342">
        <f t="shared" ref="U77:U88" si="78">+AE37+U37+K37+AO15+AE15+U15+K15</f>
        <v>40</v>
      </c>
      <c r="V77" s="343">
        <v>48</v>
      </c>
      <c r="W77" s="344">
        <f>+V77-U77</f>
        <v>8</v>
      </c>
      <c r="X77" s="345">
        <f t="shared" ref="X77:X88" si="79">+J15+T15+AD15+J37+T37+AD37</f>
        <v>0</v>
      </c>
    </row>
    <row r="78" spans="1:50" s="371" customFormat="1" ht="16.5">
      <c r="A78" s="366">
        <v>6</v>
      </c>
      <c r="B78" s="365" t="s">
        <v>142</v>
      </c>
      <c r="C78" s="1028">
        <f>+G78*6</f>
        <v>186</v>
      </c>
      <c r="D78" s="1029"/>
      <c r="E78" s="1030">
        <f t="shared" si="73"/>
        <v>26.571428571428573</v>
      </c>
      <c r="F78" s="1031"/>
      <c r="G78" s="1044">
        <v>31</v>
      </c>
      <c r="H78" s="1045"/>
      <c r="I78" s="1032">
        <f>+G78/8</f>
        <v>3.875</v>
      </c>
      <c r="J78" s="1033"/>
      <c r="K78" s="1034">
        <f>+G78*30</f>
        <v>930</v>
      </c>
      <c r="L78" s="1034"/>
      <c r="M78" s="374"/>
      <c r="N78" s="1035">
        <f t="shared" ref="N78" si="80">+I78/6*7</f>
        <v>4.5208333333333339</v>
      </c>
      <c r="O78" s="1035"/>
      <c r="P78" s="6"/>
      <c r="Q78" s="1036">
        <f t="shared" ref="Q78:Q88" si="81">+$I$71-I78</f>
        <v>1.3562500000000002</v>
      </c>
      <c r="R78" s="1037"/>
      <c r="S78" s="3"/>
      <c r="T78" s="3"/>
      <c r="U78" s="342">
        <f t="shared" si="78"/>
        <v>64</v>
      </c>
      <c r="V78" s="343">
        <v>48</v>
      </c>
      <c r="W78" s="344">
        <f t="shared" ref="W78" si="82">+V78-U78</f>
        <v>-16</v>
      </c>
      <c r="X78" s="345">
        <f t="shared" si="79"/>
        <v>0</v>
      </c>
      <c r="Y78" s="367"/>
      <c r="Z78" s="596"/>
      <c r="AA78" s="596"/>
      <c r="AB78" s="596"/>
      <c r="AC78" s="596"/>
      <c r="AD78" s="596"/>
      <c r="AE78" s="296"/>
      <c r="AF78" s="296"/>
      <c r="AG78" s="597"/>
      <c r="AH78" s="597"/>
      <c r="AI78" s="370"/>
      <c r="AJ78" s="370"/>
      <c r="AK78" s="370"/>
      <c r="AL78" s="370"/>
      <c r="AM78" s="597"/>
      <c r="AN78" s="597"/>
      <c r="AO78" s="597"/>
      <c r="AP78" s="597"/>
      <c r="AQ78" s="597"/>
      <c r="AR78" s="597"/>
      <c r="AS78" s="296"/>
      <c r="AT78" s="296"/>
    </row>
    <row r="79" spans="1:50" ht="16.5">
      <c r="B79" s="359" t="s">
        <v>55</v>
      </c>
      <c r="C79" s="1042">
        <f t="shared" ref="C79:C83" si="83">6*3+7*(28.4286)</f>
        <v>217.00020000000001</v>
      </c>
      <c r="D79" s="1043"/>
      <c r="E79" s="1030">
        <f t="shared" si="73"/>
        <v>31.000028571428572</v>
      </c>
      <c r="F79" s="1031"/>
      <c r="G79" s="1044"/>
      <c r="H79" s="1045"/>
      <c r="I79" s="1032">
        <f t="shared" si="74"/>
        <v>3.8750035714285715</v>
      </c>
      <c r="J79" s="1033"/>
      <c r="K79" s="1034">
        <f t="shared" si="75"/>
        <v>930.00085714285717</v>
      </c>
      <c r="L79" s="1034"/>
      <c r="M79" s="6"/>
      <c r="N79" s="1050">
        <f t="shared" si="76"/>
        <v>4.5208375000000007</v>
      </c>
      <c r="O79" s="1051"/>
      <c r="P79" s="6"/>
      <c r="Q79" s="1048">
        <f t="shared" si="81"/>
        <v>1.3562464285714286</v>
      </c>
      <c r="R79" s="1049"/>
      <c r="U79" s="342">
        <f t="shared" si="78"/>
        <v>48</v>
      </c>
      <c r="V79" s="343">
        <v>48</v>
      </c>
      <c r="W79" s="344">
        <f t="shared" si="77"/>
        <v>0</v>
      </c>
      <c r="X79" s="345">
        <f t="shared" si="79"/>
        <v>0</v>
      </c>
      <c r="Y79" s="1038">
        <f>+X79*Q79</f>
        <v>0</v>
      </c>
      <c r="Z79" s="1039"/>
      <c r="AA79" s="372"/>
      <c r="AB79" s="596"/>
      <c r="AC79" s="596"/>
      <c r="AD79" s="596"/>
      <c r="AE79" s="296"/>
      <c r="AF79" s="296"/>
      <c r="AG79" s="597"/>
      <c r="AH79" s="597"/>
      <c r="AI79" s="597"/>
      <c r="AJ79" s="597"/>
      <c r="AK79" s="597"/>
      <c r="AL79" s="597"/>
      <c r="AM79" s="597"/>
      <c r="AN79" s="597"/>
      <c r="AO79" s="597"/>
      <c r="AP79" s="597"/>
      <c r="AQ79" s="597"/>
      <c r="AR79" s="597"/>
      <c r="AS79" s="296"/>
      <c r="AT79" s="296"/>
    </row>
    <row r="80" spans="1:50" ht="16.5">
      <c r="B80" s="359" t="s">
        <v>56</v>
      </c>
      <c r="C80" s="1042">
        <f t="shared" si="83"/>
        <v>217.00020000000001</v>
      </c>
      <c r="D80" s="1043"/>
      <c r="E80" s="1030">
        <f t="shared" si="73"/>
        <v>31.000028571428572</v>
      </c>
      <c r="F80" s="1031"/>
      <c r="G80" s="1044"/>
      <c r="H80" s="1045"/>
      <c r="I80" s="1032">
        <f t="shared" si="74"/>
        <v>3.8750035714285715</v>
      </c>
      <c r="J80" s="1033"/>
      <c r="K80" s="1034">
        <f t="shared" si="75"/>
        <v>930.00085714285717</v>
      </c>
      <c r="L80" s="1034"/>
      <c r="M80" s="6"/>
      <c r="N80" s="1050">
        <f t="shared" si="76"/>
        <v>4.5208375000000007</v>
      </c>
      <c r="O80" s="1051"/>
      <c r="P80" s="6"/>
      <c r="Q80" s="1048">
        <f t="shared" si="81"/>
        <v>1.3562464285714286</v>
      </c>
      <c r="R80" s="1049"/>
      <c r="U80" s="342">
        <f t="shared" si="78"/>
        <v>64</v>
      </c>
      <c r="V80" s="343">
        <v>48</v>
      </c>
      <c r="W80" s="344">
        <f t="shared" si="77"/>
        <v>-16</v>
      </c>
      <c r="X80" s="345">
        <f t="shared" si="79"/>
        <v>24</v>
      </c>
      <c r="Y80" s="1038">
        <f>+X80*Q80</f>
        <v>32.549914285714287</v>
      </c>
      <c r="Z80" s="1039"/>
      <c r="AA80" s="372"/>
      <c r="AB80" s="596"/>
      <c r="AC80" s="596"/>
      <c r="AD80" s="596"/>
      <c r="AE80" s="296"/>
      <c r="AF80" s="296"/>
      <c r="AG80" s="597"/>
      <c r="AH80" s="597"/>
      <c r="AI80" s="597"/>
      <c r="AJ80" s="597"/>
      <c r="AK80" s="597"/>
      <c r="AL80" s="597"/>
      <c r="AM80" s="597"/>
      <c r="AN80" s="597"/>
      <c r="AO80" s="597"/>
      <c r="AP80" s="597"/>
      <c r="AQ80" s="597"/>
      <c r="AR80" s="597"/>
      <c r="AS80" s="296"/>
      <c r="AT80" s="296"/>
    </row>
    <row r="81" spans="1:46" ht="16.5">
      <c r="A81" s="366"/>
      <c r="B81" s="359" t="s">
        <v>57</v>
      </c>
      <c r="C81" s="1042">
        <f t="shared" si="83"/>
        <v>217.00020000000001</v>
      </c>
      <c r="D81" s="1043"/>
      <c r="E81" s="1030">
        <f>+C81/7</f>
        <v>31.000028571428572</v>
      </c>
      <c r="F81" s="1031"/>
      <c r="G81" s="1044"/>
      <c r="H81" s="1045"/>
      <c r="I81" s="1032">
        <f t="shared" ref="I81:I86" si="84">+E81/8</f>
        <v>3.8750035714285715</v>
      </c>
      <c r="J81" s="1033"/>
      <c r="K81" s="1034">
        <f t="shared" ref="K81:K86" si="85">+E81*30</f>
        <v>930.00085714285717</v>
      </c>
      <c r="L81" s="1034"/>
      <c r="M81" s="6"/>
      <c r="N81" s="1050">
        <f>+I81/6*7</f>
        <v>4.5208375000000007</v>
      </c>
      <c r="O81" s="1051"/>
      <c r="P81" s="6"/>
      <c r="Q81" s="1048">
        <f t="shared" si="81"/>
        <v>1.3562464285714286</v>
      </c>
      <c r="R81" s="1049"/>
      <c r="U81" s="342">
        <f t="shared" si="78"/>
        <v>64</v>
      </c>
      <c r="V81" s="343">
        <v>48</v>
      </c>
      <c r="W81" s="344">
        <f>+V81-U81</f>
        <v>-16</v>
      </c>
      <c r="X81" s="345">
        <f t="shared" si="79"/>
        <v>0</v>
      </c>
      <c r="Y81" s="1038">
        <f>+X81*Q81</f>
        <v>0</v>
      </c>
      <c r="Z81" s="1039"/>
      <c r="AA81" s="372"/>
      <c r="AB81" s="596"/>
      <c r="AC81" s="596"/>
      <c r="AD81" s="596"/>
      <c r="AE81" s="296"/>
      <c r="AF81" s="296"/>
      <c r="AG81" s="597"/>
      <c r="AH81" s="597"/>
      <c r="AI81" s="597"/>
      <c r="AJ81" s="597"/>
      <c r="AK81" s="595"/>
      <c r="AL81" s="595"/>
      <c r="AM81" s="595"/>
      <c r="AN81" s="595"/>
      <c r="AO81" s="595"/>
      <c r="AP81" s="595"/>
      <c r="AQ81" s="595"/>
      <c r="AR81" s="595"/>
      <c r="AS81" s="296"/>
      <c r="AT81" s="296"/>
    </row>
    <row r="82" spans="1:46" ht="16.5">
      <c r="A82" s="366"/>
      <c r="B82" s="359" t="s">
        <v>58</v>
      </c>
      <c r="C82" s="1042">
        <f t="shared" si="83"/>
        <v>217.00020000000001</v>
      </c>
      <c r="D82" s="1043"/>
      <c r="E82" s="1030">
        <f>+C82/7</f>
        <v>31.000028571428572</v>
      </c>
      <c r="F82" s="1031"/>
      <c r="G82" s="1044"/>
      <c r="H82" s="1045"/>
      <c r="I82" s="1032">
        <f t="shared" si="84"/>
        <v>3.8750035714285715</v>
      </c>
      <c r="J82" s="1033"/>
      <c r="K82" s="1034">
        <f t="shared" si="85"/>
        <v>930.00085714285717</v>
      </c>
      <c r="L82" s="1034"/>
      <c r="M82" s="6"/>
      <c r="N82" s="1050">
        <f>+I82/6*7</f>
        <v>4.5208375000000007</v>
      </c>
      <c r="O82" s="1051"/>
      <c r="P82" s="6"/>
      <c r="Q82" s="1048">
        <f t="shared" si="81"/>
        <v>1.3562464285714286</v>
      </c>
      <c r="R82" s="1049"/>
      <c r="U82" s="342">
        <f t="shared" si="78"/>
        <v>56</v>
      </c>
      <c r="V82" s="343">
        <v>48</v>
      </c>
      <c r="W82" s="344">
        <f>+V82-U82</f>
        <v>-8</v>
      </c>
      <c r="X82" s="345">
        <f t="shared" si="79"/>
        <v>0</v>
      </c>
      <c r="Z82" s="372"/>
      <c r="AA82" s="372"/>
      <c r="AB82" s="596"/>
      <c r="AC82" s="596"/>
      <c r="AD82" s="596"/>
      <c r="AE82" s="296"/>
      <c r="AF82" s="296"/>
      <c r="AG82" s="597"/>
      <c r="AH82" s="597"/>
      <c r="AI82" s="597"/>
      <c r="AJ82" s="597"/>
      <c r="AK82" s="595"/>
      <c r="AL82" s="595"/>
      <c r="AM82" s="595"/>
      <c r="AN82" s="595"/>
      <c r="AO82" s="595"/>
      <c r="AP82" s="595"/>
      <c r="AQ82" s="595"/>
      <c r="AR82" s="595"/>
      <c r="AS82" s="296"/>
      <c r="AT82" s="296"/>
    </row>
    <row r="83" spans="1:46" ht="16.5">
      <c r="A83" s="366"/>
      <c r="B83" s="359" t="s">
        <v>59</v>
      </c>
      <c r="C83" s="1042">
        <f t="shared" si="83"/>
        <v>217.00020000000001</v>
      </c>
      <c r="D83" s="1043"/>
      <c r="E83" s="1030">
        <f>+C83/7</f>
        <v>31.000028571428572</v>
      </c>
      <c r="F83" s="1031"/>
      <c r="G83" s="1044"/>
      <c r="H83" s="1045"/>
      <c r="I83" s="1032">
        <f t="shared" si="84"/>
        <v>3.8750035714285715</v>
      </c>
      <c r="J83" s="1033"/>
      <c r="K83" s="1034">
        <f t="shared" si="85"/>
        <v>930.00085714285717</v>
      </c>
      <c r="L83" s="1034"/>
      <c r="M83" s="6"/>
      <c r="N83" s="1050">
        <f>+I83/6*7</f>
        <v>4.5208375000000007</v>
      </c>
      <c r="O83" s="1051"/>
      <c r="P83" s="6"/>
      <c r="Q83" s="1048">
        <f t="shared" si="81"/>
        <v>1.3562464285714286</v>
      </c>
      <c r="R83" s="1049"/>
      <c r="U83" s="342">
        <f t="shared" si="78"/>
        <v>48</v>
      </c>
      <c r="V83" s="343">
        <v>48</v>
      </c>
      <c r="W83" s="344">
        <f>+V83-U83</f>
        <v>0</v>
      </c>
      <c r="X83" s="345">
        <f t="shared" si="79"/>
        <v>0</v>
      </c>
      <c r="Z83" s="372"/>
      <c r="AA83" s="372"/>
      <c r="AB83" s="596"/>
      <c r="AC83" s="596"/>
      <c r="AD83" s="596"/>
      <c r="AE83" s="296"/>
      <c r="AF83" s="296"/>
      <c r="AG83" s="597"/>
      <c r="AH83" s="597"/>
      <c r="AI83" s="597"/>
      <c r="AJ83" s="597"/>
      <c r="AK83" s="597"/>
      <c r="AL83" s="597"/>
      <c r="AM83" s="597"/>
      <c r="AN83" s="597"/>
      <c r="AO83" s="597"/>
      <c r="AP83" s="597"/>
      <c r="AQ83" s="597"/>
      <c r="AR83" s="597"/>
      <c r="AS83" s="296"/>
      <c r="AT83" s="296"/>
    </row>
    <row r="84" spans="1:46" ht="16.5">
      <c r="A84" s="1">
        <v>2</v>
      </c>
      <c r="B84" s="340" t="s">
        <v>61</v>
      </c>
      <c r="C84" s="1040">
        <v>304.26666666666665</v>
      </c>
      <c r="D84" s="1041"/>
      <c r="E84" s="1030">
        <f>+C84/7</f>
        <v>43.466666666666661</v>
      </c>
      <c r="F84" s="1031"/>
      <c r="G84" s="341"/>
      <c r="H84" s="341"/>
      <c r="I84" s="1032">
        <f t="shared" si="84"/>
        <v>5.4333333333333327</v>
      </c>
      <c r="J84" s="1033"/>
      <c r="K84" s="1034">
        <f t="shared" si="85"/>
        <v>1303.9999999999998</v>
      </c>
      <c r="L84" s="1034"/>
      <c r="M84" s="6"/>
      <c r="N84" s="1035">
        <f t="shared" si="76"/>
        <v>6.3388888888888886</v>
      </c>
      <c r="O84" s="1035"/>
      <c r="P84" s="6"/>
      <c r="Q84" s="1036">
        <f t="shared" si="81"/>
        <v>-0.2020833333333325</v>
      </c>
      <c r="R84" s="1037"/>
      <c r="U84" s="342">
        <f t="shared" si="78"/>
        <v>24</v>
      </c>
      <c r="V84" s="343">
        <v>48</v>
      </c>
      <c r="W84" s="344">
        <f t="shared" si="77"/>
        <v>24</v>
      </c>
      <c r="X84" s="345">
        <f t="shared" si="79"/>
        <v>0</v>
      </c>
    </row>
    <row r="85" spans="1:46" ht="16.5">
      <c r="A85" s="366"/>
      <c r="B85" s="359" t="s">
        <v>63</v>
      </c>
      <c r="C85" s="1042">
        <f>6*3+7*(28.4286)</f>
        <v>217.00020000000001</v>
      </c>
      <c r="D85" s="1043"/>
      <c r="E85" s="1030">
        <f t="shared" ref="E85:E88" si="86">+C85/7</f>
        <v>31.000028571428572</v>
      </c>
      <c r="F85" s="1031"/>
      <c r="G85" s="1044"/>
      <c r="H85" s="1045"/>
      <c r="I85" s="1032">
        <f t="shared" si="84"/>
        <v>3.8750035714285715</v>
      </c>
      <c r="J85" s="1033"/>
      <c r="K85" s="1034">
        <f t="shared" si="85"/>
        <v>930.00085714285717</v>
      </c>
      <c r="L85" s="1034"/>
      <c r="M85" s="6"/>
      <c r="N85" s="1050">
        <f t="shared" si="76"/>
        <v>4.5208375000000007</v>
      </c>
      <c r="O85" s="1051"/>
      <c r="P85" s="6"/>
      <c r="Q85" s="1048">
        <f t="shared" si="81"/>
        <v>1.3562464285714286</v>
      </c>
      <c r="R85" s="1049"/>
      <c r="U85" s="342">
        <f t="shared" si="78"/>
        <v>48</v>
      </c>
      <c r="V85" s="343">
        <v>48</v>
      </c>
      <c r="W85" s="344">
        <f t="shared" si="77"/>
        <v>0</v>
      </c>
      <c r="X85" s="345">
        <f t="shared" si="79"/>
        <v>0</v>
      </c>
      <c r="Z85" s="372"/>
      <c r="AA85" s="372"/>
      <c r="AB85" s="596"/>
      <c r="AC85" s="596"/>
      <c r="AD85" s="596"/>
      <c r="AE85" s="296"/>
      <c r="AF85" s="296"/>
      <c r="AG85" s="597"/>
      <c r="AH85" s="597"/>
      <c r="AI85" s="597"/>
      <c r="AJ85" s="597"/>
      <c r="AK85" s="595"/>
      <c r="AL85" s="595"/>
      <c r="AM85" s="595"/>
      <c r="AN85" s="595"/>
      <c r="AO85" s="595"/>
      <c r="AP85" s="595"/>
      <c r="AQ85" s="595"/>
      <c r="AR85" s="595"/>
      <c r="AS85" s="296"/>
      <c r="AT85" s="296"/>
    </row>
    <row r="86" spans="1:46" ht="16.5">
      <c r="A86" s="366"/>
      <c r="B86" s="359" t="s">
        <v>64</v>
      </c>
      <c r="C86" s="1042">
        <f>6*3+7*(28.4286)</f>
        <v>217.00020000000001</v>
      </c>
      <c r="D86" s="1043"/>
      <c r="E86" s="1030">
        <f t="shared" si="86"/>
        <v>31.000028571428572</v>
      </c>
      <c r="F86" s="1031"/>
      <c r="G86" s="1044"/>
      <c r="H86" s="1045"/>
      <c r="I86" s="1032">
        <f t="shared" si="84"/>
        <v>3.8750035714285715</v>
      </c>
      <c r="J86" s="1033"/>
      <c r="K86" s="1034">
        <f t="shared" si="85"/>
        <v>930.00085714285717</v>
      </c>
      <c r="L86" s="1034"/>
      <c r="M86" s="6"/>
      <c r="N86" s="1050">
        <f t="shared" si="76"/>
        <v>4.5208375000000007</v>
      </c>
      <c r="O86" s="1051"/>
      <c r="P86" s="6"/>
      <c r="Q86" s="1048">
        <f t="shared" si="81"/>
        <v>1.3562464285714286</v>
      </c>
      <c r="R86" s="1049"/>
      <c r="U86" s="342">
        <f t="shared" si="78"/>
        <v>40</v>
      </c>
      <c r="V86" s="343">
        <v>48</v>
      </c>
      <c r="W86" s="344">
        <f t="shared" si="77"/>
        <v>8</v>
      </c>
      <c r="X86" s="345">
        <f t="shared" si="79"/>
        <v>0</v>
      </c>
      <c r="Z86" s="372"/>
      <c r="AA86" s="372"/>
      <c r="AB86" s="596"/>
      <c r="AC86" s="596"/>
      <c r="AD86" s="596"/>
      <c r="AE86" s="296"/>
      <c r="AF86" s="296"/>
      <c r="AG86" s="597"/>
      <c r="AH86" s="597"/>
      <c r="AI86" s="597"/>
      <c r="AJ86" s="597"/>
      <c r="AK86" s="595"/>
      <c r="AL86" s="595"/>
      <c r="AM86" s="595"/>
      <c r="AN86" s="595"/>
      <c r="AO86" s="595"/>
      <c r="AP86" s="595"/>
      <c r="AQ86" s="595"/>
      <c r="AR86" s="595"/>
      <c r="AS86" s="296"/>
      <c r="AT86" s="296"/>
    </row>
    <row r="87" spans="1:46" ht="16.5">
      <c r="A87" s="366"/>
      <c r="B87" s="359" t="s">
        <v>143</v>
      </c>
      <c r="C87" s="1028">
        <f>+G87*6</f>
        <v>198</v>
      </c>
      <c r="D87" s="1029"/>
      <c r="E87" s="1030">
        <f t="shared" si="86"/>
        <v>28.285714285714285</v>
      </c>
      <c r="F87" s="1031"/>
      <c r="G87" s="1044">
        <v>33</v>
      </c>
      <c r="H87" s="1045"/>
      <c r="I87" s="1032">
        <f>+G87/8</f>
        <v>4.125</v>
      </c>
      <c r="J87" s="1033"/>
      <c r="K87" s="1034">
        <f>+G87*30</f>
        <v>990</v>
      </c>
      <c r="L87" s="1034"/>
      <c r="M87" s="6"/>
      <c r="N87" s="1050">
        <f t="shared" si="76"/>
        <v>4.8125</v>
      </c>
      <c r="O87" s="1051"/>
      <c r="P87" s="6"/>
      <c r="Q87" s="1048">
        <f t="shared" si="81"/>
        <v>1.1062500000000002</v>
      </c>
      <c r="R87" s="1049"/>
      <c r="U87" s="342">
        <f t="shared" si="78"/>
        <v>48</v>
      </c>
      <c r="V87" s="343">
        <v>48</v>
      </c>
      <c r="W87" s="344">
        <f t="shared" si="77"/>
        <v>0</v>
      </c>
      <c r="X87" s="345">
        <f t="shared" si="79"/>
        <v>0</v>
      </c>
      <c r="Z87" s="372"/>
      <c r="AA87" s="372"/>
      <c r="AB87" s="596"/>
      <c r="AC87" s="596"/>
      <c r="AD87" s="596"/>
      <c r="AE87" s="296"/>
      <c r="AF87" s="296"/>
      <c r="AG87" s="597"/>
      <c r="AH87" s="597"/>
      <c r="AI87" s="597"/>
      <c r="AJ87" s="597"/>
      <c r="AK87" s="595"/>
      <c r="AL87" s="595"/>
      <c r="AM87" s="595"/>
      <c r="AN87" s="595"/>
      <c r="AO87" s="595"/>
      <c r="AP87" s="595"/>
      <c r="AQ87" s="595"/>
      <c r="AR87" s="595"/>
      <c r="AS87" s="296"/>
      <c r="AT87" s="296"/>
    </row>
    <row r="88" spans="1:46" ht="16.5">
      <c r="B88" s="375" t="s">
        <v>65</v>
      </c>
      <c r="C88" s="1054">
        <f>6*3+7*(G88)</f>
        <v>548.33330000000001</v>
      </c>
      <c r="D88" s="1055"/>
      <c r="E88" s="1056">
        <f t="shared" si="86"/>
        <v>78.333328571428567</v>
      </c>
      <c r="F88" s="1057"/>
      <c r="G88" s="1058">
        <v>75.761899999999997</v>
      </c>
      <c r="H88" s="1059"/>
      <c r="I88" s="1060">
        <f>+E88/8</f>
        <v>9.7916660714285708</v>
      </c>
      <c r="J88" s="1061"/>
      <c r="K88" s="1062">
        <f>+E88*30</f>
        <v>2349.9998571428569</v>
      </c>
      <c r="L88" s="1063"/>
      <c r="M88" s="6"/>
      <c r="N88" s="1035">
        <f t="shared" si="76"/>
        <v>11.423610416666666</v>
      </c>
      <c r="O88" s="1035"/>
      <c r="P88" s="6"/>
      <c r="Q88" s="1048">
        <f t="shared" si="81"/>
        <v>-4.5604160714285706</v>
      </c>
      <c r="R88" s="1049"/>
      <c r="U88" s="342">
        <f t="shared" si="78"/>
        <v>0</v>
      </c>
      <c r="V88" s="343">
        <v>48</v>
      </c>
      <c r="W88" s="344">
        <f t="shared" si="77"/>
        <v>48</v>
      </c>
      <c r="X88" s="345">
        <f t="shared" si="79"/>
        <v>0</v>
      </c>
      <c r="Z88" s="372"/>
      <c r="AA88" s="372"/>
      <c r="AB88" s="596"/>
      <c r="AC88" s="596"/>
      <c r="AD88" s="596"/>
      <c r="AE88" s="296"/>
      <c r="AF88" s="296"/>
      <c r="AG88" s="597"/>
      <c r="AH88" s="597"/>
      <c r="AI88" s="597"/>
      <c r="AJ88" s="597"/>
      <c r="AK88" s="597"/>
      <c r="AL88" s="597"/>
      <c r="AM88" s="597"/>
      <c r="AN88" s="597"/>
      <c r="AO88" s="597"/>
      <c r="AP88" s="597"/>
      <c r="AQ88" s="296"/>
      <c r="AR88" s="296"/>
      <c r="AS88" s="296"/>
      <c r="AT88" s="296"/>
    </row>
    <row r="89" spans="1:46">
      <c r="AE89" s="376"/>
      <c r="AF89" s="376"/>
      <c r="AJ89" s="376"/>
      <c r="AK89" s="376"/>
    </row>
    <row r="90" spans="1:46" ht="26.25" thickBot="1">
      <c r="B90" s="377" t="s">
        <v>66</v>
      </c>
      <c r="H90" s="1052">
        <v>43191</v>
      </c>
      <c r="I90" s="1052"/>
      <c r="J90" s="1052"/>
      <c r="K90" s="1052"/>
      <c r="L90" s="1052"/>
      <c r="M90" s="1052"/>
      <c r="N90" s="1052"/>
      <c r="AD90" s="378"/>
      <c r="AE90" s="378"/>
      <c r="AF90" s="378"/>
      <c r="AG90" s="167"/>
      <c r="AH90" s="167"/>
      <c r="AI90" s="167"/>
      <c r="AJ90" s="376"/>
      <c r="AK90" s="376"/>
    </row>
    <row r="91" spans="1:46" ht="16.5" thickBot="1">
      <c r="B91" s="379">
        <v>1100</v>
      </c>
      <c r="C91" s="240" t="s">
        <v>67</v>
      </c>
      <c r="AD91" s="296"/>
      <c r="AE91" s="296"/>
      <c r="AF91" s="296"/>
      <c r="AG91" s="296"/>
      <c r="AH91" s="296"/>
      <c r="AI91" s="296"/>
      <c r="AJ91" s="296"/>
      <c r="AK91" s="296"/>
      <c r="AL91" s="296"/>
      <c r="AM91" s="296"/>
      <c r="AN91" s="296"/>
      <c r="AO91" s="296"/>
      <c r="AP91" s="267"/>
      <c r="AQ91" s="267"/>
      <c r="AR91" s="267"/>
      <c r="AS91" s="267"/>
      <c r="AT91" s="267"/>
    </row>
    <row r="92" spans="1:46" ht="15.75">
      <c r="B92" s="168">
        <f>+B91/30*7</f>
        <v>256.66666666666663</v>
      </c>
      <c r="C92" s="240" t="s">
        <v>68</v>
      </c>
      <c r="D92" s="380"/>
      <c r="O92" s="1053" t="s">
        <v>69</v>
      </c>
      <c r="P92" s="1053"/>
      <c r="Q92" s="1053"/>
      <c r="R92" s="1053"/>
      <c r="S92" s="1053"/>
      <c r="T92" s="1053"/>
      <c r="U92" s="1053"/>
      <c r="V92" s="1053"/>
      <c r="W92" s="1053"/>
      <c r="X92" s="1053"/>
      <c r="Y92" s="1053"/>
      <c r="Z92" s="1053"/>
      <c r="AD92" s="296"/>
      <c r="AE92" s="597"/>
      <c r="AF92" s="597"/>
      <c r="AG92" s="296"/>
      <c r="AH92" s="296"/>
      <c r="AI92" s="296"/>
      <c r="AJ92" s="597"/>
      <c r="AK92" s="597"/>
      <c r="AL92" s="296"/>
      <c r="AM92" s="296"/>
      <c r="AN92" s="296"/>
      <c r="AO92" s="296"/>
      <c r="AP92" s="267"/>
      <c r="AQ92" s="267"/>
      <c r="AR92" s="267"/>
      <c r="AS92" s="267"/>
      <c r="AT92" s="267"/>
    </row>
    <row r="93" spans="1:46">
      <c r="B93" s="168">
        <f>+B92-18</f>
        <v>238.66666666666663</v>
      </c>
      <c r="C93" s="240" t="s">
        <v>70</v>
      </c>
      <c r="O93" s="1053">
        <f>+B91</f>
        <v>1100</v>
      </c>
      <c r="P93" s="1053"/>
      <c r="Q93" s="1053" t="s">
        <v>71</v>
      </c>
      <c r="R93" s="1053"/>
      <c r="S93" s="1053"/>
      <c r="T93" s="1053"/>
      <c r="U93" s="1053"/>
      <c r="V93" s="1053"/>
      <c r="W93" s="1053"/>
      <c r="X93" s="1053"/>
      <c r="Y93" s="1053"/>
      <c r="Z93" s="1053"/>
      <c r="AA93" s="7" t="s">
        <v>72</v>
      </c>
      <c r="AD93" s="296"/>
      <c r="AE93" s="597"/>
      <c r="AF93" s="597"/>
      <c r="AG93" s="296"/>
      <c r="AH93" s="296"/>
      <c r="AI93" s="296"/>
      <c r="AJ93" s="597"/>
      <c r="AK93" s="597"/>
      <c r="AL93" s="296"/>
      <c r="AM93" s="296"/>
      <c r="AN93" s="296"/>
      <c r="AO93" s="296"/>
      <c r="AP93" s="267"/>
      <c r="AQ93" s="267"/>
      <c r="AR93" s="267"/>
      <c r="AS93" s="267"/>
      <c r="AT93" s="267"/>
    </row>
    <row r="94" spans="1:46">
      <c r="B94" s="381">
        <f>+B93/7+0</f>
        <v>34.095238095238088</v>
      </c>
      <c r="C94" s="382" t="s">
        <v>73</v>
      </c>
      <c r="D94" s="383"/>
      <c r="O94" s="1053">
        <f>+O93/30*7</f>
        <v>256.66666666666663</v>
      </c>
      <c r="P94" s="1053"/>
      <c r="Q94" s="1053" t="s">
        <v>74</v>
      </c>
      <c r="R94" s="1053"/>
      <c r="S94" s="1053"/>
      <c r="T94" s="1053"/>
      <c r="U94" s="1053"/>
      <c r="V94" s="1053"/>
      <c r="W94" s="1053"/>
      <c r="X94" s="1053"/>
      <c r="Y94" s="1053"/>
      <c r="Z94" s="1053"/>
      <c r="AA94" s="1064">
        <f>+O94*0.87</f>
        <v>223.29999999999995</v>
      </c>
      <c r="AB94" s="1064"/>
      <c r="AD94" s="296"/>
      <c r="AE94" s="384"/>
      <c r="AF94" s="384"/>
      <c r="AG94" s="296"/>
      <c r="AH94" s="296"/>
      <c r="AI94" s="296"/>
      <c r="AJ94" s="384"/>
      <c r="AK94" s="384"/>
      <c r="AL94" s="385"/>
      <c r="AM94" s="385"/>
      <c r="AN94" s="385"/>
      <c r="AO94" s="385"/>
      <c r="AP94" s="386"/>
      <c r="AQ94" s="386"/>
      <c r="AR94" s="267"/>
      <c r="AS94" s="267"/>
      <c r="AT94" s="267"/>
    </row>
    <row r="95" spans="1:46">
      <c r="O95" s="1053">
        <f>+O94/7</f>
        <v>36.666666666666664</v>
      </c>
      <c r="P95" s="1053"/>
      <c r="Q95" s="1053" t="s">
        <v>75</v>
      </c>
      <c r="R95" s="1053"/>
      <c r="S95" s="1053"/>
      <c r="T95" s="1053"/>
      <c r="U95" s="1053"/>
      <c r="V95" s="1053"/>
      <c r="W95" s="1053"/>
      <c r="X95" s="1053"/>
      <c r="Y95" s="1053"/>
      <c r="Z95" s="1053"/>
      <c r="AD95" s="296"/>
      <c r="AE95" s="597"/>
      <c r="AF95" s="597"/>
      <c r="AG95" s="296"/>
      <c r="AH95" s="296"/>
      <c r="AI95" s="296"/>
      <c r="AJ95" s="597"/>
      <c r="AK95" s="597"/>
      <c r="AL95" s="387"/>
      <c r="AM95" s="387"/>
      <c r="AN95" s="385"/>
      <c r="AO95" s="385"/>
      <c r="AP95" s="386"/>
      <c r="AQ95" s="386"/>
      <c r="AR95" s="267"/>
      <c r="AS95" s="267"/>
      <c r="AT95" s="267"/>
    </row>
    <row r="96" spans="1:46" ht="15.75">
      <c r="B96" s="388">
        <f>+B94</f>
        <v>34.095238095238088</v>
      </c>
      <c r="C96" s="389" t="s">
        <v>76</v>
      </c>
      <c r="D96" s="390"/>
      <c r="E96" s="390"/>
      <c r="F96" s="390"/>
      <c r="O96" s="1065">
        <f>(O94-18)/7</f>
        <v>34.095238095238088</v>
      </c>
      <c r="P96" s="1065"/>
      <c r="Q96" s="1065" t="s">
        <v>77</v>
      </c>
      <c r="R96" s="1065"/>
      <c r="S96" s="1065"/>
      <c r="T96" s="1065"/>
      <c r="U96" s="1065"/>
      <c r="V96" s="1065"/>
      <c r="W96" s="1065"/>
      <c r="X96" s="1065"/>
      <c r="Y96" s="1065"/>
      <c r="Z96" s="1065"/>
      <c r="AD96" s="296"/>
      <c r="AE96" s="391"/>
      <c r="AF96" s="391"/>
      <c r="AG96" s="392"/>
      <c r="AH96" s="392"/>
      <c r="AI96" s="392"/>
      <c r="AJ96" s="391"/>
      <c r="AK96" s="391"/>
      <c r="AL96" s="385"/>
      <c r="AM96" s="385"/>
      <c r="AN96" s="385"/>
      <c r="AO96" s="385"/>
      <c r="AP96" s="386"/>
      <c r="AQ96" s="386"/>
      <c r="AR96" s="267"/>
      <c r="AS96" s="267"/>
      <c r="AT96" s="267"/>
    </row>
    <row r="97" spans="2:46">
      <c r="B97" s="168">
        <v>3</v>
      </c>
      <c r="C97" s="240" t="s">
        <v>78</v>
      </c>
      <c r="O97" s="1053">
        <v>3</v>
      </c>
      <c r="P97" s="1053"/>
      <c r="Q97" s="1053" t="s">
        <v>79</v>
      </c>
      <c r="R97" s="1053"/>
      <c r="S97" s="1053"/>
      <c r="T97" s="1053"/>
      <c r="U97" s="1053"/>
      <c r="V97" s="1053"/>
      <c r="W97" s="1053"/>
      <c r="X97" s="1053"/>
      <c r="Y97" s="1053"/>
      <c r="Z97" s="1053"/>
      <c r="AD97" s="296"/>
      <c r="AE97" s="296"/>
      <c r="AF97" s="391"/>
      <c r="AG97" s="392"/>
      <c r="AH97" s="392"/>
      <c r="AI97" s="392"/>
      <c r="AJ97" s="391"/>
      <c r="AK97" s="296"/>
      <c r="AL97" s="385"/>
      <c r="AM97" s="385"/>
      <c r="AN97" s="385"/>
      <c r="AO97" s="385"/>
      <c r="AP97" s="386"/>
      <c r="AQ97" s="386"/>
      <c r="AR97" s="267"/>
      <c r="AS97" s="267"/>
      <c r="AT97" s="267"/>
    </row>
    <row r="98" spans="2:46">
      <c r="B98" s="381">
        <f>+B97+B96</f>
        <v>37.095238095238088</v>
      </c>
      <c r="C98" s="382" t="s">
        <v>80</v>
      </c>
      <c r="D98" s="393"/>
      <c r="E98" s="394"/>
      <c r="F98" s="395"/>
      <c r="G98" s="393"/>
      <c r="H98" s="393"/>
      <c r="I98" s="395"/>
      <c r="J98" s="393"/>
      <c r="K98" s="396"/>
      <c r="L98" s="396"/>
      <c r="M98" s="383"/>
      <c r="O98" s="1053">
        <f>+O97+O96</f>
        <v>37.095238095238088</v>
      </c>
      <c r="P98" s="1053"/>
      <c r="AD98" s="296"/>
      <c r="AE98" s="597"/>
      <c r="AF98" s="597"/>
      <c r="AG98" s="296"/>
      <c r="AH98" s="296"/>
      <c r="AI98" s="296"/>
      <c r="AJ98" s="597"/>
      <c r="AK98" s="597"/>
      <c r="AL98" s="387"/>
      <c r="AM98" s="387"/>
      <c r="AN98" s="387"/>
      <c r="AO98" s="387"/>
      <c r="AP98" s="397"/>
      <c r="AQ98" s="267"/>
      <c r="AR98" s="267"/>
      <c r="AS98" s="267"/>
      <c r="AT98" s="267"/>
    </row>
    <row r="99" spans="2:46">
      <c r="B99" s="168"/>
      <c r="AD99" s="296"/>
      <c r="AE99" s="398"/>
      <c r="AF99" s="398"/>
      <c r="AG99" s="398"/>
      <c r="AH99" s="296"/>
      <c r="AI99" s="296"/>
      <c r="AJ99" s="398"/>
      <c r="AK99" s="398"/>
      <c r="AL99" s="385"/>
      <c r="AM99" s="296"/>
      <c r="AN99" s="296"/>
      <c r="AO99" s="296"/>
      <c r="AP99" s="267"/>
      <c r="AQ99" s="267"/>
      <c r="AR99" s="267"/>
      <c r="AS99" s="267"/>
      <c r="AT99" s="267"/>
    </row>
    <row r="100" spans="2:46">
      <c r="B100" s="168">
        <f>+B98*6</f>
        <v>222.57142857142853</v>
      </c>
      <c r="C100" s="240" t="s">
        <v>81</v>
      </c>
      <c r="O100" s="1053" t="s">
        <v>82</v>
      </c>
      <c r="P100" s="1053"/>
      <c r="Q100" s="1053"/>
      <c r="R100" s="1053"/>
      <c r="S100" s="1053"/>
      <c r="T100" s="1053"/>
      <c r="U100" s="1053"/>
      <c r="V100" s="1053"/>
      <c r="W100" s="1053"/>
      <c r="X100" s="1053"/>
      <c r="Y100" s="1053"/>
      <c r="Z100" s="1053"/>
      <c r="AD100" s="296"/>
      <c r="AE100" s="296"/>
      <c r="AF100" s="296"/>
      <c r="AG100" s="296"/>
      <c r="AH100" s="296"/>
      <c r="AI100" s="385"/>
      <c r="AJ100" s="385"/>
      <c r="AK100" s="387"/>
      <c r="AL100" s="595"/>
      <c r="AM100" s="597"/>
      <c r="AN100" s="595"/>
      <c r="AO100" s="296"/>
      <c r="AP100" s="267"/>
      <c r="AQ100" s="267"/>
      <c r="AR100" s="267"/>
      <c r="AS100" s="267"/>
      <c r="AT100" s="267"/>
    </row>
    <row r="101" spans="2:46">
      <c r="B101" s="399">
        <f>+B96</f>
        <v>34.095238095238088</v>
      </c>
      <c r="C101" s="400" t="s">
        <v>83</v>
      </c>
      <c r="D101" s="401"/>
      <c r="E101" s="402"/>
      <c r="F101" s="403"/>
      <c r="G101" s="401"/>
      <c r="H101" s="401"/>
      <c r="I101" s="403"/>
      <c r="J101" s="401"/>
      <c r="K101" s="404"/>
      <c r="L101" s="405"/>
      <c r="O101" s="1053">
        <f>+O93*1.1</f>
        <v>1210</v>
      </c>
      <c r="P101" s="1053"/>
      <c r="Q101" s="1053" t="s">
        <v>71</v>
      </c>
      <c r="R101" s="1053"/>
      <c r="S101" s="1053"/>
      <c r="T101" s="1053"/>
      <c r="U101" s="1053"/>
      <c r="V101" s="1053"/>
      <c r="W101" s="1053"/>
      <c r="X101" s="1053"/>
      <c r="Y101" s="1053"/>
      <c r="Z101" s="1053"/>
      <c r="AA101" s="7" t="s">
        <v>84</v>
      </c>
      <c r="AG101" s="267"/>
      <c r="AH101" s="267"/>
      <c r="AI101" s="386"/>
      <c r="AJ101" s="386"/>
      <c r="AK101" s="386"/>
      <c r="AL101" s="267"/>
      <c r="AM101" s="267"/>
      <c r="AN101" s="267"/>
      <c r="AO101" s="267"/>
    </row>
    <row r="102" spans="2:46">
      <c r="B102" s="381">
        <f>+B101+B100</f>
        <v>256.66666666666663</v>
      </c>
      <c r="C102" s="382" t="s">
        <v>85</v>
      </c>
      <c r="D102" s="393"/>
      <c r="E102" s="394"/>
      <c r="F102" s="395"/>
      <c r="G102" s="393"/>
      <c r="H102" s="393"/>
      <c r="I102" s="395"/>
      <c r="J102" s="393"/>
      <c r="K102" s="406"/>
      <c r="L102" s="405"/>
      <c r="O102" s="1053">
        <f>+O101/30*7</f>
        <v>282.33333333333337</v>
      </c>
      <c r="P102" s="1053"/>
      <c r="Q102" s="1053" t="s">
        <v>74</v>
      </c>
      <c r="R102" s="1053"/>
      <c r="S102" s="1053"/>
      <c r="T102" s="1053"/>
      <c r="U102" s="1053"/>
      <c r="V102" s="1053"/>
      <c r="W102" s="1053"/>
      <c r="X102" s="1053"/>
      <c r="Y102" s="1053"/>
      <c r="Z102" s="1053"/>
      <c r="AA102" s="1064">
        <f>+O102*0.87</f>
        <v>245.63000000000002</v>
      </c>
      <c r="AB102" s="1064"/>
      <c r="AG102" s="267"/>
      <c r="AH102" s="267"/>
      <c r="AI102" s="386"/>
      <c r="AJ102" s="386"/>
      <c r="AK102" s="407"/>
      <c r="AL102" s="267"/>
      <c r="AM102" s="267"/>
      <c r="AN102" s="267"/>
      <c r="AO102" s="267"/>
    </row>
    <row r="103" spans="2:46">
      <c r="B103" s="408"/>
      <c r="C103" s="409"/>
      <c r="D103" s="333"/>
      <c r="E103" s="410"/>
      <c r="F103" s="411"/>
      <c r="G103" s="333"/>
      <c r="H103" s="333"/>
      <c r="I103" s="411"/>
      <c r="J103" s="333"/>
      <c r="K103" s="405"/>
      <c r="L103" s="405"/>
      <c r="O103" s="1053">
        <f>+O102/7</f>
        <v>40.333333333333336</v>
      </c>
      <c r="P103" s="1053"/>
      <c r="Q103" s="1053" t="s">
        <v>75</v>
      </c>
      <c r="R103" s="1053"/>
      <c r="S103" s="1053"/>
      <c r="T103" s="1053"/>
      <c r="U103" s="1053"/>
      <c r="V103" s="1053"/>
      <c r="W103" s="1053"/>
      <c r="X103" s="1053"/>
      <c r="Y103" s="1053"/>
      <c r="Z103" s="1053"/>
      <c r="AG103" s="267"/>
      <c r="AH103" s="267"/>
      <c r="AI103" s="412"/>
      <c r="AJ103" s="413"/>
      <c r="AK103" s="407"/>
      <c r="AL103" s="267"/>
      <c r="AM103" s="267"/>
      <c r="AN103" s="267"/>
      <c r="AO103" s="267"/>
    </row>
    <row r="104" spans="2:46" ht="15.75">
      <c r="B104" s="414">
        <f>+B102/7</f>
        <v>36.666666666666664</v>
      </c>
      <c r="C104" s="415" t="s">
        <v>86</v>
      </c>
      <c r="D104" s="416"/>
      <c r="E104" s="417"/>
      <c r="F104" s="418"/>
      <c r="G104" s="419"/>
      <c r="H104" s="419"/>
      <c r="I104" s="411"/>
      <c r="J104" s="333"/>
      <c r="K104" s="405"/>
      <c r="L104" s="405"/>
      <c r="O104" s="1065">
        <f>(O102-18)/7</f>
        <v>37.761904761904766</v>
      </c>
      <c r="P104" s="1065"/>
      <c r="Q104" s="1065" t="s">
        <v>77</v>
      </c>
      <c r="R104" s="1065"/>
      <c r="S104" s="1065"/>
      <c r="T104" s="1065"/>
      <c r="U104" s="1065"/>
      <c r="V104" s="1065"/>
      <c r="W104" s="1065"/>
      <c r="X104" s="1065"/>
      <c r="Y104" s="1065"/>
      <c r="Z104" s="1065"/>
      <c r="AG104" s="267"/>
      <c r="AH104" s="267"/>
      <c r="AI104" s="267"/>
      <c r="AJ104" s="267"/>
      <c r="AK104" s="407"/>
      <c r="AL104" s="267"/>
      <c r="AM104" s="267"/>
      <c r="AN104" s="267"/>
      <c r="AO104" s="267"/>
    </row>
    <row r="105" spans="2:46">
      <c r="B105" s="408"/>
      <c r="C105" s="409"/>
      <c r="D105" s="333"/>
      <c r="E105" s="410"/>
      <c r="F105" s="411"/>
      <c r="G105" s="333"/>
      <c r="H105" s="333"/>
      <c r="I105" s="411"/>
      <c r="J105" s="333"/>
      <c r="K105" s="405"/>
      <c r="L105" s="405"/>
      <c r="O105" s="1053">
        <v>3</v>
      </c>
      <c r="P105" s="1053"/>
      <c r="Q105" s="1053" t="s">
        <v>79</v>
      </c>
      <c r="R105" s="1053"/>
      <c r="S105" s="1053"/>
      <c r="T105" s="1053"/>
      <c r="U105" s="1053"/>
      <c r="V105" s="1053"/>
      <c r="W105" s="1053"/>
      <c r="X105" s="1053"/>
      <c r="Y105" s="1053"/>
      <c r="Z105" s="1053"/>
      <c r="AG105" s="267"/>
      <c r="AH105" s="267"/>
      <c r="AI105" s="267"/>
      <c r="AJ105" s="267"/>
      <c r="AK105" s="267"/>
      <c r="AL105" s="267"/>
      <c r="AM105" s="267"/>
      <c r="AN105" s="267"/>
      <c r="AO105" s="267"/>
    </row>
    <row r="106" spans="2:46">
      <c r="B106" s="408"/>
      <c r="C106" s="409"/>
      <c r="D106" s="333"/>
      <c r="E106" s="410"/>
      <c r="F106" s="411"/>
      <c r="G106" s="333"/>
      <c r="H106" s="333"/>
      <c r="I106" s="411"/>
      <c r="J106" s="333"/>
      <c r="K106" s="405"/>
      <c r="L106" s="405"/>
      <c r="O106" s="1053">
        <f>+O105+O104</f>
        <v>40.761904761904766</v>
      </c>
      <c r="P106" s="1053"/>
      <c r="AG106" s="267"/>
      <c r="AH106" s="267"/>
      <c r="AI106" s="267"/>
      <c r="AJ106" s="267"/>
      <c r="AK106" s="267"/>
      <c r="AL106" s="267"/>
      <c r="AM106" s="267"/>
      <c r="AN106" s="267"/>
      <c r="AO106" s="267"/>
    </row>
    <row r="107" spans="2:46">
      <c r="AG107" s="267"/>
      <c r="AH107" s="267"/>
      <c r="AI107" s="267"/>
      <c r="AJ107" s="267"/>
      <c r="AK107" s="267"/>
      <c r="AL107" s="267"/>
      <c r="AM107" s="267"/>
      <c r="AN107" s="267"/>
      <c r="AO107" s="267"/>
    </row>
    <row r="108" spans="2:46" ht="26.25" thickBot="1">
      <c r="B108" s="377" t="s">
        <v>87</v>
      </c>
      <c r="H108" s="1052">
        <v>43167</v>
      </c>
      <c r="I108" s="1052"/>
      <c r="J108" s="1052"/>
      <c r="K108" s="1052"/>
      <c r="L108" s="1052"/>
      <c r="M108" s="1052"/>
      <c r="N108" s="1052"/>
      <c r="O108" s="420" t="s">
        <v>88</v>
      </c>
      <c r="P108" s="421"/>
      <c r="Q108" s="422"/>
      <c r="AG108" s="267"/>
      <c r="AH108" s="267"/>
      <c r="AI108" s="267"/>
      <c r="AJ108" s="267"/>
      <c r="AK108" s="267"/>
      <c r="AL108" s="267"/>
      <c r="AM108" s="267"/>
      <c r="AN108" s="267"/>
      <c r="AO108" s="267"/>
    </row>
    <row r="109" spans="2:46" ht="16.5" thickBot="1">
      <c r="B109" s="379">
        <v>850</v>
      </c>
      <c r="C109" s="240" t="s">
        <v>67</v>
      </c>
      <c r="AD109" s="296"/>
      <c r="AE109" s="296"/>
      <c r="AF109" s="296"/>
      <c r="AG109" s="296"/>
      <c r="AH109" s="296"/>
      <c r="AI109" s="296"/>
      <c r="AJ109" s="296"/>
      <c r="AK109" s="296"/>
      <c r="AL109" s="296"/>
      <c r="AM109" s="296"/>
      <c r="AN109" s="296"/>
      <c r="AO109" s="296"/>
      <c r="AP109" s="267"/>
      <c r="AQ109" s="267"/>
      <c r="AR109" s="267"/>
      <c r="AS109" s="267"/>
      <c r="AT109" s="267"/>
    </row>
    <row r="110" spans="2:46" ht="15.75">
      <c r="B110" s="423">
        <f>+B109/30*7</f>
        <v>198.33333333333331</v>
      </c>
      <c r="C110" s="240" t="s">
        <v>68</v>
      </c>
      <c r="D110" s="380"/>
      <c r="O110" s="1053" t="s">
        <v>69</v>
      </c>
      <c r="P110" s="1053"/>
      <c r="Q110" s="1053"/>
      <c r="R110" s="1053"/>
      <c r="S110" s="1053"/>
      <c r="T110" s="1053"/>
      <c r="U110" s="1053"/>
      <c r="V110" s="1053"/>
      <c r="W110" s="1053"/>
      <c r="X110" s="1053"/>
      <c r="Y110" s="1053"/>
      <c r="Z110" s="1053"/>
      <c r="AD110" s="296"/>
      <c r="AE110" s="597"/>
      <c r="AF110" s="597"/>
      <c r="AG110" s="296"/>
      <c r="AH110" s="296"/>
      <c r="AI110" s="296"/>
      <c r="AJ110" s="597"/>
      <c r="AK110" s="597"/>
      <c r="AL110" s="296"/>
      <c r="AM110" s="296"/>
      <c r="AN110" s="296"/>
      <c r="AO110" s="296"/>
      <c r="AP110" s="267"/>
      <c r="AQ110" s="267"/>
      <c r="AR110" s="267"/>
      <c r="AS110" s="267"/>
      <c r="AT110" s="267"/>
    </row>
    <row r="111" spans="2:46">
      <c r="B111" s="423">
        <f>+B110-18</f>
        <v>180.33333333333331</v>
      </c>
      <c r="C111" s="240" t="s">
        <v>70</v>
      </c>
      <c r="O111" s="1053">
        <f>+B109</f>
        <v>850</v>
      </c>
      <c r="P111" s="1053"/>
      <c r="Q111" s="1053" t="s">
        <v>71</v>
      </c>
      <c r="R111" s="1053"/>
      <c r="S111" s="1053"/>
      <c r="T111" s="1053"/>
      <c r="U111" s="1053"/>
      <c r="V111" s="1053"/>
      <c r="W111" s="1053"/>
      <c r="X111" s="1053"/>
      <c r="Y111" s="1053"/>
      <c r="Z111" s="1053"/>
      <c r="AA111" s="7" t="s">
        <v>72</v>
      </c>
      <c r="AD111" s="296"/>
      <c r="AE111" s="996">
        <v>198.32</v>
      </c>
      <c r="AF111" s="996"/>
      <c r="AG111" s="996"/>
      <c r="AH111" s="296"/>
      <c r="AI111" s="996"/>
      <c r="AJ111" s="996"/>
      <c r="AK111" s="996"/>
      <c r="AL111" s="1068">
        <f>+AL112+AL113</f>
        <v>192.18149689334777</v>
      </c>
      <c r="AM111" s="1068"/>
      <c r="AN111" s="1068"/>
      <c r="AO111" s="1068">
        <f>+AL111-18</f>
        <v>174.18149689334777</v>
      </c>
      <c r="AP111" s="1068"/>
      <c r="AQ111" s="1068"/>
      <c r="AR111" s="267"/>
      <c r="AS111" s="267"/>
      <c r="AT111" s="267"/>
    </row>
    <row r="112" spans="2:46">
      <c r="B112" s="424">
        <f>+B111/7</f>
        <v>25.761904761904759</v>
      </c>
      <c r="C112" s="382" t="s">
        <v>73</v>
      </c>
      <c r="D112" s="383"/>
      <c r="O112" s="1053">
        <f>+O111/30*7</f>
        <v>198.33333333333331</v>
      </c>
      <c r="P112" s="1053"/>
      <c r="Q112" s="1053" t="s">
        <v>74</v>
      </c>
      <c r="R112" s="1053"/>
      <c r="S112" s="1053"/>
      <c r="T112" s="1053"/>
      <c r="U112" s="1053"/>
      <c r="V112" s="1053"/>
      <c r="W112" s="1053"/>
      <c r="X112" s="1053"/>
      <c r="Y112" s="1053"/>
      <c r="Z112" s="1053"/>
      <c r="AA112" s="1064">
        <f>+O112*0.87</f>
        <v>172.54999999999998</v>
      </c>
      <c r="AB112" s="1064"/>
      <c r="AD112" s="296"/>
      <c r="AE112" s="996">
        <v>22.89</v>
      </c>
      <c r="AF112" s="996"/>
      <c r="AG112" s="996"/>
      <c r="AH112" s="296"/>
      <c r="AI112" s="1069">
        <f>+AE112/AE111</f>
        <v>0.11541952400161357</v>
      </c>
      <c r="AJ112" s="1069"/>
      <c r="AK112" s="1069"/>
      <c r="AL112" s="1068">
        <f>+AI112*AL113/AI113</f>
        <v>22.181496893347781</v>
      </c>
      <c r="AM112" s="1068"/>
      <c r="AN112" s="1068"/>
      <c r="AO112" s="1070">
        <f>+AO111/7</f>
        <v>24.883070984763968</v>
      </c>
      <c r="AP112" s="1071"/>
      <c r="AQ112" s="1072"/>
      <c r="AR112" s="267"/>
      <c r="AS112" s="267"/>
      <c r="AT112" s="267"/>
    </row>
    <row r="113" spans="2:46">
      <c r="O113" s="1053">
        <f>+O112/7</f>
        <v>28.333333333333332</v>
      </c>
      <c r="P113" s="1053"/>
      <c r="Q113" s="1053" t="s">
        <v>75</v>
      </c>
      <c r="R113" s="1053"/>
      <c r="S113" s="1053"/>
      <c r="T113" s="1053"/>
      <c r="U113" s="1053"/>
      <c r="V113" s="1053"/>
      <c r="W113" s="1053"/>
      <c r="X113" s="1053"/>
      <c r="Y113" s="1053"/>
      <c r="Z113" s="1053"/>
      <c r="AD113" s="296"/>
      <c r="AE113" s="996">
        <v>175.43</v>
      </c>
      <c r="AF113" s="996"/>
      <c r="AG113" s="996"/>
      <c r="AH113" s="296"/>
      <c r="AI113" s="1066">
        <f>1-AI112</f>
        <v>0.88458047599838641</v>
      </c>
      <c r="AJ113" s="1067"/>
      <c r="AK113" s="1067"/>
      <c r="AL113" s="1068">
        <v>170</v>
      </c>
      <c r="AM113" s="1068"/>
      <c r="AN113" s="1068"/>
      <c r="AO113" s="996"/>
      <c r="AP113" s="996"/>
      <c r="AQ113" s="996"/>
      <c r="AR113" s="267"/>
      <c r="AS113" s="267"/>
      <c r="AT113" s="267"/>
    </row>
    <row r="114" spans="2:46" ht="15.75">
      <c r="B114" s="388">
        <f>+B112</f>
        <v>25.761904761904759</v>
      </c>
      <c r="C114" s="389" t="s">
        <v>76</v>
      </c>
      <c r="D114" s="390"/>
      <c r="E114" s="390"/>
      <c r="F114" s="390"/>
      <c r="O114" s="1065">
        <f>(O112-18)/7</f>
        <v>25.761904761904759</v>
      </c>
      <c r="P114" s="1065"/>
      <c r="Q114" s="1065" t="s">
        <v>77</v>
      </c>
      <c r="R114" s="1065"/>
      <c r="S114" s="1065"/>
      <c r="T114" s="1065"/>
      <c r="U114" s="1065"/>
      <c r="V114" s="1065"/>
      <c r="W114" s="1065"/>
      <c r="X114" s="1065"/>
      <c r="Y114" s="1065"/>
      <c r="Z114" s="1065"/>
      <c r="AD114" s="296"/>
      <c r="AE114" s="996"/>
      <c r="AF114" s="996"/>
      <c r="AG114" s="996"/>
      <c r="AH114" s="296"/>
      <c r="AI114" s="1067"/>
      <c r="AJ114" s="1067"/>
      <c r="AK114" s="1067"/>
      <c r="AL114" s="296"/>
      <c r="AM114" s="385"/>
      <c r="AN114" s="385"/>
      <c r="AO114" s="385"/>
      <c r="AP114" s="386"/>
      <c r="AQ114" s="386"/>
      <c r="AR114" s="267"/>
      <c r="AS114" s="267"/>
      <c r="AT114" s="267"/>
    </row>
    <row r="115" spans="2:46">
      <c r="B115" s="168">
        <v>3</v>
      </c>
      <c r="C115" s="240" t="s">
        <v>78</v>
      </c>
      <c r="O115" s="1053">
        <v>3</v>
      </c>
      <c r="P115" s="1053"/>
      <c r="Q115" s="1053" t="s">
        <v>79</v>
      </c>
      <c r="R115" s="1053"/>
      <c r="S115" s="1053"/>
      <c r="T115" s="1053"/>
      <c r="U115" s="1053"/>
      <c r="V115" s="1053"/>
      <c r="W115" s="1053"/>
      <c r="X115" s="1053"/>
      <c r="Y115" s="1053"/>
      <c r="Z115" s="1053"/>
      <c r="AD115" s="296"/>
      <c r="AE115" s="996">
        <v>198.39</v>
      </c>
      <c r="AF115" s="996"/>
      <c r="AG115" s="996"/>
      <c r="AH115" s="296"/>
      <c r="AI115" s="1067">
        <v>198.32</v>
      </c>
      <c r="AJ115" s="1067"/>
      <c r="AK115" s="1067"/>
      <c r="AL115" s="296"/>
      <c r="AM115" s="385"/>
      <c r="AN115" s="385"/>
      <c r="AO115" s="385"/>
      <c r="AP115" s="386"/>
      <c r="AQ115" s="386"/>
      <c r="AR115" s="267"/>
      <c r="AS115" s="267"/>
      <c r="AT115" s="267"/>
    </row>
    <row r="116" spans="2:46">
      <c r="B116" s="381">
        <f>+B115+B114</f>
        <v>28.761904761904759</v>
      </c>
      <c r="C116" s="382" t="s">
        <v>80</v>
      </c>
      <c r="D116" s="393"/>
      <c r="E116" s="394"/>
      <c r="F116" s="395"/>
      <c r="G116" s="393"/>
      <c r="H116" s="393"/>
      <c r="I116" s="395"/>
      <c r="J116" s="393"/>
      <c r="K116" s="396"/>
      <c r="L116" s="396"/>
      <c r="M116" s="383"/>
      <c r="O116" s="1053">
        <f>+O115+O114</f>
        <v>28.761904761904759</v>
      </c>
      <c r="P116" s="1053"/>
      <c r="AD116" s="296"/>
      <c r="AE116" s="1073">
        <f>+AE115/7*30</f>
        <v>850.24285714285702</v>
      </c>
      <c r="AF116" s="1073"/>
      <c r="AG116" s="1073"/>
      <c r="AH116" s="296"/>
      <c r="AI116" s="1074">
        <f>+AI115/7*30</f>
        <v>849.94285714285718</v>
      </c>
      <c r="AJ116" s="1074"/>
      <c r="AK116" s="1074"/>
      <c r="AL116" s="296"/>
      <c r="AM116" s="387"/>
      <c r="AN116" s="387"/>
      <c r="AO116" s="387"/>
      <c r="AP116" s="397"/>
      <c r="AQ116" s="267"/>
      <c r="AR116" s="267"/>
      <c r="AS116" s="267"/>
      <c r="AT116" s="267"/>
    </row>
    <row r="117" spans="2:46">
      <c r="B117" s="168"/>
      <c r="AD117" s="296"/>
      <c r="AE117" s="296"/>
      <c r="AF117" s="296"/>
      <c r="AG117" s="296"/>
      <c r="AH117" s="296"/>
      <c r="AI117" s="296"/>
      <c r="AJ117" s="296"/>
      <c r="AK117" s="296"/>
      <c r="AL117" s="296"/>
      <c r="AM117" s="296"/>
      <c r="AN117" s="296"/>
      <c r="AO117" s="296"/>
      <c r="AP117" s="267"/>
      <c r="AQ117" s="267"/>
      <c r="AR117" s="267"/>
      <c r="AS117" s="267"/>
      <c r="AT117" s="267"/>
    </row>
    <row r="118" spans="2:46">
      <c r="B118" s="168">
        <f>+B116*6</f>
        <v>172.57142857142856</v>
      </c>
      <c r="C118" s="240" t="s">
        <v>81</v>
      </c>
      <c r="O118" s="1053" t="s">
        <v>82</v>
      </c>
      <c r="P118" s="1053"/>
      <c r="Q118" s="1053"/>
      <c r="R118" s="1053"/>
      <c r="S118" s="1053"/>
      <c r="T118" s="1053"/>
      <c r="U118" s="1053"/>
      <c r="V118" s="1053"/>
      <c r="W118" s="1053"/>
      <c r="X118" s="1053"/>
      <c r="Y118" s="1053"/>
      <c r="Z118" s="1053"/>
      <c r="AD118" s="296"/>
      <c r="AE118" s="296"/>
      <c r="AF118" s="296"/>
      <c r="AG118" s="296"/>
      <c r="AH118" s="296"/>
      <c r="AI118" s="385"/>
      <c r="AJ118" s="385"/>
      <c r="AK118" s="387"/>
      <c r="AL118" s="595"/>
      <c r="AM118" s="597"/>
      <c r="AN118" s="595"/>
      <c r="AO118" s="296"/>
      <c r="AP118" s="267"/>
      <c r="AQ118" s="267"/>
      <c r="AR118" s="267"/>
      <c r="AS118" s="267"/>
      <c r="AT118" s="267"/>
    </row>
    <row r="119" spans="2:46">
      <c r="B119" s="399">
        <f>+B114</f>
        <v>25.761904761904759</v>
      </c>
      <c r="C119" s="400" t="s">
        <v>83</v>
      </c>
      <c r="D119" s="401"/>
      <c r="E119" s="402"/>
      <c r="F119" s="403"/>
      <c r="G119" s="401"/>
      <c r="H119" s="401"/>
      <c r="I119" s="403"/>
      <c r="J119" s="401"/>
      <c r="K119" s="404"/>
      <c r="L119" s="405"/>
      <c r="O119" s="1053">
        <f>+O111*1.1</f>
        <v>935.00000000000011</v>
      </c>
      <c r="P119" s="1053"/>
      <c r="Q119" s="1053" t="s">
        <v>71</v>
      </c>
      <c r="R119" s="1053"/>
      <c r="S119" s="1053"/>
      <c r="T119" s="1053"/>
      <c r="U119" s="1053"/>
      <c r="V119" s="1053"/>
      <c r="W119" s="1053"/>
      <c r="X119" s="1053"/>
      <c r="Y119" s="1053"/>
      <c r="Z119" s="1053"/>
      <c r="AA119" s="7" t="s">
        <v>84</v>
      </c>
      <c r="AG119" s="267"/>
      <c r="AH119" s="267"/>
      <c r="AI119" s="386"/>
      <c r="AJ119" s="386"/>
      <c r="AK119" s="386"/>
      <c r="AL119" s="267"/>
      <c r="AM119" s="267"/>
      <c r="AN119" s="267"/>
      <c r="AO119" s="267"/>
    </row>
    <row r="120" spans="2:46">
      <c r="B120" s="381">
        <f>+B119+B118</f>
        <v>198.33333333333331</v>
      </c>
      <c r="C120" s="382" t="s">
        <v>85</v>
      </c>
      <c r="D120" s="393"/>
      <c r="E120" s="394"/>
      <c r="F120" s="395"/>
      <c r="G120" s="393"/>
      <c r="H120" s="393"/>
      <c r="I120" s="395"/>
      <c r="J120" s="393"/>
      <c r="K120" s="406"/>
      <c r="L120" s="405"/>
      <c r="O120" s="1053">
        <f>+O119/30*7</f>
        <v>218.16666666666669</v>
      </c>
      <c r="P120" s="1053"/>
      <c r="Q120" s="1053" t="s">
        <v>74</v>
      </c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64">
        <f>+O120*0.87</f>
        <v>189.80500000000001</v>
      </c>
      <c r="AB120" s="1064"/>
      <c r="AG120" s="267"/>
      <c r="AH120" s="267"/>
      <c r="AI120" s="386"/>
      <c r="AJ120" s="386"/>
      <c r="AK120" s="407"/>
      <c r="AL120" s="267"/>
      <c r="AM120" s="267"/>
      <c r="AN120" s="267"/>
      <c r="AO120" s="267"/>
    </row>
    <row r="121" spans="2:46">
      <c r="B121" s="408"/>
      <c r="C121" s="409"/>
      <c r="D121" s="333"/>
      <c r="E121" s="410"/>
      <c r="F121" s="411"/>
      <c r="G121" s="333"/>
      <c r="H121" s="333"/>
      <c r="I121" s="411"/>
      <c r="J121" s="333"/>
      <c r="K121" s="405"/>
      <c r="L121" s="405"/>
      <c r="O121" s="1053">
        <f>+O120/7</f>
        <v>31.166666666666668</v>
      </c>
      <c r="P121" s="1053"/>
      <c r="Q121" s="1053" t="s">
        <v>75</v>
      </c>
      <c r="R121" s="1053"/>
      <c r="S121" s="1053"/>
      <c r="T121" s="1053"/>
      <c r="U121" s="1053"/>
      <c r="V121" s="1053"/>
      <c r="W121" s="1053"/>
      <c r="X121" s="1053"/>
      <c r="Y121" s="1053"/>
      <c r="Z121" s="1053"/>
      <c r="AG121" s="267"/>
      <c r="AH121" s="267"/>
      <c r="AI121" s="412"/>
      <c r="AJ121" s="413"/>
      <c r="AK121" s="407"/>
      <c r="AL121" s="267"/>
      <c r="AM121" s="267"/>
      <c r="AN121" s="267"/>
      <c r="AO121" s="267"/>
    </row>
    <row r="122" spans="2:46" ht="15.75">
      <c r="B122" s="426">
        <f>+B120/7</f>
        <v>28.333333333333332</v>
      </c>
      <c r="C122" s="415" t="s">
        <v>86</v>
      </c>
      <c r="D122" s="416"/>
      <c r="E122" s="417"/>
      <c r="F122" s="411"/>
      <c r="G122" s="333"/>
      <c r="H122" s="333"/>
      <c r="I122" s="411"/>
      <c r="J122" s="333"/>
      <c r="K122" s="405"/>
      <c r="L122" s="405"/>
      <c r="O122" s="1065">
        <f>(O120-18)/7</f>
        <v>28.595238095238098</v>
      </c>
      <c r="P122" s="1065"/>
      <c r="Q122" s="1065" t="s">
        <v>77</v>
      </c>
      <c r="R122" s="1065"/>
      <c r="S122" s="1065"/>
      <c r="T122" s="1065"/>
      <c r="U122" s="1065"/>
      <c r="V122" s="1065"/>
      <c r="W122" s="1065"/>
      <c r="X122" s="1065"/>
      <c r="Y122" s="1065"/>
      <c r="Z122" s="1065"/>
      <c r="AG122" s="267"/>
      <c r="AH122" s="267"/>
      <c r="AI122" s="267"/>
      <c r="AJ122" s="267"/>
      <c r="AK122" s="407"/>
      <c r="AL122" s="267"/>
      <c r="AM122" s="267"/>
      <c r="AN122" s="267"/>
      <c r="AO122" s="267"/>
    </row>
    <row r="123" spans="2:46">
      <c r="B123" s="408"/>
      <c r="C123" s="409"/>
      <c r="D123" s="333"/>
      <c r="E123" s="410"/>
      <c r="F123" s="411"/>
      <c r="G123" s="333"/>
      <c r="H123" s="333"/>
      <c r="I123" s="411"/>
      <c r="J123" s="333"/>
      <c r="K123" s="405"/>
      <c r="L123" s="405"/>
      <c r="O123" s="1053">
        <v>3</v>
      </c>
      <c r="P123" s="1053"/>
      <c r="Q123" s="1053" t="s">
        <v>79</v>
      </c>
      <c r="R123" s="1053"/>
      <c r="S123" s="1053"/>
      <c r="T123" s="1053"/>
      <c r="U123" s="1053"/>
      <c r="V123" s="1053"/>
      <c r="W123" s="1053"/>
      <c r="X123" s="1053"/>
      <c r="Y123" s="1053"/>
      <c r="Z123" s="1053"/>
      <c r="AG123" s="267"/>
      <c r="AH123" s="267"/>
      <c r="AI123" s="267"/>
      <c r="AJ123" s="267"/>
      <c r="AK123" s="267"/>
      <c r="AL123" s="267"/>
      <c r="AM123" s="267"/>
      <c r="AN123" s="267"/>
      <c r="AO123" s="267"/>
    </row>
    <row r="124" spans="2:46">
      <c r="B124" s="408">
        <v>28.333333333333332</v>
      </c>
      <c r="C124" s="409"/>
      <c r="D124" s="333"/>
      <c r="E124" s="410"/>
      <c r="F124" s="411"/>
      <c r="G124" s="333"/>
      <c r="H124" s="333"/>
      <c r="I124" s="411"/>
      <c r="J124" s="333"/>
      <c r="K124" s="405"/>
      <c r="L124" s="405"/>
      <c r="O124" s="1053">
        <f>+O123+O122</f>
        <v>31.595238095238098</v>
      </c>
      <c r="P124" s="1053"/>
      <c r="AG124" s="267"/>
      <c r="AH124" s="267"/>
      <c r="AI124" s="267"/>
      <c r="AJ124" s="267"/>
      <c r="AK124" s="267"/>
      <c r="AL124" s="267"/>
      <c r="AM124" s="267"/>
      <c r="AN124" s="267"/>
      <c r="AO124" s="267"/>
    </row>
    <row r="125" spans="2:46">
      <c r="B125" s="168"/>
      <c r="AG125" s="267"/>
      <c r="AH125" s="267"/>
      <c r="AI125" s="267"/>
      <c r="AJ125" s="267"/>
      <c r="AK125" s="267"/>
      <c r="AL125" s="267"/>
      <c r="AM125" s="267"/>
      <c r="AN125" s="267"/>
      <c r="AO125" s="267"/>
    </row>
    <row r="126" spans="2:46">
      <c r="B126" s="168"/>
      <c r="AG126" s="267"/>
      <c r="AH126" s="267"/>
      <c r="AI126" s="267"/>
      <c r="AJ126" s="267"/>
      <c r="AK126" s="267"/>
      <c r="AL126" s="267"/>
      <c r="AM126" s="267"/>
      <c r="AN126" s="267"/>
      <c r="AO126" s="267"/>
    </row>
    <row r="127" spans="2:46" ht="26.25" thickBot="1">
      <c r="B127" s="377" t="s">
        <v>89</v>
      </c>
      <c r="H127" s="1052">
        <v>42922</v>
      </c>
      <c r="I127" s="1052"/>
      <c r="J127" s="1052"/>
      <c r="K127" s="1052"/>
      <c r="L127" s="1052"/>
      <c r="M127" s="1052"/>
      <c r="N127" s="1052"/>
      <c r="AD127" s="378"/>
      <c r="AE127" s="378"/>
      <c r="AF127" s="378"/>
      <c r="AG127" s="167"/>
      <c r="AH127" s="167"/>
      <c r="AI127" s="167"/>
      <c r="AJ127" s="376"/>
      <c r="AK127" s="376"/>
    </row>
    <row r="128" spans="2:46" ht="16.5" thickBot="1">
      <c r="B128" s="379">
        <v>1231.53</v>
      </c>
      <c r="C128" s="240" t="s">
        <v>67</v>
      </c>
      <c r="AD128" s="296"/>
      <c r="AE128" s="296"/>
      <c r="AF128" s="296"/>
      <c r="AG128" s="296"/>
      <c r="AH128" s="296"/>
      <c r="AI128" s="296"/>
      <c r="AJ128" s="296"/>
      <c r="AK128" s="296"/>
      <c r="AL128" s="296"/>
      <c r="AM128" s="296"/>
      <c r="AN128" s="296"/>
      <c r="AO128" s="296"/>
      <c r="AP128" s="267"/>
      <c r="AQ128" s="267"/>
      <c r="AR128" s="267"/>
      <c r="AS128" s="267"/>
      <c r="AT128" s="267"/>
    </row>
    <row r="129" spans="2:46" ht="15.75">
      <c r="B129" s="168">
        <f>+B128/30*7</f>
        <v>287.35700000000003</v>
      </c>
      <c r="C129" s="240" t="s">
        <v>68</v>
      </c>
      <c r="D129" s="380"/>
      <c r="O129" s="1053" t="s">
        <v>69</v>
      </c>
      <c r="P129" s="1053"/>
      <c r="Q129" s="1053"/>
      <c r="R129" s="1053"/>
      <c r="S129" s="1053"/>
      <c r="T129" s="1053"/>
      <c r="U129" s="1053"/>
      <c r="V129" s="1053"/>
      <c r="W129" s="1053"/>
      <c r="X129" s="1053"/>
      <c r="Y129" s="1053"/>
      <c r="Z129" s="1053"/>
      <c r="AD129" s="296"/>
      <c r="AE129" s="597"/>
      <c r="AF129" s="597"/>
      <c r="AG129" s="296"/>
      <c r="AH129" s="296"/>
      <c r="AI129" s="296"/>
      <c r="AJ129" s="597"/>
      <c r="AK129" s="597"/>
      <c r="AL129" s="296"/>
      <c r="AM129" s="296"/>
      <c r="AN129" s="296"/>
      <c r="AO129" s="296"/>
      <c r="AP129" s="267"/>
      <c r="AQ129" s="267"/>
      <c r="AR129" s="267"/>
      <c r="AS129" s="267"/>
      <c r="AT129" s="267"/>
    </row>
    <row r="130" spans="2:46">
      <c r="B130" s="168">
        <f>+B129-18</f>
        <v>269.35700000000003</v>
      </c>
      <c r="C130" s="240" t="s">
        <v>70</v>
      </c>
      <c r="O130" s="1053">
        <f>+B128</f>
        <v>1231.53</v>
      </c>
      <c r="P130" s="1053"/>
      <c r="Q130" s="1053" t="s">
        <v>71</v>
      </c>
      <c r="R130" s="1053"/>
      <c r="S130" s="1053"/>
      <c r="T130" s="1053"/>
      <c r="U130" s="1053"/>
      <c r="V130" s="1053"/>
      <c r="W130" s="1053"/>
      <c r="X130" s="1053"/>
      <c r="Y130" s="1053"/>
      <c r="Z130" s="1053"/>
      <c r="AA130" s="7" t="s">
        <v>72</v>
      </c>
      <c r="AD130" s="296"/>
      <c r="AE130" s="597"/>
      <c r="AF130" s="597"/>
      <c r="AG130" s="296"/>
      <c r="AH130" s="296"/>
      <c r="AI130" s="296"/>
      <c r="AJ130" s="597"/>
      <c r="AK130" s="597"/>
      <c r="AL130" s="296"/>
      <c r="AM130" s="296"/>
      <c r="AN130" s="296"/>
      <c r="AO130" s="296"/>
      <c r="AP130" s="267"/>
      <c r="AQ130" s="267"/>
      <c r="AR130" s="267"/>
      <c r="AS130" s="267"/>
      <c r="AT130" s="267"/>
    </row>
    <row r="131" spans="2:46">
      <c r="B131" s="381">
        <f>+B130/7+0</f>
        <v>38.479571428571433</v>
      </c>
      <c r="C131" s="382" t="s">
        <v>73</v>
      </c>
      <c r="D131" s="383"/>
      <c r="O131" s="1053">
        <f>+O130/30*7</f>
        <v>287.35700000000003</v>
      </c>
      <c r="P131" s="1053"/>
      <c r="Q131" s="1053" t="s">
        <v>74</v>
      </c>
      <c r="R131" s="1053"/>
      <c r="S131" s="1053"/>
      <c r="T131" s="1053"/>
      <c r="U131" s="1053"/>
      <c r="V131" s="1053"/>
      <c r="W131" s="1053"/>
      <c r="X131" s="1053"/>
      <c r="Y131" s="1053"/>
      <c r="Z131" s="1053"/>
      <c r="AA131" s="1064">
        <f>+O131*0.87</f>
        <v>250.00059000000002</v>
      </c>
      <c r="AB131" s="1064"/>
      <c r="AD131" s="296"/>
      <c r="AE131" s="384"/>
      <c r="AF131" s="384"/>
      <c r="AG131" s="296"/>
      <c r="AH131" s="296"/>
      <c r="AI131" s="296"/>
      <c r="AJ131" s="384"/>
      <c r="AK131" s="384"/>
      <c r="AL131" s="385"/>
      <c r="AM131" s="385"/>
      <c r="AN131" s="385"/>
      <c r="AO131" s="385"/>
      <c r="AP131" s="386"/>
      <c r="AQ131" s="386"/>
      <c r="AR131" s="267"/>
      <c r="AS131" s="267"/>
      <c r="AT131" s="267"/>
    </row>
    <row r="132" spans="2:46">
      <c r="O132" s="1053">
        <f>+O131/7</f>
        <v>41.051000000000002</v>
      </c>
      <c r="P132" s="1053"/>
      <c r="Q132" s="1053" t="s">
        <v>75</v>
      </c>
      <c r="R132" s="1053"/>
      <c r="S132" s="1053"/>
      <c r="T132" s="1053"/>
      <c r="U132" s="1053"/>
      <c r="V132" s="1053"/>
      <c r="W132" s="1053"/>
      <c r="X132" s="1053"/>
      <c r="Y132" s="1053"/>
      <c r="Z132" s="1053"/>
      <c r="AD132" s="296"/>
      <c r="AE132" s="597"/>
      <c r="AF132" s="597"/>
      <c r="AG132" s="296"/>
      <c r="AH132" s="296"/>
      <c r="AI132" s="296"/>
      <c r="AJ132" s="597"/>
      <c r="AK132" s="597"/>
      <c r="AL132" s="387"/>
      <c r="AM132" s="387"/>
      <c r="AN132" s="385"/>
      <c r="AO132" s="385"/>
      <c r="AP132" s="386"/>
      <c r="AQ132" s="386"/>
      <c r="AR132" s="267"/>
      <c r="AS132" s="267"/>
      <c r="AT132" s="267"/>
    </row>
    <row r="133" spans="2:46" ht="15.75">
      <c r="B133" s="427">
        <f>+B131</f>
        <v>38.479571428571433</v>
      </c>
      <c r="C133" s="389" t="s">
        <v>76</v>
      </c>
      <c r="D133" s="390"/>
      <c r="E133" s="390"/>
      <c r="F133" s="390"/>
      <c r="O133" s="1065">
        <f>(O131-18)/7</f>
        <v>38.479571428571433</v>
      </c>
      <c r="P133" s="1065"/>
      <c r="Q133" s="1065" t="s">
        <v>77</v>
      </c>
      <c r="R133" s="1065"/>
      <c r="S133" s="1065"/>
      <c r="T133" s="1065"/>
      <c r="U133" s="1065"/>
      <c r="V133" s="1065"/>
      <c r="W133" s="1065"/>
      <c r="X133" s="1065"/>
      <c r="Y133" s="1065"/>
      <c r="Z133" s="1065"/>
      <c r="AD133" s="296"/>
      <c r="AE133" s="391"/>
      <c r="AF133" s="391"/>
      <c r="AG133" s="392"/>
      <c r="AH133" s="392"/>
      <c r="AI133" s="392"/>
      <c r="AJ133" s="391"/>
      <c r="AK133" s="391"/>
      <c r="AL133" s="385"/>
      <c r="AM133" s="385"/>
      <c r="AN133" s="385"/>
      <c r="AO133" s="385"/>
      <c r="AP133" s="386"/>
      <c r="AQ133" s="386"/>
      <c r="AR133" s="267"/>
      <c r="AS133" s="267"/>
      <c r="AT133" s="267"/>
    </row>
    <row r="134" spans="2:46">
      <c r="B134" s="168">
        <v>3</v>
      </c>
      <c r="C134" s="240" t="s">
        <v>78</v>
      </c>
      <c r="O134" s="1053">
        <v>3</v>
      </c>
      <c r="P134" s="1053"/>
      <c r="Q134" s="1053" t="s">
        <v>79</v>
      </c>
      <c r="R134" s="1053"/>
      <c r="S134" s="1053"/>
      <c r="T134" s="1053"/>
      <c r="U134" s="1053"/>
      <c r="V134" s="1053"/>
      <c r="W134" s="1053"/>
      <c r="X134" s="1053"/>
      <c r="Y134" s="1053"/>
      <c r="Z134" s="1053"/>
      <c r="AD134" s="296"/>
      <c r="AE134" s="296"/>
      <c r="AF134" s="391"/>
      <c r="AG134" s="392"/>
      <c r="AH134" s="392"/>
      <c r="AI134" s="392"/>
      <c r="AJ134" s="391"/>
      <c r="AK134" s="296"/>
      <c r="AL134" s="385"/>
      <c r="AM134" s="385"/>
      <c r="AN134" s="385"/>
      <c r="AO134" s="385"/>
      <c r="AP134" s="386"/>
      <c r="AQ134" s="386"/>
      <c r="AR134" s="267"/>
      <c r="AS134" s="267"/>
      <c r="AT134" s="267"/>
    </row>
    <row r="135" spans="2:46">
      <c r="B135" s="381">
        <f>+B134+B133</f>
        <v>41.479571428571433</v>
      </c>
      <c r="C135" s="382" t="s">
        <v>80</v>
      </c>
      <c r="D135" s="393"/>
      <c r="E135" s="394"/>
      <c r="F135" s="395"/>
      <c r="G135" s="393"/>
      <c r="H135" s="393"/>
      <c r="I135" s="395"/>
      <c r="J135" s="393"/>
      <c r="K135" s="396"/>
      <c r="L135" s="396"/>
      <c r="M135" s="383"/>
      <c r="O135" s="1053">
        <f>+O134+O133</f>
        <v>41.479571428571433</v>
      </c>
      <c r="P135" s="1053"/>
      <c r="AD135" s="296"/>
      <c r="AE135" s="597"/>
      <c r="AF135" s="597"/>
      <c r="AG135" s="296"/>
      <c r="AH135" s="296"/>
      <c r="AI135" s="296"/>
      <c r="AJ135" s="597"/>
      <c r="AK135" s="597"/>
      <c r="AL135" s="387"/>
      <c r="AM135" s="387"/>
      <c r="AN135" s="387"/>
      <c r="AO135" s="387"/>
      <c r="AP135" s="397"/>
      <c r="AQ135" s="267"/>
      <c r="AR135" s="267"/>
      <c r="AS135" s="267"/>
      <c r="AT135" s="267"/>
    </row>
    <row r="136" spans="2:46">
      <c r="B136" s="168"/>
      <c r="AD136" s="296"/>
      <c r="AE136" s="398"/>
      <c r="AF136" s="398"/>
      <c r="AG136" s="398"/>
      <c r="AH136" s="296"/>
      <c r="AI136" s="296"/>
      <c r="AJ136" s="398"/>
      <c r="AK136" s="398"/>
      <c r="AL136" s="385"/>
      <c r="AM136" s="296"/>
      <c r="AN136" s="296"/>
      <c r="AO136" s="296"/>
      <c r="AP136" s="267"/>
      <c r="AQ136" s="267"/>
      <c r="AR136" s="267"/>
      <c r="AS136" s="267"/>
      <c r="AT136" s="267"/>
    </row>
    <row r="137" spans="2:46">
      <c r="B137" s="168">
        <f>+B135*6</f>
        <v>248.8774285714286</v>
      </c>
      <c r="C137" s="240" t="s">
        <v>81</v>
      </c>
      <c r="O137" s="1053" t="s">
        <v>82</v>
      </c>
      <c r="P137" s="1053"/>
      <c r="Q137" s="1053"/>
      <c r="R137" s="1053"/>
      <c r="S137" s="1053"/>
      <c r="T137" s="1053"/>
      <c r="U137" s="1053"/>
      <c r="V137" s="1053"/>
      <c r="W137" s="1053"/>
      <c r="X137" s="1053"/>
      <c r="Y137" s="1053"/>
      <c r="Z137" s="1053"/>
      <c r="AD137" s="296"/>
      <c r="AE137" s="296"/>
      <c r="AF137" s="296"/>
      <c r="AG137" s="296"/>
      <c r="AH137" s="296"/>
      <c r="AI137" s="385"/>
      <c r="AJ137" s="385"/>
      <c r="AK137" s="387"/>
      <c r="AL137" s="595"/>
      <c r="AM137" s="597"/>
      <c r="AN137" s="595"/>
      <c r="AO137" s="296"/>
      <c r="AP137" s="267"/>
      <c r="AQ137" s="267"/>
      <c r="AR137" s="267"/>
      <c r="AS137" s="267"/>
      <c r="AT137" s="267"/>
    </row>
    <row r="138" spans="2:46">
      <c r="B138" s="399">
        <f>+B133</f>
        <v>38.479571428571433</v>
      </c>
      <c r="C138" s="400" t="s">
        <v>83</v>
      </c>
      <c r="D138" s="401"/>
      <c r="E138" s="402"/>
      <c r="F138" s="403"/>
      <c r="G138" s="401"/>
      <c r="H138" s="401"/>
      <c r="I138" s="403"/>
      <c r="J138" s="401"/>
      <c r="K138" s="404"/>
      <c r="L138" s="405"/>
      <c r="O138" s="1053">
        <f>+O130*1.1</f>
        <v>1354.683</v>
      </c>
      <c r="P138" s="1053"/>
      <c r="Q138" s="1053" t="s">
        <v>71</v>
      </c>
      <c r="R138" s="1053"/>
      <c r="S138" s="1053"/>
      <c r="T138" s="1053"/>
      <c r="U138" s="1053"/>
      <c r="V138" s="1053"/>
      <c r="W138" s="1053"/>
      <c r="X138" s="1053"/>
      <c r="Y138" s="1053"/>
      <c r="Z138" s="1053"/>
      <c r="AA138" s="7" t="s">
        <v>84</v>
      </c>
      <c r="AG138" s="267"/>
      <c r="AH138" s="267"/>
      <c r="AI138" s="386"/>
      <c r="AJ138" s="386"/>
      <c r="AK138" s="386"/>
      <c r="AL138" s="267"/>
      <c r="AM138" s="267"/>
      <c r="AN138" s="267"/>
      <c r="AO138" s="267"/>
    </row>
    <row r="139" spans="2:46">
      <c r="B139" s="381">
        <f>+B138+B137</f>
        <v>287.35700000000003</v>
      </c>
      <c r="C139" s="382" t="s">
        <v>85</v>
      </c>
      <c r="D139" s="393"/>
      <c r="E139" s="394"/>
      <c r="F139" s="395"/>
      <c r="G139" s="393"/>
      <c r="H139" s="393"/>
      <c r="I139" s="395"/>
      <c r="J139" s="393"/>
      <c r="K139" s="406"/>
      <c r="L139" s="405"/>
      <c r="O139" s="1053">
        <f>+O138/30*7</f>
        <v>316.09270000000004</v>
      </c>
      <c r="P139" s="1053"/>
      <c r="Q139" s="1053" t="s">
        <v>74</v>
      </c>
      <c r="R139" s="1053"/>
      <c r="S139" s="1053"/>
      <c r="T139" s="1053"/>
      <c r="U139" s="1053"/>
      <c r="V139" s="1053"/>
      <c r="W139" s="1053"/>
      <c r="X139" s="1053"/>
      <c r="Y139" s="1053"/>
      <c r="Z139" s="1053"/>
      <c r="AA139" s="1064">
        <f>+O139*0.87</f>
        <v>275.00064900000001</v>
      </c>
      <c r="AB139" s="1064"/>
      <c r="AG139" s="267"/>
      <c r="AH139" s="267"/>
      <c r="AI139" s="386"/>
      <c r="AJ139" s="386"/>
      <c r="AK139" s="407"/>
      <c r="AL139" s="267"/>
      <c r="AM139" s="267"/>
      <c r="AN139" s="267"/>
      <c r="AO139" s="267"/>
    </row>
    <row r="140" spans="2:46">
      <c r="B140" s="408"/>
      <c r="C140" s="409"/>
      <c r="D140" s="333"/>
      <c r="E140" s="410"/>
      <c r="F140" s="411"/>
      <c r="G140" s="333"/>
      <c r="H140" s="333"/>
      <c r="I140" s="411"/>
      <c r="J140" s="333"/>
      <c r="K140" s="405"/>
      <c r="L140" s="405"/>
      <c r="O140" s="1053">
        <f>+O139/7</f>
        <v>45.156100000000002</v>
      </c>
      <c r="P140" s="1053"/>
      <c r="Q140" s="1053" t="s">
        <v>75</v>
      </c>
      <c r="R140" s="1053"/>
      <c r="S140" s="1053"/>
      <c r="T140" s="1053"/>
      <c r="U140" s="1053"/>
      <c r="V140" s="1053"/>
      <c r="W140" s="1053"/>
      <c r="X140" s="1053"/>
      <c r="Y140" s="1053"/>
      <c r="Z140" s="1053"/>
      <c r="AG140" s="267"/>
      <c r="AH140" s="267"/>
      <c r="AI140" s="412"/>
      <c r="AJ140" s="413"/>
      <c r="AK140" s="407"/>
      <c r="AL140" s="267"/>
      <c r="AM140" s="267"/>
      <c r="AN140" s="267"/>
      <c r="AO140" s="267"/>
    </row>
    <row r="141" spans="2:46" ht="15.75">
      <c r="B141" s="426">
        <f>+B139/7</f>
        <v>41.051000000000002</v>
      </c>
      <c r="C141" s="415" t="s">
        <v>86</v>
      </c>
      <c r="D141" s="416"/>
      <c r="E141" s="417"/>
      <c r="F141" s="418"/>
      <c r="G141" s="419"/>
      <c r="H141" s="419"/>
      <c r="I141" s="411"/>
      <c r="J141" s="333"/>
      <c r="K141" s="405"/>
      <c r="L141" s="405"/>
      <c r="O141" s="1065">
        <f>(O139-18)/7</f>
        <v>42.584671428571433</v>
      </c>
      <c r="P141" s="1065"/>
      <c r="Q141" s="1065" t="s">
        <v>77</v>
      </c>
      <c r="R141" s="1065"/>
      <c r="S141" s="1065"/>
      <c r="T141" s="1065"/>
      <c r="U141" s="1065"/>
      <c r="V141" s="1065"/>
      <c r="W141" s="1065"/>
      <c r="X141" s="1065"/>
      <c r="Y141" s="1065"/>
      <c r="Z141" s="1065"/>
      <c r="AG141" s="267"/>
      <c r="AH141" s="267"/>
      <c r="AI141" s="267"/>
      <c r="AJ141" s="267"/>
      <c r="AK141" s="407"/>
      <c r="AL141" s="267"/>
      <c r="AM141" s="267"/>
      <c r="AN141" s="267"/>
      <c r="AO141" s="267"/>
    </row>
    <row r="142" spans="2:46">
      <c r="B142" s="408"/>
      <c r="C142" s="409"/>
      <c r="D142" s="333"/>
      <c r="E142" s="410"/>
      <c r="F142" s="411"/>
      <c r="G142" s="333"/>
      <c r="H142" s="333"/>
      <c r="I142" s="411"/>
      <c r="J142" s="333"/>
      <c r="K142" s="405"/>
      <c r="L142" s="405"/>
      <c r="O142" s="1053">
        <v>3</v>
      </c>
      <c r="P142" s="1053"/>
      <c r="Q142" s="1053" t="s">
        <v>79</v>
      </c>
      <c r="R142" s="1053"/>
      <c r="S142" s="1053"/>
      <c r="T142" s="1053"/>
      <c r="U142" s="1053"/>
      <c r="V142" s="1053"/>
      <c r="W142" s="1053"/>
      <c r="X142" s="1053"/>
      <c r="Y142" s="1053"/>
      <c r="Z142" s="1053"/>
      <c r="AG142" s="267"/>
      <c r="AH142" s="267"/>
      <c r="AI142" s="267"/>
      <c r="AJ142" s="267"/>
      <c r="AK142" s="267"/>
      <c r="AL142" s="267"/>
      <c r="AM142" s="267"/>
      <c r="AN142" s="267"/>
      <c r="AO142" s="267"/>
    </row>
    <row r="143" spans="2:46">
      <c r="B143" s="408"/>
      <c r="C143" s="409"/>
      <c r="D143" s="333"/>
      <c r="E143" s="410"/>
      <c r="F143" s="411"/>
      <c r="G143" s="333"/>
      <c r="H143" s="333"/>
      <c r="I143" s="411"/>
      <c r="J143" s="333"/>
      <c r="K143" s="405"/>
      <c r="L143" s="405"/>
      <c r="O143" s="1053">
        <f>+O142+O141</f>
        <v>45.584671428571433</v>
      </c>
      <c r="P143" s="1053"/>
      <c r="AG143" s="267"/>
      <c r="AH143" s="267"/>
      <c r="AI143" s="267"/>
      <c r="AJ143" s="267"/>
      <c r="AK143" s="267"/>
      <c r="AL143" s="267"/>
      <c r="AM143" s="267"/>
      <c r="AN143" s="267"/>
      <c r="AO143" s="267"/>
    </row>
    <row r="144" spans="2:46">
      <c r="B144" s="168"/>
      <c r="AG144" s="267"/>
      <c r="AH144" s="267"/>
      <c r="AI144" s="267"/>
      <c r="AJ144" s="267"/>
      <c r="AK144" s="267"/>
      <c r="AL144" s="267"/>
      <c r="AM144" s="267"/>
      <c r="AN144" s="267"/>
      <c r="AO144" s="267"/>
    </row>
    <row r="145" spans="2:46" ht="26.25" thickBot="1">
      <c r="B145" s="377" t="s">
        <v>53</v>
      </c>
      <c r="H145" s="1052">
        <v>42744</v>
      </c>
      <c r="I145" s="1052"/>
      <c r="J145" s="1052"/>
      <c r="K145" s="1052"/>
      <c r="L145" s="1052"/>
      <c r="M145" s="1052"/>
      <c r="N145" s="1052"/>
      <c r="AD145" s="378"/>
      <c r="AE145" s="378"/>
      <c r="AF145" s="378"/>
      <c r="AG145" s="167"/>
      <c r="AH145" s="167"/>
      <c r="AI145" s="167"/>
      <c r="AJ145" s="376"/>
      <c r="AK145" s="376"/>
    </row>
    <row r="146" spans="2:46" ht="16.5" thickBot="1">
      <c r="B146" s="379">
        <v>1232.1400000000001</v>
      </c>
      <c r="C146" s="240" t="s">
        <v>67</v>
      </c>
      <c r="AD146" s="296"/>
      <c r="AE146" s="296"/>
      <c r="AF146" s="296"/>
      <c r="AG146" s="296"/>
      <c r="AH146" s="296"/>
      <c r="AI146" s="296"/>
      <c r="AJ146" s="296"/>
      <c r="AK146" s="296"/>
      <c r="AL146" s="296"/>
      <c r="AM146" s="296"/>
      <c r="AN146" s="296"/>
      <c r="AO146" s="296"/>
      <c r="AP146" s="267"/>
      <c r="AQ146" s="267"/>
      <c r="AR146" s="267"/>
      <c r="AS146" s="267"/>
      <c r="AT146" s="267"/>
    </row>
    <row r="147" spans="2:46" ht="15.75">
      <c r="B147" s="168">
        <f>+B146/30*7</f>
        <v>287.49933333333337</v>
      </c>
      <c r="C147" s="240" t="s">
        <v>68</v>
      </c>
      <c r="D147" s="380"/>
      <c r="O147" s="1053" t="s">
        <v>69</v>
      </c>
      <c r="P147" s="1053"/>
      <c r="Q147" s="1053"/>
      <c r="R147" s="1053"/>
      <c r="S147" s="1053"/>
      <c r="T147" s="1053"/>
      <c r="U147" s="1053"/>
      <c r="V147" s="1053"/>
      <c r="W147" s="1053"/>
      <c r="X147" s="1053"/>
      <c r="Y147" s="1053"/>
      <c r="Z147" s="1053"/>
      <c r="AD147" s="296"/>
      <c r="AE147" s="597"/>
      <c r="AF147" s="597"/>
      <c r="AG147" s="296"/>
      <c r="AH147" s="296"/>
      <c r="AI147" s="296"/>
      <c r="AJ147" s="597"/>
      <c r="AK147" s="597"/>
      <c r="AL147" s="296"/>
      <c r="AM147" s="296"/>
      <c r="AN147" s="296"/>
      <c r="AO147" s="296"/>
      <c r="AP147" s="267"/>
      <c r="AQ147" s="267"/>
      <c r="AR147" s="267"/>
      <c r="AS147" s="267"/>
      <c r="AT147" s="267"/>
    </row>
    <row r="148" spans="2:46">
      <c r="B148" s="168">
        <f>+B147-18</f>
        <v>269.49933333333337</v>
      </c>
      <c r="C148" s="240" t="s">
        <v>70</v>
      </c>
      <c r="O148" s="1053">
        <f>+B146</f>
        <v>1232.1400000000001</v>
      </c>
      <c r="P148" s="1053"/>
      <c r="Q148" s="1053" t="s">
        <v>71</v>
      </c>
      <c r="R148" s="1053"/>
      <c r="S148" s="1053"/>
      <c r="T148" s="1053"/>
      <c r="U148" s="1053"/>
      <c r="V148" s="1053"/>
      <c r="W148" s="1053"/>
      <c r="X148" s="1053"/>
      <c r="Y148" s="1053"/>
      <c r="Z148" s="1053"/>
      <c r="AA148" s="7" t="s">
        <v>72</v>
      </c>
      <c r="AD148" s="296"/>
      <c r="AE148" s="597"/>
      <c r="AF148" s="597"/>
      <c r="AG148" s="296"/>
      <c r="AH148" s="296"/>
      <c r="AI148" s="296"/>
      <c r="AJ148" s="597"/>
      <c r="AK148" s="597"/>
      <c r="AL148" s="296"/>
      <c r="AM148" s="296"/>
      <c r="AN148" s="296"/>
      <c r="AO148" s="296"/>
      <c r="AP148" s="267"/>
      <c r="AQ148" s="267"/>
      <c r="AR148" s="267"/>
      <c r="AS148" s="267"/>
      <c r="AT148" s="267"/>
    </row>
    <row r="149" spans="2:46">
      <c r="B149" s="381">
        <f>+B148/7+0</f>
        <v>38.499904761904766</v>
      </c>
      <c r="C149" s="382" t="s">
        <v>73</v>
      </c>
      <c r="D149" s="383"/>
      <c r="O149" s="1053">
        <f>+O148/30*7</f>
        <v>287.49933333333337</v>
      </c>
      <c r="P149" s="1053"/>
      <c r="Q149" s="1053" t="s">
        <v>74</v>
      </c>
      <c r="R149" s="1053"/>
      <c r="S149" s="1053"/>
      <c r="T149" s="1053"/>
      <c r="U149" s="1053"/>
      <c r="V149" s="1053"/>
      <c r="W149" s="1053"/>
      <c r="X149" s="1053"/>
      <c r="Y149" s="1053"/>
      <c r="Z149" s="1053"/>
      <c r="AA149" s="1064">
        <f>+O149*0.87</f>
        <v>250.12442000000001</v>
      </c>
      <c r="AB149" s="1064"/>
      <c r="AD149" s="296"/>
      <c r="AE149" s="384"/>
      <c r="AF149" s="384"/>
      <c r="AG149" s="296"/>
      <c r="AH149" s="296"/>
      <c r="AI149" s="296"/>
      <c r="AJ149" s="384"/>
      <c r="AK149" s="384"/>
      <c r="AL149" s="385"/>
      <c r="AM149" s="385"/>
      <c r="AN149" s="385"/>
      <c r="AO149" s="385"/>
      <c r="AP149" s="386"/>
      <c r="AQ149" s="386"/>
      <c r="AR149" s="267"/>
      <c r="AS149" s="267"/>
      <c r="AT149" s="267"/>
    </row>
    <row r="150" spans="2:46">
      <c r="O150" s="1053">
        <f>+O149/7</f>
        <v>41.071333333333335</v>
      </c>
      <c r="P150" s="1053"/>
      <c r="Q150" s="1053" t="s">
        <v>75</v>
      </c>
      <c r="R150" s="1053"/>
      <c r="S150" s="1053"/>
      <c r="T150" s="1053"/>
      <c r="U150" s="1053"/>
      <c r="V150" s="1053"/>
      <c r="W150" s="1053"/>
      <c r="X150" s="1053"/>
      <c r="Y150" s="1053"/>
      <c r="Z150" s="1053"/>
      <c r="AD150" s="296"/>
      <c r="AE150" s="597"/>
      <c r="AF150" s="597"/>
      <c r="AG150" s="296"/>
      <c r="AH150" s="296"/>
      <c r="AI150" s="296"/>
      <c r="AJ150" s="597"/>
      <c r="AK150" s="597"/>
      <c r="AL150" s="387"/>
      <c r="AM150" s="387"/>
      <c r="AN150" s="385"/>
      <c r="AO150" s="385"/>
      <c r="AP150" s="386"/>
      <c r="AQ150" s="386"/>
      <c r="AR150" s="267"/>
      <c r="AS150" s="267"/>
      <c r="AT150" s="267"/>
    </row>
    <row r="151" spans="2:46" ht="15.75">
      <c r="B151" s="427">
        <f>+B149</f>
        <v>38.499904761904766</v>
      </c>
      <c r="C151" s="389" t="s">
        <v>76</v>
      </c>
      <c r="D151" s="390"/>
      <c r="E151" s="390"/>
      <c r="F151" s="390"/>
      <c r="O151" s="1065">
        <f>(O149-18)/7</f>
        <v>38.499904761904766</v>
      </c>
      <c r="P151" s="1065"/>
      <c r="Q151" s="1065" t="s">
        <v>77</v>
      </c>
      <c r="R151" s="1065"/>
      <c r="S151" s="1065"/>
      <c r="T151" s="1065"/>
      <c r="U151" s="1065"/>
      <c r="V151" s="1065"/>
      <c r="W151" s="1065"/>
      <c r="X151" s="1065"/>
      <c r="Y151" s="1065"/>
      <c r="Z151" s="1065"/>
      <c r="AD151" s="296"/>
      <c r="AE151" s="391"/>
      <c r="AF151" s="391"/>
      <c r="AG151" s="392"/>
      <c r="AH151" s="392"/>
      <c r="AI151" s="392"/>
      <c r="AJ151" s="391"/>
      <c r="AK151" s="391"/>
      <c r="AL151" s="385"/>
      <c r="AM151" s="385"/>
      <c r="AN151" s="385"/>
      <c r="AO151" s="385"/>
      <c r="AP151" s="386"/>
      <c r="AQ151" s="386"/>
      <c r="AR151" s="267"/>
      <c r="AS151" s="267"/>
      <c r="AT151" s="267"/>
    </row>
    <row r="152" spans="2:46">
      <c r="B152" s="168">
        <v>3</v>
      </c>
      <c r="C152" s="240" t="s">
        <v>78</v>
      </c>
      <c r="O152" s="1053">
        <v>3</v>
      </c>
      <c r="P152" s="1053"/>
      <c r="Q152" s="1053" t="s">
        <v>79</v>
      </c>
      <c r="R152" s="1053"/>
      <c r="S152" s="1053"/>
      <c r="T152" s="1053"/>
      <c r="U152" s="1053"/>
      <c r="V152" s="1053"/>
      <c r="W152" s="1053"/>
      <c r="X152" s="1053"/>
      <c r="Y152" s="1053"/>
      <c r="Z152" s="1053"/>
      <c r="AD152" s="296"/>
      <c r="AE152" s="296"/>
      <c r="AF152" s="996">
        <v>993814365</v>
      </c>
      <c r="AG152" s="996"/>
      <c r="AH152" s="996"/>
      <c r="AI152" s="996"/>
      <c r="AJ152" s="996"/>
      <c r="AK152" s="296"/>
      <c r="AL152" s="385"/>
      <c r="AM152" s="385"/>
      <c r="AN152" s="385"/>
      <c r="AO152" s="385"/>
      <c r="AP152" s="386"/>
      <c r="AQ152" s="386"/>
      <c r="AR152" s="267"/>
      <c r="AS152" s="267"/>
      <c r="AT152" s="267"/>
    </row>
    <row r="153" spans="2:46">
      <c r="B153" s="381">
        <f>+B152+B151</f>
        <v>41.499904761904766</v>
      </c>
      <c r="C153" s="382" t="s">
        <v>80</v>
      </c>
      <c r="D153" s="393"/>
      <c r="E153" s="394"/>
      <c r="F153" s="395"/>
      <c r="G153" s="393"/>
      <c r="H153" s="393"/>
      <c r="I153" s="395"/>
      <c r="J153" s="393"/>
      <c r="K153" s="396"/>
      <c r="L153" s="396"/>
      <c r="M153" s="383"/>
      <c r="O153" s="1053">
        <f>+O152+O151</f>
        <v>41.499904761904766</v>
      </c>
      <c r="P153" s="1053"/>
      <c r="AD153" s="296"/>
      <c r="AE153" s="597"/>
      <c r="AF153" s="597"/>
      <c r="AG153" s="296"/>
      <c r="AH153" s="296"/>
      <c r="AI153" s="296"/>
      <c r="AJ153" s="597"/>
      <c r="AK153" s="597"/>
      <c r="AL153" s="387"/>
      <c r="AM153" s="387"/>
      <c r="AN153" s="387"/>
      <c r="AO153" s="387"/>
      <c r="AP153" s="397"/>
      <c r="AQ153" s="267"/>
      <c r="AR153" s="267"/>
      <c r="AS153" s="267"/>
      <c r="AT153" s="267"/>
    </row>
    <row r="154" spans="2:46">
      <c r="B154" s="168"/>
      <c r="AD154" s="296"/>
      <c r="AE154" s="398"/>
      <c r="AF154" s="398"/>
      <c r="AG154" s="398"/>
      <c r="AH154" s="296"/>
      <c r="AI154" s="296"/>
      <c r="AJ154" s="398"/>
      <c r="AK154" s="398"/>
      <c r="AL154" s="385"/>
      <c r="AM154" s="296"/>
      <c r="AN154" s="296"/>
      <c r="AO154" s="296"/>
      <c r="AP154" s="267"/>
      <c r="AQ154" s="267"/>
      <c r="AR154" s="267"/>
      <c r="AS154" s="267"/>
      <c r="AT154" s="267"/>
    </row>
    <row r="155" spans="2:46">
      <c r="B155" s="168">
        <f>+B153*6</f>
        <v>248.99942857142861</v>
      </c>
      <c r="C155" s="240" t="s">
        <v>81</v>
      </c>
      <c r="O155" s="1053" t="s">
        <v>82</v>
      </c>
      <c r="P155" s="1053"/>
      <c r="Q155" s="1053"/>
      <c r="R155" s="1053"/>
      <c r="S155" s="1053"/>
      <c r="T155" s="1053"/>
      <c r="U155" s="1053"/>
      <c r="V155" s="1053"/>
      <c r="W155" s="1053"/>
      <c r="X155" s="1053"/>
      <c r="Y155" s="1053"/>
      <c r="Z155" s="1053"/>
      <c r="AD155" s="296"/>
      <c r="AE155" s="296"/>
      <c r="AF155" s="296"/>
      <c r="AG155" s="296"/>
      <c r="AH155" s="296"/>
      <c r="AI155" s="385"/>
      <c r="AJ155" s="385"/>
      <c r="AK155" s="387"/>
      <c r="AL155" s="595"/>
      <c r="AM155" s="597"/>
      <c r="AN155" s="595"/>
      <c r="AO155" s="296"/>
      <c r="AP155" s="267"/>
      <c r="AQ155" s="267"/>
      <c r="AR155" s="267"/>
      <c r="AS155" s="267"/>
      <c r="AT155" s="267"/>
    </row>
    <row r="156" spans="2:46">
      <c r="B156" s="399">
        <f>+B151</f>
        <v>38.499904761904766</v>
      </c>
      <c r="C156" s="400" t="s">
        <v>83</v>
      </c>
      <c r="D156" s="401"/>
      <c r="E156" s="402"/>
      <c r="F156" s="403"/>
      <c r="G156" s="401"/>
      <c r="H156" s="401"/>
      <c r="I156" s="403"/>
      <c r="J156" s="401"/>
      <c r="K156" s="404"/>
      <c r="L156" s="405"/>
      <c r="O156" s="1053">
        <f>+O148*1.1</f>
        <v>1355.3540000000003</v>
      </c>
      <c r="P156" s="1053"/>
      <c r="Q156" s="1053" t="s">
        <v>71</v>
      </c>
      <c r="R156" s="1053"/>
      <c r="S156" s="1053"/>
      <c r="T156" s="1053"/>
      <c r="U156" s="1053"/>
      <c r="V156" s="1053"/>
      <c r="W156" s="1053"/>
      <c r="X156" s="1053"/>
      <c r="Y156" s="1053"/>
      <c r="Z156" s="1053"/>
      <c r="AA156" s="7" t="s">
        <v>84</v>
      </c>
      <c r="AG156" s="267"/>
      <c r="AH156" s="267"/>
      <c r="AI156" s="386"/>
      <c r="AJ156" s="386"/>
      <c r="AK156" s="386"/>
      <c r="AL156" s="267"/>
      <c r="AM156" s="267"/>
      <c r="AN156" s="267"/>
      <c r="AO156" s="267"/>
    </row>
    <row r="157" spans="2:46">
      <c r="B157" s="381">
        <f>+B156+B155</f>
        <v>287.49933333333337</v>
      </c>
      <c r="C157" s="382" t="s">
        <v>85</v>
      </c>
      <c r="D157" s="393"/>
      <c r="E157" s="394"/>
      <c r="F157" s="395"/>
      <c r="G157" s="393"/>
      <c r="H157" s="393"/>
      <c r="I157" s="395"/>
      <c r="J157" s="393"/>
      <c r="K157" s="406"/>
      <c r="L157" s="405"/>
      <c r="O157" s="1053">
        <f>+O156/30*7</f>
        <v>316.2492666666667</v>
      </c>
      <c r="P157" s="1053"/>
      <c r="Q157" s="1053" t="s">
        <v>74</v>
      </c>
      <c r="R157" s="1053"/>
      <c r="S157" s="1053"/>
      <c r="T157" s="1053"/>
      <c r="U157" s="1053"/>
      <c r="V157" s="1053"/>
      <c r="W157" s="1053"/>
      <c r="X157" s="1053"/>
      <c r="Y157" s="1053"/>
      <c r="Z157" s="1053"/>
      <c r="AA157" s="1064">
        <f>+O157*0.87</f>
        <v>275.13686200000001</v>
      </c>
      <c r="AB157" s="1064"/>
      <c r="AG157" s="267"/>
      <c r="AH157" s="267"/>
      <c r="AI157" s="386"/>
      <c r="AJ157" s="386"/>
      <c r="AK157" s="407"/>
      <c r="AL157" s="267"/>
      <c r="AM157" s="267"/>
      <c r="AN157" s="267"/>
      <c r="AO157" s="267"/>
    </row>
    <row r="158" spans="2:46">
      <c r="B158" s="408"/>
      <c r="C158" s="409"/>
      <c r="D158" s="333"/>
      <c r="E158" s="410"/>
      <c r="F158" s="411"/>
      <c r="G158" s="333"/>
      <c r="H158" s="333"/>
      <c r="I158" s="411"/>
      <c r="J158" s="333"/>
      <c r="K158" s="405"/>
      <c r="L158" s="405"/>
      <c r="O158" s="1053">
        <f>+O157/7</f>
        <v>45.178466666666672</v>
      </c>
      <c r="P158" s="1053"/>
      <c r="Q158" s="1053" t="s">
        <v>75</v>
      </c>
      <c r="R158" s="1053"/>
      <c r="S158" s="1053"/>
      <c r="T158" s="1053"/>
      <c r="U158" s="1053"/>
      <c r="V158" s="1053"/>
      <c r="W158" s="1053"/>
      <c r="X158" s="1053"/>
      <c r="Y158" s="1053"/>
      <c r="Z158" s="1053"/>
      <c r="AG158" s="267"/>
      <c r="AH158" s="267"/>
      <c r="AI158" s="412"/>
      <c r="AJ158" s="413"/>
      <c r="AK158" s="407"/>
      <c r="AL158" s="267"/>
      <c r="AM158" s="267"/>
      <c r="AN158" s="267"/>
      <c r="AO158" s="267"/>
    </row>
    <row r="159" spans="2:46" ht="15.75">
      <c r="B159" s="426">
        <f>+B157/7</f>
        <v>41.071333333333335</v>
      </c>
      <c r="C159" s="415" t="s">
        <v>86</v>
      </c>
      <c r="D159" s="416"/>
      <c r="E159" s="417"/>
      <c r="F159" s="418"/>
      <c r="G159" s="419"/>
      <c r="H159" s="419"/>
      <c r="I159" s="411"/>
      <c r="J159" s="333"/>
      <c r="K159" s="405"/>
      <c r="L159" s="405"/>
      <c r="O159" s="1065">
        <f>(O157-18)/7</f>
        <v>42.607038095238103</v>
      </c>
      <c r="P159" s="1065"/>
      <c r="Q159" s="1065" t="s">
        <v>77</v>
      </c>
      <c r="R159" s="1065"/>
      <c r="S159" s="1065"/>
      <c r="T159" s="1065"/>
      <c r="U159" s="1065"/>
      <c r="V159" s="1065"/>
      <c r="W159" s="1065"/>
      <c r="X159" s="1065"/>
      <c r="Y159" s="1065"/>
      <c r="Z159" s="1065"/>
      <c r="AG159" s="267"/>
      <c r="AH159" s="267"/>
      <c r="AI159" s="267"/>
      <c r="AJ159" s="267"/>
      <c r="AK159" s="407"/>
      <c r="AL159" s="267"/>
      <c r="AM159" s="267"/>
      <c r="AN159" s="267"/>
      <c r="AO159" s="267"/>
    </row>
    <row r="160" spans="2:46">
      <c r="B160" s="408"/>
      <c r="C160" s="409"/>
      <c r="D160" s="333"/>
      <c r="E160" s="410"/>
      <c r="F160" s="411"/>
      <c r="G160" s="333"/>
      <c r="H160" s="333"/>
      <c r="I160" s="411"/>
      <c r="J160" s="333"/>
      <c r="K160" s="405"/>
      <c r="L160" s="405"/>
      <c r="O160" s="1053">
        <v>3</v>
      </c>
      <c r="P160" s="1053"/>
      <c r="Q160" s="1053" t="s">
        <v>79</v>
      </c>
      <c r="R160" s="1053"/>
      <c r="S160" s="1053"/>
      <c r="T160" s="1053"/>
      <c r="U160" s="1053"/>
      <c r="V160" s="1053"/>
      <c r="W160" s="1053"/>
      <c r="X160" s="1053"/>
      <c r="Y160" s="1053"/>
      <c r="Z160" s="1053"/>
      <c r="AG160" s="267"/>
      <c r="AH160" s="267"/>
      <c r="AI160" s="267"/>
      <c r="AJ160" s="267"/>
      <c r="AK160" s="267"/>
      <c r="AL160" s="267"/>
      <c r="AM160" s="267"/>
      <c r="AN160" s="267"/>
      <c r="AO160" s="267"/>
    </row>
    <row r="161" spans="2:46">
      <c r="B161" s="408"/>
      <c r="C161" s="409"/>
      <c r="D161" s="333"/>
      <c r="E161" s="410"/>
      <c r="F161" s="411"/>
      <c r="G161" s="333"/>
      <c r="H161" s="333"/>
      <c r="I161" s="411"/>
      <c r="J161" s="333"/>
      <c r="K161" s="405"/>
      <c r="L161" s="405"/>
      <c r="O161" s="1053">
        <f>+O160+O159</f>
        <v>45.607038095238103</v>
      </c>
      <c r="P161" s="1053"/>
      <c r="AG161" s="267"/>
      <c r="AH161" s="267"/>
      <c r="AI161" s="267"/>
      <c r="AJ161" s="267"/>
      <c r="AK161" s="267"/>
      <c r="AL161" s="267"/>
      <c r="AM161" s="267"/>
      <c r="AN161" s="267"/>
      <c r="AO161" s="267"/>
    </row>
    <row r="162" spans="2:46">
      <c r="B162" s="168"/>
      <c r="AG162" s="267"/>
      <c r="AH162" s="267"/>
      <c r="AI162" s="267"/>
      <c r="AJ162" s="267"/>
      <c r="AK162" s="267"/>
      <c r="AL162" s="267"/>
      <c r="AM162" s="267"/>
      <c r="AN162" s="267"/>
      <c r="AO162" s="267"/>
    </row>
    <row r="163" spans="2:46">
      <c r="AG163" s="267"/>
      <c r="AH163" s="267"/>
      <c r="AI163" s="267"/>
      <c r="AJ163" s="267"/>
      <c r="AK163" s="267"/>
      <c r="AL163" s="267"/>
      <c r="AM163" s="267"/>
      <c r="AN163" s="267"/>
      <c r="AO163" s="267"/>
    </row>
    <row r="164" spans="2:46">
      <c r="AG164" s="267"/>
      <c r="AH164" s="267"/>
      <c r="AI164" s="267"/>
      <c r="AJ164" s="267"/>
      <c r="AK164" s="267"/>
      <c r="AL164" s="267"/>
      <c r="AM164" s="267"/>
      <c r="AN164" s="267"/>
      <c r="AO164" s="267"/>
    </row>
    <row r="165" spans="2:46" ht="26.25" thickBot="1">
      <c r="B165" s="377" t="s">
        <v>90</v>
      </c>
      <c r="H165" s="1052">
        <v>42736</v>
      </c>
      <c r="I165" s="1052"/>
      <c r="J165" s="1052"/>
      <c r="K165" s="1052"/>
      <c r="L165" s="1052"/>
      <c r="M165" s="1052"/>
      <c r="N165" s="1052"/>
      <c r="AG165" s="267"/>
      <c r="AH165" s="267"/>
      <c r="AI165" s="267"/>
      <c r="AJ165" s="267"/>
      <c r="AK165" s="267"/>
      <c r="AL165" s="267"/>
      <c r="AM165" s="267"/>
      <c r="AN165" s="267"/>
      <c r="AO165" s="267"/>
    </row>
    <row r="166" spans="2:46" ht="16.5" thickBot="1">
      <c r="B166" s="379">
        <v>850</v>
      </c>
      <c r="C166" s="240" t="s">
        <v>67</v>
      </c>
      <c r="AD166" s="296"/>
      <c r="AE166" s="296"/>
      <c r="AF166" s="296"/>
      <c r="AG166" s="296"/>
      <c r="AH166" s="296"/>
      <c r="AI166" s="296"/>
      <c r="AJ166" s="296"/>
      <c r="AK166" s="296"/>
      <c r="AL166" s="296"/>
      <c r="AM166" s="296"/>
      <c r="AN166" s="296"/>
      <c r="AO166" s="296"/>
      <c r="AP166" s="267"/>
      <c r="AQ166" s="267"/>
      <c r="AR166" s="267"/>
      <c r="AS166" s="267"/>
      <c r="AT166" s="267"/>
    </row>
    <row r="167" spans="2:46" ht="15.75">
      <c r="B167" s="168">
        <f>+B166/30*7</f>
        <v>198.33333333333331</v>
      </c>
      <c r="C167" s="240" t="s">
        <v>68</v>
      </c>
      <c r="D167" s="380"/>
      <c r="O167" s="1053" t="s">
        <v>69</v>
      </c>
      <c r="P167" s="1053"/>
      <c r="Q167" s="1053"/>
      <c r="R167" s="1053"/>
      <c r="S167" s="1053"/>
      <c r="T167" s="1053"/>
      <c r="U167" s="1053"/>
      <c r="V167" s="1053"/>
      <c r="W167" s="1053"/>
      <c r="X167" s="1053"/>
      <c r="Y167" s="1053"/>
      <c r="Z167" s="1053"/>
      <c r="AD167" s="296"/>
      <c r="AE167" s="597"/>
      <c r="AF167" s="597"/>
      <c r="AG167" s="296"/>
      <c r="AH167" s="296"/>
      <c r="AI167" s="296"/>
      <c r="AJ167" s="597"/>
      <c r="AK167" s="597"/>
      <c r="AL167" s="296"/>
      <c r="AM167" s="296"/>
      <c r="AN167" s="296"/>
      <c r="AO167" s="296"/>
      <c r="AP167" s="267"/>
      <c r="AQ167" s="267"/>
      <c r="AR167" s="267"/>
      <c r="AS167" s="267"/>
      <c r="AT167" s="267"/>
    </row>
    <row r="168" spans="2:46">
      <c r="B168" s="168">
        <f>+B167-18</f>
        <v>180.33333333333331</v>
      </c>
      <c r="C168" s="240" t="s">
        <v>70</v>
      </c>
      <c r="O168" s="1053">
        <f>+B166</f>
        <v>850</v>
      </c>
      <c r="P168" s="1053"/>
      <c r="Q168" s="1053" t="s">
        <v>71</v>
      </c>
      <c r="R168" s="1053"/>
      <c r="S168" s="1053"/>
      <c r="T168" s="1053"/>
      <c r="U168" s="1053"/>
      <c r="V168" s="1053"/>
      <c r="W168" s="1053"/>
      <c r="X168" s="1053"/>
      <c r="Y168" s="1053"/>
      <c r="Z168" s="1053"/>
      <c r="AA168" s="7" t="s">
        <v>72</v>
      </c>
      <c r="AD168" s="428" t="s">
        <v>91</v>
      </c>
      <c r="AE168" s="429"/>
      <c r="AF168" s="429"/>
      <c r="AG168" s="1075">
        <v>233.32</v>
      </c>
      <c r="AH168" s="1075"/>
      <c r="AI168" s="430"/>
      <c r="AJ168" s="1076">
        <f>233.32-AG168</f>
        <v>0</v>
      </c>
      <c r="AK168" s="1076"/>
      <c r="AL168" s="431"/>
      <c r="AM168" s="296"/>
      <c r="AN168" s="296"/>
      <c r="AO168" s="296"/>
      <c r="AP168" s="267"/>
      <c r="AQ168" s="267"/>
      <c r="AR168" s="267"/>
      <c r="AS168" s="267"/>
      <c r="AT168" s="267"/>
    </row>
    <row r="169" spans="2:46">
      <c r="B169" s="381">
        <f>+B168/7</f>
        <v>25.761904761904759</v>
      </c>
      <c r="C169" s="382" t="s">
        <v>73</v>
      </c>
      <c r="D169" s="383"/>
      <c r="O169" s="1053">
        <f>+O168/30*7</f>
        <v>198.33333333333331</v>
      </c>
      <c r="P169" s="1053"/>
      <c r="Q169" s="1053" t="s">
        <v>74</v>
      </c>
      <c r="R169" s="1053"/>
      <c r="S169" s="1053"/>
      <c r="T169" s="1053"/>
      <c r="U169" s="1053"/>
      <c r="V169" s="1053"/>
      <c r="W169" s="1053"/>
      <c r="X169" s="1053"/>
      <c r="Y169" s="1053"/>
      <c r="Z169" s="1053"/>
      <c r="AA169" s="1064">
        <f>+O169*0.87</f>
        <v>172.54999999999998</v>
      </c>
      <c r="AB169" s="1064"/>
      <c r="AD169" s="432" t="s">
        <v>92</v>
      </c>
      <c r="AE169" s="433"/>
      <c r="AF169" s="433"/>
      <c r="AG169" s="1077">
        <f>218.15-19.83</f>
        <v>198.32</v>
      </c>
      <c r="AH169" s="1077"/>
      <c r="AI169" s="434"/>
      <c r="AJ169" s="1078">
        <f>233.32-AG169</f>
        <v>35</v>
      </c>
      <c r="AK169" s="1078"/>
      <c r="AL169" s="435"/>
      <c r="AM169" s="385"/>
      <c r="AN169" s="385"/>
      <c r="AO169" s="385"/>
      <c r="AP169" s="386"/>
      <c r="AQ169" s="386"/>
      <c r="AR169" s="267"/>
      <c r="AS169" s="267"/>
      <c r="AT169" s="267"/>
    </row>
    <row r="170" spans="2:46">
      <c r="O170" s="1053">
        <f>+O169/7</f>
        <v>28.333333333333332</v>
      </c>
      <c r="P170" s="1053"/>
      <c r="Q170" s="1053" t="s">
        <v>75</v>
      </c>
      <c r="R170" s="1053"/>
      <c r="S170" s="1053"/>
      <c r="T170" s="1053"/>
      <c r="U170" s="1053"/>
      <c r="V170" s="1053"/>
      <c r="W170" s="1053"/>
      <c r="X170" s="1053"/>
      <c r="Y170" s="1053"/>
      <c r="Z170" s="1053"/>
      <c r="AD170" s="432" t="s">
        <v>93</v>
      </c>
      <c r="AE170" s="436"/>
      <c r="AF170" s="436"/>
      <c r="AG170" s="1077">
        <f>218.15-19.83</f>
        <v>198.32</v>
      </c>
      <c r="AH170" s="1077"/>
      <c r="AI170" s="434"/>
      <c r="AJ170" s="1078">
        <f>233.32-AG170</f>
        <v>35</v>
      </c>
      <c r="AK170" s="1078"/>
      <c r="AL170" s="437"/>
      <c r="AM170" s="387"/>
      <c r="AN170" s="385"/>
      <c r="AO170" s="385"/>
      <c r="AP170" s="386"/>
      <c r="AQ170" s="386"/>
      <c r="AR170" s="267"/>
      <c r="AS170" s="267"/>
      <c r="AT170" s="267"/>
    </row>
    <row r="171" spans="2:46" ht="15.75">
      <c r="B171" s="427">
        <f>+B169</f>
        <v>25.761904761904759</v>
      </c>
      <c r="C171" s="389" t="s">
        <v>76</v>
      </c>
      <c r="D171" s="390"/>
      <c r="E171" s="390"/>
      <c r="F171" s="390"/>
      <c r="O171" s="1065">
        <f>(O169-18)/7</f>
        <v>25.761904761904759</v>
      </c>
      <c r="P171" s="1065"/>
      <c r="Q171" s="1065" t="s">
        <v>77</v>
      </c>
      <c r="R171" s="1065"/>
      <c r="S171" s="1065"/>
      <c r="T171" s="1065"/>
      <c r="U171" s="1065"/>
      <c r="V171" s="1065"/>
      <c r="W171" s="1065"/>
      <c r="X171" s="1065"/>
      <c r="Y171" s="1065"/>
      <c r="Z171" s="1065"/>
      <c r="AD171" s="432" t="s">
        <v>94</v>
      </c>
      <c r="AE171" s="438"/>
      <c r="AF171" s="438"/>
      <c r="AG171" s="1077">
        <f>228.07-29.75</f>
        <v>198.32</v>
      </c>
      <c r="AH171" s="1077"/>
      <c r="AI171" s="439"/>
      <c r="AJ171" s="1078">
        <f>233.32-AG171</f>
        <v>35</v>
      </c>
      <c r="AK171" s="1078"/>
      <c r="AL171" s="435"/>
      <c r="AM171" s="385"/>
      <c r="AN171" s="385"/>
      <c r="AO171" s="385"/>
      <c r="AP171" s="386"/>
      <c r="AQ171" s="386"/>
      <c r="AR171" s="267"/>
      <c r="AS171" s="267"/>
      <c r="AT171" s="267"/>
    </row>
    <row r="172" spans="2:46">
      <c r="B172" s="168">
        <v>3</v>
      </c>
      <c r="C172" s="240" t="s">
        <v>78</v>
      </c>
      <c r="O172" s="1053">
        <v>3</v>
      </c>
      <c r="P172" s="1053"/>
      <c r="Q172" s="1053" t="s">
        <v>79</v>
      </c>
      <c r="R172" s="1053"/>
      <c r="S172" s="1053"/>
      <c r="T172" s="1053"/>
      <c r="U172" s="1053"/>
      <c r="V172" s="1053"/>
      <c r="W172" s="1053"/>
      <c r="X172" s="1053"/>
      <c r="Y172" s="1053"/>
      <c r="Z172" s="1053"/>
      <c r="AD172" s="432" t="s">
        <v>95</v>
      </c>
      <c r="AE172" s="434"/>
      <c r="AF172" s="438"/>
      <c r="AG172" s="1077">
        <f>208.24-9.92</f>
        <v>198.32000000000002</v>
      </c>
      <c r="AH172" s="1077"/>
      <c r="AI172" s="439"/>
      <c r="AJ172" s="1078">
        <f>233.32-AG172</f>
        <v>34.999999999999972</v>
      </c>
      <c r="AK172" s="1078"/>
      <c r="AL172" s="435"/>
      <c r="AM172" s="385"/>
      <c r="AN172" s="385"/>
      <c r="AO172" s="385"/>
      <c r="AP172" s="386"/>
      <c r="AQ172" s="386"/>
      <c r="AR172" s="267"/>
      <c r="AS172" s="267"/>
      <c r="AT172" s="267"/>
    </row>
    <row r="173" spans="2:46">
      <c r="B173" s="381">
        <f>+B172+B171</f>
        <v>28.761904761904759</v>
      </c>
      <c r="C173" s="382" t="s">
        <v>80</v>
      </c>
      <c r="D173" s="393"/>
      <c r="E173" s="394"/>
      <c r="F173" s="395"/>
      <c r="G173" s="393"/>
      <c r="H173" s="393"/>
      <c r="I173" s="395"/>
      <c r="J173" s="393"/>
      <c r="K173" s="396"/>
      <c r="L173" s="396"/>
      <c r="M173" s="383"/>
      <c r="O173" s="1053">
        <f>+O172+O171</f>
        <v>28.761904761904759</v>
      </c>
      <c r="P173" s="1053"/>
      <c r="AD173" s="440"/>
      <c r="AE173" s="436"/>
      <c r="AF173" s="436"/>
      <c r="AG173" s="441" t="s">
        <v>96</v>
      </c>
      <c r="AH173" s="442"/>
      <c r="AI173" s="434"/>
      <c r="AJ173" s="436"/>
      <c r="AK173" s="1079">
        <f>SUM(AJ168:AK172)</f>
        <v>139.99999999999997</v>
      </c>
      <c r="AL173" s="1080"/>
      <c r="AM173" s="387"/>
      <c r="AN173" s="387"/>
      <c r="AO173" s="387"/>
      <c r="AP173" s="397"/>
      <c r="AQ173" s="267"/>
      <c r="AR173" s="267"/>
      <c r="AS173" s="267"/>
      <c r="AT173" s="267"/>
    </row>
    <row r="174" spans="2:46">
      <c r="B174" s="168"/>
      <c r="AD174" s="443"/>
      <c r="AE174" s="444"/>
      <c r="AF174" s="444"/>
      <c r="AG174" s="445"/>
      <c r="AH174" s="446"/>
      <c r="AI174" s="447" t="s">
        <v>97</v>
      </c>
      <c r="AJ174" s="444"/>
      <c r="AK174" s="444"/>
      <c r="AL174" s="448"/>
      <c r="AM174" s="296"/>
      <c r="AN174" s="296"/>
      <c r="AO174" s="296"/>
      <c r="AP174" s="267"/>
      <c r="AQ174" s="267"/>
      <c r="AR174" s="267"/>
      <c r="AS174" s="267"/>
      <c r="AT174" s="267"/>
    </row>
    <row r="175" spans="2:46">
      <c r="B175" s="168">
        <f>+B173*6</f>
        <v>172.57142857142856</v>
      </c>
      <c r="C175" s="240" t="s">
        <v>81</v>
      </c>
      <c r="O175" s="1053" t="s">
        <v>82</v>
      </c>
      <c r="P175" s="1053"/>
      <c r="Q175" s="1053"/>
      <c r="R175" s="1053"/>
      <c r="S175" s="1053"/>
      <c r="T175" s="1053"/>
      <c r="U175" s="1053"/>
      <c r="V175" s="1053"/>
      <c r="W175" s="1053"/>
      <c r="X175" s="1053"/>
      <c r="Y175" s="1053"/>
      <c r="Z175" s="1053"/>
      <c r="AD175" s="296"/>
      <c r="AE175" s="296"/>
      <c r="AF175" s="296"/>
      <c r="AG175" s="296"/>
      <c r="AH175" s="296"/>
      <c r="AI175" s="385"/>
      <c r="AJ175" s="385"/>
      <c r="AK175" s="387"/>
      <c r="AL175" s="595"/>
      <c r="AM175" s="597"/>
      <c r="AN175" s="595"/>
      <c r="AO175" s="296"/>
      <c r="AP175" s="267"/>
      <c r="AQ175" s="267"/>
      <c r="AR175" s="267"/>
      <c r="AS175" s="267"/>
      <c r="AT175" s="267"/>
    </row>
    <row r="176" spans="2:46">
      <c r="B176" s="399">
        <f>+B171</f>
        <v>25.761904761904759</v>
      </c>
      <c r="C176" s="400" t="s">
        <v>83</v>
      </c>
      <c r="D176" s="401"/>
      <c r="E176" s="402"/>
      <c r="F176" s="403"/>
      <c r="G176" s="401"/>
      <c r="H176" s="401"/>
      <c r="I176" s="403"/>
      <c r="J176" s="401"/>
      <c r="K176" s="404"/>
      <c r="L176" s="405"/>
      <c r="O176" s="1053">
        <f>+O168*1.1</f>
        <v>935.00000000000011</v>
      </c>
      <c r="P176" s="1053"/>
      <c r="Q176" s="1053" t="s">
        <v>71</v>
      </c>
      <c r="R176" s="1053"/>
      <c r="S176" s="1053"/>
      <c r="T176" s="1053"/>
      <c r="U176" s="1053"/>
      <c r="V176" s="1053"/>
      <c r="W176" s="1053"/>
      <c r="X176" s="1053"/>
      <c r="Y176" s="1053"/>
      <c r="Z176" s="1053"/>
      <c r="AA176" s="7" t="s">
        <v>84</v>
      </c>
      <c r="AG176" s="267"/>
      <c r="AH176" s="267"/>
      <c r="AI176" s="386"/>
      <c r="AJ176" s="386"/>
      <c r="AK176" s="386"/>
      <c r="AL176" s="267"/>
      <c r="AM176" s="267"/>
      <c r="AN176" s="267"/>
      <c r="AO176" s="267"/>
    </row>
    <row r="177" spans="2:46">
      <c r="B177" s="381">
        <f>+B176+B175</f>
        <v>198.33333333333331</v>
      </c>
      <c r="C177" s="382" t="s">
        <v>85</v>
      </c>
      <c r="D177" s="393"/>
      <c r="E177" s="394"/>
      <c r="F177" s="395"/>
      <c r="G177" s="393"/>
      <c r="H177" s="393"/>
      <c r="I177" s="395"/>
      <c r="J177" s="393"/>
      <c r="K177" s="406"/>
      <c r="L177" s="405"/>
      <c r="O177" s="1053">
        <f>+O176/30*7</f>
        <v>218.16666666666669</v>
      </c>
      <c r="P177" s="1053"/>
      <c r="Q177" s="1053" t="s">
        <v>74</v>
      </c>
      <c r="R177" s="1053"/>
      <c r="S177" s="1053"/>
      <c r="T177" s="1053"/>
      <c r="U177" s="1053"/>
      <c r="V177" s="1053"/>
      <c r="W177" s="1053"/>
      <c r="X177" s="1053"/>
      <c r="Y177" s="1053"/>
      <c r="Z177" s="1053"/>
      <c r="AA177" s="1064">
        <f>+O177*0.87</f>
        <v>189.80500000000001</v>
      </c>
      <c r="AB177" s="1064"/>
      <c r="AG177" s="267"/>
      <c r="AH177" s="267"/>
      <c r="AI177" s="386"/>
      <c r="AJ177" s="386"/>
      <c r="AK177" s="407"/>
      <c r="AL177" s="267"/>
      <c r="AM177" s="267"/>
      <c r="AN177" s="267"/>
      <c r="AO177" s="267"/>
    </row>
    <row r="178" spans="2:46">
      <c r="B178" s="408"/>
      <c r="C178" s="409"/>
      <c r="D178" s="333"/>
      <c r="E178" s="410"/>
      <c r="F178" s="411"/>
      <c r="G178" s="333"/>
      <c r="H178" s="333"/>
      <c r="I178" s="411"/>
      <c r="J178" s="333"/>
      <c r="K178" s="405"/>
      <c r="L178" s="405"/>
      <c r="O178" s="1053">
        <f>+O177/7</f>
        <v>31.166666666666668</v>
      </c>
      <c r="P178" s="1053"/>
      <c r="Q178" s="1053" t="s">
        <v>75</v>
      </c>
      <c r="R178" s="1053"/>
      <c r="S178" s="1053"/>
      <c r="T178" s="1053"/>
      <c r="U178" s="1053"/>
      <c r="V178" s="1053"/>
      <c r="W178" s="1053"/>
      <c r="X178" s="1053"/>
      <c r="Y178" s="1053"/>
      <c r="Z178" s="1053"/>
      <c r="AG178" s="267"/>
      <c r="AH178" s="267"/>
      <c r="AI178" s="412"/>
      <c r="AJ178" s="413"/>
      <c r="AK178" s="407"/>
      <c r="AL178" s="267"/>
      <c r="AM178" s="267"/>
      <c r="AN178" s="267"/>
      <c r="AO178" s="267"/>
    </row>
    <row r="179" spans="2:46">
      <c r="B179" s="449">
        <f>+B177/7</f>
        <v>28.333333333333332</v>
      </c>
      <c r="C179" s="450" t="s">
        <v>86</v>
      </c>
      <c r="F179" s="411"/>
      <c r="G179" s="333"/>
      <c r="H179" s="333"/>
      <c r="I179" s="411"/>
      <c r="J179" s="333"/>
      <c r="K179" s="405"/>
      <c r="L179" s="405"/>
      <c r="O179" s="1065">
        <f>(O177-18)/7</f>
        <v>28.595238095238098</v>
      </c>
      <c r="P179" s="1065"/>
      <c r="Q179" s="1065" t="s">
        <v>77</v>
      </c>
      <c r="R179" s="1065"/>
      <c r="S179" s="1065"/>
      <c r="T179" s="1065"/>
      <c r="U179" s="1065"/>
      <c r="V179" s="1065"/>
      <c r="W179" s="1065"/>
      <c r="X179" s="1065"/>
      <c r="Y179" s="1065"/>
      <c r="Z179" s="1065"/>
      <c r="AG179" s="267"/>
      <c r="AH179" s="267"/>
      <c r="AI179" s="267"/>
      <c r="AJ179" s="267"/>
      <c r="AK179" s="407"/>
      <c r="AL179" s="267"/>
      <c r="AM179" s="267"/>
      <c r="AN179" s="267"/>
      <c r="AO179" s="267"/>
    </row>
    <row r="180" spans="2:46">
      <c r="B180" s="408"/>
      <c r="C180" s="409"/>
      <c r="D180" s="333"/>
      <c r="E180" s="410"/>
      <c r="F180" s="411"/>
      <c r="G180" s="333"/>
      <c r="H180" s="333"/>
      <c r="I180" s="411"/>
      <c r="J180" s="333"/>
      <c r="K180" s="405"/>
      <c r="L180" s="405"/>
      <c r="O180" s="1053">
        <v>3</v>
      </c>
      <c r="P180" s="1053"/>
      <c r="Q180" s="1053" t="s">
        <v>79</v>
      </c>
      <c r="R180" s="1053"/>
      <c r="S180" s="1053"/>
      <c r="T180" s="1053"/>
      <c r="U180" s="1053"/>
      <c r="V180" s="1053"/>
      <c r="W180" s="1053"/>
      <c r="X180" s="1053"/>
      <c r="Y180" s="1053"/>
      <c r="Z180" s="1053"/>
      <c r="AG180" s="267"/>
      <c r="AH180" s="267"/>
      <c r="AI180" s="267"/>
      <c r="AJ180" s="267"/>
      <c r="AK180" s="267"/>
      <c r="AL180" s="267"/>
      <c r="AM180" s="267"/>
      <c r="AN180" s="267"/>
      <c r="AO180" s="267"/>
    </row>
    <row r="181" spans="2:46">
      <c r="B181" s="408"/>
      <c r="C181" s="409"/>
      <c r="D181" s="333"/>
      <c r="E181" s="410"/>
      <c r="F181" s="411"/>
      <c r="G181" s="333"/>
      <c r="H181" s="333"/>
      <c r="I181" s="411"/>
      <c r="J181" s="333"/>
      <c r="K181" s="405"/>
      <c r="L181" s="405"/>
      <c r="O181" s="1053">
        <f>+O180+O179</f>
        <v>31.595238095238098</v>
      </c>
      <c r="P181" s="1053"/>
      <c r="AG181" s="267"/>
      <c r="AH181" s="267"/>
      <c r="AI181" s="267"/>
      <c r="AJ181" s="267"/>
      <c r="AK181" s="267"/>
      <c r="AL181" s="267"/>
      <c r="AM181" s="267"/>
      <c r="AN181" s="267"/>
      <c r="AO181" s="267"/>
    </row>
    <row r="182" spans="2:46">
      <c r="B182" s="168"/>
      <c r="AG182" s="267"/>
      <c r="AH182" s="267"/>
      <c r="AI182" s="267"/>
      <c r="AJ182" s="267"/>
      <c r="AK182" s="267"/>
      <c r="AL182" s="267"/>
      <c r="AM182" s="267"/>
      <c r="AN182" s="267"/>
      <c r="AO182" s="267"/>
    </row>
    <row r="183" spans="2:46">
      <c r="AG183" s="267"/>
      <c r="AH183" s="267"/>
      <c r="AI183" s="267"/>
      <c r="AJ183" s="267"/>
      <c r="AK183" s="267"/>
      <c r="AL183" s="267"/>
      <c r="AM183" s="267"/>
      <c r="AN183" s="267"/>
      <c r="AO183" s="267"/>
    </row>
    <row r="184" spans="2:46" ht="15.75" thickBot="1">
      <c r="AG184" s="267"/>
      <c r="AH184" s="267"/>
      <c r="AI184" s="267"/>
      <c r="AJ184" s="267"/>
      <c r="AK184" s="267"/>
      <c r="AL184" s="267"/>
      <c r="AM184" s="267"/>
      <c r="AN184" s="267"/>
      <c r="AO184" s="267"/>
    </row>
    <row r="185" spans="2:46" ht="17.25" thickTop="1" thickBot="1">
      <c r="B185" s="451">
        <f>850+80</f>
        <v>930</v>
      </c>
      <c r="C185" s="452" t="s">
        <v>67</v>
      </c>
      <c r="D185" s="453"/>
      <c r="E185" s="454" t="s">
        <v>98</v>
      </c>
      <c r="F185" s="455"/>
      <c r="G185" s="453"/>
      <c r="H185" s="453"/>
      <c r="I185" s="455"/>
      <c r="J185" s="453"/>
      <c r="K185" s="456"/>
      <c r="L185" s="456"/>
      <c r="M185" s="453"/>
      <c r="N185" s="453"/>
      <c r="O185" s="453"/>
      <c r="P185" s="453"/>
      <c r="Q185" s="453"/>
      <c r="R185" s="453"/>
      <c r="S185" s="453"/>
      <c r="T185" s="453"/>
      <c r="U185" s="453"/>
      <c r="V185" s="453"/>
      <c r="W185" s="453"/>
      <c r="X185" s="453"/>
      <c r="Y185" s="453"/>
      <c r="Z185" s="453"/>
      <c r="AA185" s="457"/>
      <c r="AB185" s="457"/>
      <c r="AC185" s="458"/>
      <c r="AD185" s="296"/>
      <c r="AE185" s="296"/>
      <c r="AF185" s="296"/>
      <c r="AG185" s="296"/>
      <c r="AH185" s="296"/>
      <c r="AI185" s="296"/>
      <c r="AJ185" s="296"/>
      <c r="AK185" s="296"/>
      <c r="AL185" s="296"/>
      <c r="AM185" s="296"/>
      <c r="AN185" s="296"/>
      <c r="AO185" s="296"/>
      <c r="AP185" s="267"/>
      <c r="AQ185" s="267"/>
      <c r="AR185" s="267"/>
      <c r="AS185" s="267"/>
      <c r="AT185" s="267"/>
    </row>
    <row r="186" spans="2:46" ht="15.75">
      <c r="B186" s="459">
        <f>+B185/30*7</f>
        <v>217</v>
      </c>
      <c r="C186" s="409" t="s">
        <v>68</v>
      </c>
      <c r="D186" s="460"/>
      <c r="E186" s="410"/>
      <c r="F186" s="411"/>
      <c r="G186" s="333"/>
      <c r="H186" s="333"/>
      <c r="I186" s="411"/>
      <c r="J186" s="333"/>
      <c r="K186" s="405"/>
      <c r="L186" s="405"/>
      <c r="M186" s="333"/>
      <c r="N186" s="333"/>
      <c r="O186" s="1053" t="s">
        <v>69</v>
      </c>
      <c r="P186" s="1053"/>
      <c r="Q186" s="1053"/>
      <c r="R186" s="1053"/>
      <c r="S186" s="1053"/>
      <c r="T186" s="1053"/>
      <c r="U186" s="1053"/>
      <c r="V186" s="1053"/>
      <c r="W186" s="1053"/>
      <c r="X186" s="1053"/>
      <c r="Y186" s="1053"/>
      <c r="Z186" s="1053"/>
      <c r="AA186" s="167"/>
      <c r="AB186" s="167"/>
      <c r="AC186" s="461"/>
      <c r="AD186" s="296"/>
      <c r="AE186" s="597"/>
      <c r="AF186" s="597"/>
      <c r="AG186" s="296"/>
      <c r="AH186" s="296"/>
      <c r="AI186" s="296"/>
      <c r="AJ186" s="597"/>
      <c r="AK186" s="597"/>
      <c r="AL186" s="296"/>
      <c r="AM186" s="296"/>
      <c r="AN186" s="296"/>
      <c r="AO186" s="296"/>
      <c r="AP186" s="267"/>
      <c r="AQ186" s="267"/>
      <c r="AR186" s="267"/>
      <c r="AS186" s="267"/>
      <c r="AT186" s="267"/>
    </row>
    <row r="187" spans="2:46">
      <c r="B187" s="459">
        <f>+B186-18</f>
        <v>199</v>
      </c>
      <c r="C187" s="409" t="s">
        <v>70</v>
      </c>
      <c r="D187" s="333"/>
      <c r="E187" s="410"/>
      <c r="F187" s="411"/>
      <c r="G187" s="333"/>
      <c r="H187" s="333"/>
      <c r="I187" s="411"/>
      <c r="J187" s="333"/>
      <c r="K187" s="405"/>
      <c r="L187" s="405"/>
      <c r="M187" s="333"/>
      <c r="N187" s="333"/>
      <c r="O187" s="1053">
        <f>+B185</f>
        <v>930</v>
      </c>
      <c r="P187" s="1053"/>
      <c r="Q187" s="1053" t="s">
        <v>71</v>
      </c>
      <c r="R187" s="1053"/>
      <c r="S187" s="1053"/>
      <c r="T187" s="1053"/>
      <c r="U187" s="1053"/>
      <c r="V187" s="1053"/>
      <c r="W187" s="1053"/>
      <c r="X187" s="1053"/>
      <c r="Y187" s="1053"/>
      <c r="Z187" s="1053"/>
      <c r="AA187" s="167" t="s">
        <v>72</v>
      </c>
      <c r="AB187" s="167"/>
      <c r="AC187" s="461"/>
      <c r="AD187" s="296"/>
      <c r="AE187" s="597"/>
      <c r="AF187" s="597"/>
      <c r="AG187" s="296"/>
      <c r="AH187" s="296"/>
      <c r="AI187" s="296"/>
      <c r="AJ187" s="597"/>
      <c r="AK187" s="597"/>
      <c r="AL187" s="296"/>
      <c r="AM187" s="296"/>
      <c r="AN187" s="296"/>
      <c r="AO187" s="296"/>
      <c r="AP187" s="267"/>
      <c r="AQ187" s="267"/>
      <c r="AR187" s="267"/>
      <c r="AS187" s="267"/>
      <c r="AT187" s="267"/>
    </row>
    <row r="188" spans="2:46">
      <c r="B188" s="462">
        <f>+B187/7</f>
        <v>28.428571428571427</v>
      </c>
      <c r="C188" s="382" t="s">
        <v>73</v>
      </c>
      <c r="D188" s="383"/>
      <c r="E188" s="410"/>
      <c r="F188" s="411"/>
      <c r="G188" s="333"/>
      <c r="H188" s="333"/>
      <c r="I188" s="411"/>
      <c r="J188" s="333"/>
      <c r="K188" s="405"/>
      <c r="L188" s="405"/>
      <c r="M188" s="333"/>
      <c r="N188" s="333"/>
      <c r="O188" s="1053">
        <f>+O187/30*7</f>
        <v>217</v>
      </c>
      <c r="P188" s="1053"/>
      <c r="Q188" s="1053" t="s">
        <v>74</v>
      </c>
      <c r="R188" s="1053"/>
      <c r="S188" s="1053"/>
      <c r="T188" s="1053"/>
      <c r="U188" s="1053"/>
      <c r="V188" s="1053"/>
      <c r="W188" s="1053"/>
      <c r="X188" s="1053"/>
      <c r="Y188" s="1053"/>
      <c r="Z188" s="1053"/>
      <c r="AA188" s="1064">
        <f>+O188*0.87</f>
        <v>188.79</v>
      </c>
      <c r="AB188" s="1064"/>
      <c r="AC188" s="461"/>
      <c r="AD188" s="296"/>
      <c r="AE188" s="384"/>
      <c r="AF188" s="384"/>
      <c r="AG188" s="296"/>
      <c r="AH188" s="296"/>
      <c r="AI188" s="296"/>
      <c r="AJ188" s="384"/>
      <c r="AK188" s="384"/>
      <c r="AL188" s="385"/>
      <c r="AM188" s="385"/>
      <c r="AN188" s="385"/>
      <c r="AO188" s="385"/>
      <c r="AP188" s="386"/>
      <c r="AQ188" s="386"/>
      <c r="AR188" s="267"/>
      <c r="AS188" s="267"/>
      <c r="AT188" s="267"/>
    </row>
    <row r="189" spans="2:46">
      <c r="B189" s="463"/>
      <c r="C189" s="333"/>
      <c r="D189" s="333"/>
      <c r="E189" s="410"/>
      <c r="F189" s="411"/>
      <c r="G189" s="333"/>
      <c r="H189" s="333"/>
      <c r="I189" s="411"/>
      <c r="J189" s="333"/>
      <c r="K189" s="405"/>
      <c r="L189" s="405"/>
      <c r="M189" s="333"/>
      <c r="N189" s="333"/>
      <c r="O189" s="1053">
        <f>+O188/7</f>
        <v>31</v>
      </c>
      <c r="P189" s="1053"/>
      <c r="Q189" s="1053" t="s">
        <v>75</v>
      </c>
      <c r="R189" s="1053"/>
      <c r="S189" s="1053"/>
      <c r="T189" s="1053"/>
      <c r="U189" s="1053"/>
      <c r="V189" s="1053"/>
      <c r="W189" s="1053"/>
      <c r="X189" s="1053"/>
      <c r="Y189" s="1053"/>
      <c r="Z189" s="1053"/>
      <c r="AA189" s="167"/>
      <c r="AB189" s="167"/>
      <c r="AC189" s="461"/>
      <c r="AD189" s="296"/>
      <c r="AE189" s="597"/>
      <c r="AF189" s="597"/>
      <c r="AG189" s="296"/>
      <c r="AH189" s="296"/>
      <c r="AI189" s="296"/>
      <c r="AJ189" s="597"/>
      <c r="AK189" s="597"/>
      <c r="AL189" s="387"/>
      <c r="AM189" s="387"/>
      <c r="AN189" s="385"/>
      <c r="AO189" s="385"/>
      <c r="AP189" s="386"/>
      <c r="AQ189" s="386"/>
      <c r="AR189" s="267"/>
      <c r="AS189" s="267"/>
      <c r="AT189" s="267"/>
    </row>
    <row r="190" spans="2:46" ht="15.75">
      <c r="B190" s="464">
        <f>+B188</f>
        <v>28.428571428571427</v>
      </c>
      <c r="C190" s="465" t="s">
        <v>76</v>
      </c>
      <c r="D190" s="418"/>
      <c r="E190" s="418"/>
      <c r="F190" s="418"/>
      <c r="G190" s="333"/>
      <c r="H190" s="333"/>
      <c r="I190" s="411"/>
      <c r="J190" s="333"/>
      <c r="K190" s="405"/>
      <c r="L190" s="405"/>
      <c r="M190" s="333"/>
      <c r="N190" s="333"/>
      <c r="O190" s="1065">
        <f>(O188-18)/7</f>
        <v>28.428571428571427</v>
      </c>
      <c r="P190" s="1065"/>
      <c r="Q190" s="1065" t="s">
        <v>77</v>
      </c>
      <c r="R190" s="1065"/>
      <c r="S190" s="1065"/>
      <c r="T190" s="1065"/>
      <c r="U190" s="1065"/>
      <c r="V190" s="1065"/>
      <c r="W190" s="1065"/>
      <c r="X190" s="1065"/>
      <c r="Y190" s="1065"/>
      <c r="Z190" s="1065"/>
      <c r="AA190" s="167"/>
      <c r="AB190" s="167"/>
      <c r="AC190" s="461"/>
      <c r="AD190" s="296"/>
      <c r="AE190" s="391"/>
      <c r="AF190" s="391"/>
      <c r="AG190" s="392"/>
      <c r="AH190" s="392"/>
      <c r="AI190" s="392"/>
      <c r="AJ190" s="391"/>
      <c r="AK190" s="391"/>
      <c r="AL190" s="385"/>
      <c r="AM190" s="385"/>
      <c r="AN190" s="385"/>
      <c r="AO190" s="385"/>
      <c r="AP190" s="386"/>
      <c r="AQ190" s="386"/>
      <c r="AR190" s="267"/>
      <c r="AS190" s="267"/>
      <c r="AT190" s="267"/>
    </row>
    <row r="191" spans="2:46">
      <c r="B191" s="459">
        <v>3</v>
      </c>
      <c r="C191" s="409" t="s">
        <v>78</v>
      </c>
      <c r="D191" s="333"/>
      <c r="E191" s="410"/>
      <c r="F191" s="411"/>
      <c r="G191" s="333"/>
      <c r="H191" s="333"/>
      <c r="I191" s="411"/>
      <c r="J191" s="333"/>
      <c r="K191" s="405"/>
      <c r="L191" s="405"/>
      <c r="M191" s="333"/>
      <c r="N191" s="333"/>
      <c r="O191" s="1053">
        <v>3</v>
      </c>
      <c r="P191" s="1053"/>
      <c r="Q191" s="1053" t="s">
        <v>79</v>
      </c>
      <c r="R191" s="1053"/>
      <c r="S191" s="1053"/>
      <c r="T191" s="1053"/>
      <c r="U191" s="1053"/>
      <c r="V191" s="1053"/>
      <c r="W191" s="1053"/>
      <c r="X191" s="1053"/>
      <c r="Y191" s="1053"/>
      <c r="Z191" s="1053"/>
      <c r="AA191" s="167"/>
      <c r="AB191" s="167"/>
      <c r="AC191" s="461"/>
      <c r="AD191" s="296"/>
      <c r="AE191" s="296"/>
      <c r="AF191" s="391"/>
      <c r="AG191" s="392"/>
      <c r="AH191" s="392"/>
      <c r="AI191" s="392"/>
      <c r="AJ191" s="391"/>
      <c r="AK191" s="391"/>
      <c r="AL191" s="385"/>
      <c r="AM191" s="385"/>
      <c r="AN191" s="385"/>
      <c r="AO191" s="385"/>
      <c r="AP191" s="386"/>
      <c r="AQ191" s="386"/>
      <c r="AR191" s="267"/>
      <c r="AS191" s="267"/>
      <c r="AT191" s="267"/>
    </row>
    <row r="192" spans="2:46">
      <c r="B192" s="462">
        <f>+B191+B190</f>
        <v>31.428571428571427</v>
      </c>
      <c r="C192" s="382" t="s">
        <v>80</v>
      </c>
      <c r="D192" s="393"/>
      <c r="E192" s="394"/>
      <c r="F192" s="395"/>
      <c r="G192" s="393"/>
      <c r="H192" s="393"/>
      <c r="I192" s="395"/>
      <c r="J192" s="393"/>
      <c r="K192" s="396"/>
      <c r="L192" s="396"/>
      <c r="M192" s="383"/>
      <c r="N192" s="333"/>
      <c r="O192" s="1053">
        <f>+O191+O190</f>
        <v>31.428571428571427</v>
      </c>
      <c r="P192" s="105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  <c r="AA192" s="167"/>
      <c r="AB192" s="167"/>
      <c r="AC192" s="461"/>
      <c r="AD192" s="296"/>
      <c r="AE192" s="597"/>
      <c r="AF192" s="597"/>
      <c r="AG192" s="296"/>
      <c r="AH192" s="296"/>
      <c r="AI192" s="296"/>
      <c r="AJ192" s="597"/>
      <c r="AK192" s="597"/>
      <c r="AL192" s="387"/>
      <c r="AM192" s="387"/>
      <c r="AN192" s="387"/>
      <c r="AO192" s="387"/>
      <c r="AP192" s="397"/>
      <c r="AQ192" s="267"/>
      <c r="AR192" s="267"/>
      <c r="AS192" s="267"/>
      <c r="AT192" s="267"/>
    </row>
    <row r="193" spans="2:50">
      <c r="B193" s="459"/>
      <c r="C193" s="333"/>
      <c r="D193" s="333"/>
      <c r="E193" s="410"/>
      <c r="F193" s="411"/>
      <c r="G193" s="333"/>
      <c r="H193" s="333"/>
      <c r="I193" s="411"/>
      <c r="J193" s="333"/>
      <c r="K193" s="405"/>
      <c r="L193" s="405"/>
      <c r="M193" s="333"/>
      <c r="N193" s="333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  <c r="AA193" s="167"/>
      <c r="AB193" s="167"/>
      <c r="AC193" s="461"/>
      <c r="AD193" s="296"/>
      <c r="AE193" s="398"/>
      <c r="AF193" s="398"/>
      <c r="AG193" s="398"/>
      <c r="AH193" s="296"/>
      <c r="AI193" s="296"/>
      <c r="AJ193" s="398"/>
      <c r="AK193" s="398"/>
      <c r="AL193" s="385"/>
      <c r="AM193" s="296"/>
      <c r="AN193" s="296"/>
      <c r="AO193" s="296"/>
      <c r="AP193" s="267"/>
      <c r="AQ193" s="267"/>
      <c r="AR193" s="267"/>
      <c r="AS193" s="267"/>
      <c r="AT193" s="267"/>
    </row>
    <row r="194" spans="2:50">
      <c r="B194" s="459">
        <f>+B192*6</f>
        <v>188.57142857142856</v>
      </c>
      <c r="C194" s="409" t="s">
        <v>81</v>
      </c>
      <c r="D194" s="333"/>
      <c r="E194" s="410"/>
      <c r="F194" s="411"/>
      <c r="G194" s="333"/>
      <c r="H194" s="333"/>
      <c r="I194" s="411"/>
      <c r="J194" s="333"/>
      <c r="K194" s="405"/>
      <c r="L194" s="405"/>
      <c r="M194" s="333"/>
      <c r="N194" s="333"/>
      <c r="O194" s="1053" t="s">
        <v>82</v>
      </c>
      <c r="P194" s="1053"/>
      <c r="Q194" s="1053"/>
      <c r="R194" s="1053"/>
      <c r="S194" s="1053"/>
      <c r="T194" s="1053"/>
      <c r="U194" s="1053"/>
      <c r="V194" s="1053"/>
      <c r="W194" s="1053"/>
      <c r="X194" s="1053"/>
      <c r="Y194" s="1053"/>
      <c r="Z194" s="1053"/>
      <c r="AA194" s="167"/>
      <c r="AB194" s="167"/>
      <c r="AC194" s="461"/>
      <c r="AD194" s="296"/>
      <c r="AE194" s="296"/>
      <c r="AF194" s="296"/>
      <c r="AG194" s="296"/>
      <c r="AH194" s="296"/>
      <c r="AI194" s="385"/>
      <c r="AJ194" s="385"/>
      <c r="AK194" s="387"/>
      <c r="AL194" s="595"/>
      <c r="AM194" s="597"/>
      <c r="AN194" s="595"/>
      <c r="AO194" s="296"/>
      <c r="AP194" s="267"/>
      <c r="AQ194" s="267"/>
      <c r="AR194" s="267"/>
      <c r="AS194" s="267"/>
      <c r="AT194" s="267"/>
    </row>
    <row r="195" spans="2:50">
      <c r="B195" s="466">
        <f>+B190</f>
        <v>28.428571428571427</v>
      </c>
      <c r="C195" s="400" t="s">
        <v>83</v>
      </c>
      <c r="D195" s="401"/>
      <c r="E195" s="402"/>
      <c r="F195" s="403"/>
      <c r="G195" s="401"/>
      <c r="H195" s="401"/>
      <c r="I195" s="403"/>
      <c r="J195" s="401"/>
      <c r="K195" s="404"/>
      <c r="L195" s="405"/>
      <c r="M195" s="333"/>
      <c r="N195" s="333"/>
      <c r="O195" s="1053">
        <f>+O187*1.1</f>
        <v>1023.0000000000001</v>
      </c>
      <c r="P195" s="1053"/>
      <c r="Q195" s="1053" t="s">
        <v>71</v>
      </c>
      <c r="R195" s="1053"/>
      <c r="S195" s="1053"/>
      <c r="T195" s="1053"/>
      <c r="U195" s="1053"/>
      <c r="V195" s="1053"/>
      <c r="W195" s="1053"/>
      <c r="X195" s="1053"/>
      <c r="Y195" s="1053"/>
      <c r="Z195" s="1053"/>
      <c r="AA195" s="167" t="s">
        <v>84</v>
      </c>
      <c r="AB195" s="167"/>
      <c r="AC195" s="461"/>
      <c r="AG195" s="267"/>
      <c r="AH195" s="267"/>
      <c r="AI195" s="386"/>
      <c r="AJ195" s="386"/>
      <c r="AK195" s="386"/>
      <c r="AL195" s="267"/>
      <c r="AM195" s="267"/>
      <c r="AN195" s="267"/>
      <c r="AO195" s="267"/>
    </row>
    <row r="196" spans="2:50">
      <c r="B196" s="462">
        <f>+B195+B194</f>
        <v>216.99999999999997</v>
      </c>
      <c r="C196" s="382" t="s">
        <v>85</v>
      </c>
      <c r="D196" s="393"/>
      <c r="E196" s="394"/>
      <c r="F196" s="395"/>
      <c r="G196" s="393"/>
      <c r="H196" s="393"/>
      <c r="I196" s="395"/>
      <c r="J196" s="393"/>
      <c r="K196" s="406"/>
      <c r="L196" s="405"/>
      <c r="M196" s="333"/>
      <c r="N196" s="333"/>
      <c r="O196" s="1053">
        <f>+O195/30*7</f>
        <v>238.70000000000002</v>
      </c>
      <c r="P196" s="1053"/>
      <c r="Q196" s="1053" t="s">
        <v>74</v>
      </c>
      <c r="R196" s="1053"/>
      <c r="S196" s="1053"/>
      <c r="T196" s="1053"/>
      <c r="U196" s="1053"/>
      <c r="V196" s="1053"/>
      <c r="W196" s="1053"/>
      <c r="X196" s="1053"/>
      <c r="Y196" s="1053"/>
      <c r="Z196" s="1053"/>
      <c r="AA196" s="1064">
        <f>+O196*0.87</f>
        <v>207.66900000000001</v>
      </c>
      <c r="AB196" s="1064"/>
      <c r="AC196" s="461"/>
      <c r="AG196" s="267"/>
      <c r="AH196" s="267"/>
      <c r="AI196" s="386"/>
      <c r="AJ196" s="386"/>
      <c r="AK196" s="407"/>
      <c r="AL196" s="267"/>
      <c r="AM196" s="267"/>
      <c r="AN196" s="267"/>
      <c r="AO196" s="267"/>
    </row>
    <row r="197" spans="2:50">
      <c r="B197" s="459"/>
      <c r="C197" s="409"/>
      <c r="D197" s="333"/>
      <c r="E197" s="410"/>
      <c r="F197" s="411"/>
      <c r="G197" s="333"/>
      <c r="H197" s="333"/>
      <c r="I197" s="411"/>
      <c r="J197" s="333"/>
      <c r="K197" s="405"/>
      <c r="L197" s="405"/>
      <c r="M197" s="333"/>
      <c r="N197" s="333"/>
      <c r="O197" s="1053">
        <f>+O196/7</f>
        <v>34.1</v>
      </c>
      <c r="P197" s="1053"/>
      <c r="Q197" s="1053" t="s">
        <v>75</v>
      </c>
      <c r="R197" s="1053"/>
      <c r="S197" s="1053"/>
      <c r="T197" s="1053"/>
      <c r="U197" s="1053"/>
      <c r="V197" s="1053"/>
      <c r="W197" s="1053"/>
      <c r="X197" s="1053"/>
      <c r="Y197" s="1053"/>
      <c r="Z197" s="1053"/>
      <c r="AA197" s="167"/>
      <c r="AB197" s="167"/>
      <c r="AC197" s="461"/>
      <c r="AG197" s="267"/>
      <c r="AH197" s="267"/>
      <c r="AI197" s="412"/>
      <c r="AJ197" s="413"/>
      <c r="AK197" s="407"/>
      <c r="AL197" s="267"/>
      <c r="AM197" s="267"/>
      <c r="AN197" s="267"/>
      <c r="AO197" s="267"/>
    </row>
    <row r="198" spans="2:50">
      <c r="B198" s="467">
        <f>+B196/7</f>
        <v>30.999999999999996</v>
      </c>
      <c r="C198" s="468" t="s">
        <v>86</v>
      </c>
      <c r="D198" s="333"/>
      <c r="E198" s="410"/>
      <c r="F198" s="411"/>
      <c r="G198" s="333"/>
      <c r="H198" s="333"/>
      <c r="I198" s="411"/>
      <c r="J198" s="333"/>
      <c r="K198" s="405"/>
      <c r="L198" s="405"/>
      <c r="M198" s="333"/>
      <c r="N198" s="333"/>
      <c r="O198" s="1065">
        <f>(O196-18)/7</f>
        <v>31.528571428571432</v>
      </c>
      <c r="P198" s="1065"/>
      <c r="Q198" s="1065" t="s">
        <v>77</v>
      </c>
      <c r="R198" s="1065"/>
      <c r="S198" s="1065"/>
      <c r="T198" s="1065"/>
      <c r="U198" s="1065"/>
      <c r="V198" s="1065"/>
      <c r="W198" s="1065"/>
      <c r="X198" s="1065"/>
      <c r="Y198" s="1065"/>
      <c r="Z198" s="1065"/>
      <c r="AA198" s="167"/>
      <c r="AB198" s="167"/>
      <c r="AC198" s="461"/>
      <c r="AG198" s="267"/>
      <c r="AH198" s="267"/>
      <c r="AI198" s="267"/>
      <c r="AJ198" s="267"/>
      <c r="AK198" s="407"/>
      <c r="AL198" s="267"/>
      <c r="AM198" s="267"/>
      <c r="AN198" s="267"/>
      <c r="AO198" s="267"/>
    </row>
    <row r="199" spans="2:50">
      <c r="B199" s="459"/>
      <c r="C199" s="409"/>
      <c r="D199" s="333"/>
      <c r="E199" s="410"/>
      <c r="F199" s="411"/>
      <c r="G199" s="333"/>
      <c r="H199" s="333"/>
      <c r="I199" s="411"/>
      <c r="J199" s="333"/>
      <c r="K199" s="405"/>
      <c r="L199" s="405"/>
      <c r="M199" s="333"/>
      <c r="N199" s="333"/>
      <c r="O199" s="1053">
        <v>3</v>
      </c>
      <c r="P199" s="1053"/>
      <c r="Q199" s="1053" t="s">
        <v>79</v>
      </c>
      <c r="R199" s="1053"/>
      <c r="S199" s="1053"/>
      <c r="T199" s="1053"/>
      <c r="U199" s="1053"/>
      <c r="V199" s="1053"/>
      <c r="W199" s="1053"/>
      <c r="X199" s="1053"/>
      <c r="Y199" s="1053"/>
      <c r="Z199" s="1053"/>
      <c r="AA199" s="167"/>
      <c r="AB199" s="167"/>
      <c r="AC199" s="461"/>
      <c r="AG199" s="267"/>
      <c r="AH199" s="267"/>
      <c r="AI199" s="267"/>
      <c r="AJ199" s="267"/>
      <c r="AK199" s="267"/>
      <c r="AL199" s="267"/>
      <c r="AM199" s="267"/>
      <c r="AN199" s="267"/>
      <c r="AO199" s="267"/>
    </row>
    <row r="200" spans="2:50" ht="15.75" thickBot="1">
      <c r="B200" s="469"/>
      <c r="C200" s="470"/>
      <c r="D200" s="471"/>
      <c r="E200" s="472"/>
      <c r="F200" s="473"/>
      <c r="G200" s="471"/>
      <c r="H200" s="471"/>
      <c r="I200" s="473"/>
      <c r="J200" s="471"/>
      <c r="K200" s="474"/>
      <c r="L200" s="474"/>
      <c r="M200" s="471"/>
      <c r="N200" s="471"/>
      <c r="O200" s="1081">
        <f>+O199+O198</f>
        <v>34.528571428571432</v>
      </c>
      <c r="P200" s="1081"/>
      <c r="Q200" s="471"/>
      <c r="R200" s="471"/>
      <c r="S200" s="471"/>
      <c r="T200" s="471"/>
      <c r="U200" s="471"/>
      <c r="V200" s="471"/>
      <c r="W200" s="471"/>
      <c r="X200" s="471"/>
      <c r="Y200" s="471"/>
      <c r="Z200" s="471"/>
      <c r="AA200" s="475"/>
      <c r="AB200" s="475"/>
      <c r="AC200" s="476"/>
      <c r="AG200" s="267"/>
      <c r="AH200" s="267"/>
      <c r="AI200" s="267"/>
      <c r="AJ200" s="267"/>
      <c r="AK200" s="267"/>
      <c r="AL200" s="267"/>
      <c r="AM200" s="267"/>
      <c r="AN200" s="267"/>
      <c r="AO200" s="267"/>
    </row>
    <row r="201" spans="2:50" ht="15.75" thickTop="1">
      <c r="B201" s="168"/>
      <c r="AG201" s="267"/>
      <c r="AH201" s="267"/>
      <c r="AI201" s="267"/>
      <c r="AJ201" s="267"/>
      <c r="AK201" s="267"/>
      <c r="AL201" s="267"/>
      <c r="AM201" s="267"/>
      <c r="AN201" s="267"/>
      <c r="AO201" s="267"/>
    </row>
    <row r="202" spans="2:50" ht="3" customHeight="1">
      <c r="Q202" s="308"/>
      <c r="R202" s="309"/>
      <c r="S202" s="310"/>
      <c r="T202" s="311"/>
      <c r="AA202" s="3"/>
      <c r="AB202" s="256"/>
      <c r="AC202" s="256"/>
      <c r="AD202" s="256"/>
      <c r="AE202" s="256"/>
      <c r="AF202" s="256"/>
      <c r="AG202" s="256"/>
      <c r="AH202" s="256"/>
      <c r="AI202" s="256"/>
      <c r="AJ202" s="256"/>
      <c r="AK202" s="256"/>
      <c r="AL202" s="256"/>
      <c r="AM202" s="254"/>
      <c r="AN202" s="254"/>
      <c r="AO202" s="254"/>
      <c r="AP202" s="254"/>
      <c r="AQ202" s="253"/>
      <c r="AS202" s="255"/>
      <c r="AT202" s="255"/>
      <c r="AX202" s="257"/>
    </row>
    <row r="203" spans="2:50" ht="14.1" customHeight="1">
      <c r="B203" s="7" t="s">
        <v>29</v>
      </c>
      <c r="C203" s="997" t="s">
        <v>30</v>
      </c>
      <c r="D203" s="997"/>
      <c r="E203" s="997" t="s">
        <v>31</v>
      </c>
      <c r="F203" s="997"/>
      <c r="G203" s="998" t="s">
        <v>32</v>
      </c>
      <c r="H203" s="999"/>
      <c r="I203" s="1004" t="s">
        <v>33</v>
      </c>
      <c r="J203" s="1005"/>
      <c r="K203" s="1006" t="s">
        <v>34</v>
      </c>
      <c r="L203" s="1006"/>
      <c r="M203" s="6"/>
      <c r="N203" s="1007" t="s">
        <v>35</v>
      </c>
      <c r="O203" s="1007"/>
      <c r="P203" s="6"/>
      <c r="Q203" s="1008" t="s">
        <v>36</v>
      </c>
      <c r="R203" s="1009"/>
      <c r="U203" s="1019" t="s">
        <v>37</v>
      </c>
      <c r="V203" s="1022" t="s">
        <v>38</v>
      </c>
      <c r="W203" s="1025" t="s">
        <v>39</v>
      </c>
      <c r="X203" s="983" t="s">
        <v>40</v>
      </c>
      <c r="AA203" s="3"/>
      <c r="AB203" s="256"/>
      <c r="AC203" s="256"/>
      <c r="AD203" s="256"/>
      <c r="AE203" s="256"/>
      <c r="AF203" s="256"/>
      <c r="AG203" s="256"/>
      <c r="AH203" s="256"/>
      <c r="AI203" s="256"/>
      <c r="AJ203" s="256"/>
      <c r="AK203" s="256"/>
      <c r="AL203" s="256"/>
      <c r="AM203" s="254"/>
      <c r="AN203" s="254"/>
      <c r="AO203" s="254"/>
      <c r="AP203" s="254"/>
      <c r="AQ203" s="253"/>
      <c r="AS203" s="255"/>
      <c r="AT203" s="255"/>
      <c r="AX203" s="257"/>
    </row>
    <row r="204" spans="2:50" ht="14.1" customHeight="1">
      <c r="B204" s="7" t="s">
        <v>41</v>
      </c>
      <c r="C204" s="997"/>
      <c r="D204" s="997"/>
      <c r="E204" s="997"/>
      <c r="F204" s="997"/>
      <c r="G204" s="1000"/>
      <c r="H204" s="1001"/>
      <c r="I204" s="1004"/>
      <c r="J204" s="1005"/>
      <c r="K204" s="1006"/>
      <c r="L204" s="1006"/>
      <c r="M204" s="6"/>
      <c r="N204" s="1007"/>
      <c r="O204" s="1007"/>
      <c r="P204" s="6"/>
      <c r="Q204" s="1010"/>
      <c r="R204" s="1011"/>
      <c r="U204" s="1020"/>
      <c r="V204" s="1023"/>
      <c r="W204" s="1026"/>
      <c r="X204" s="984"/>
      <c r="AA204" s="3"/>
      <c r="AB204" s="256"/>
      <c r="AC204" s="256"/>
      <c r="AD204" s="256"/>
      <c r="AE204" s="256"/>
      <c r="AF204" s="256"/>
      <c r="AG204" s="256"/>
      <c r="AH204" s="256"/>
      <c r="AI204" s="256"/>
      <c r="AJ204" s="256"/>
      <c r="AK204" s="256"/>
      <c r="AL204" s="256"/>
      <c r="AM204" s="254"/>
      <c r="AN204" s="254"/>
      <c r="AO204" s="254"/>
      <c r="AP204" s="254"/>
      <c r="AQ204" s="253"/>
      <c r="AS204" s="255"/>
      <c r="AT204" s="255"/>
      <c r="AX204" s="257"/>
    </row>
    <row r="205" spans="2:50" ht="14.1" customHeight="1">
      <c r="B205" s="7" t="s">
        <v>42</v>
      </c>
      <c r="C205" s="997"/>
      <c r="D205" s="997"/>
      <c r="E205" s="997"/>
      <c r="F205" s="997"/>
      <c r="G205" s="1000"/>
      <c r="H205" s="1001"/>
      <c r="I205" s="1004"/>
      <c r="J205" s="1005"/>
      <c r="K205" s="1006"/>
      <c r="L205" s="1006"/>
      <c r="M205" s="6"/>
      <c r="N205" s="1007"/>
      <c r="O205" s="1007"/>
      <c r="P205" s="6"/>
      <c r="Q205" s="1012"/>
      <c r="R205" s="1013"/>
      <c r="U205" s="1020"/>
      <c r="V205" s="1023"/>
      <c r="W205" s="1026"/>
      <c r="X205" s="984"/>
      <c r="AA205" s="3"/>
      <c r="AB205" s="256"/>
      <c r="AC205" s="256"/>
      <c r="AD205" s="256"/>
      <c r="AE205" s="256"/>
      <c r="AF205" s="256"/>
      <c r="AG205" s="256"/>
      <c r="AH205" s="256"/>
      <c r="AI205" s="256"/>
      <c r="AJ205" s="256"/>
      <c r="AK205" s="256"/>
      <c r="AL205" s="256"/>
      <c r="AM205" s="254"/>
      <c r="AN205" s="254"/>
      <c r="AO205" s="254"/>
      <c r="AP205" s="254"/>
      <c r="AQ205" s="253"/>
      <c r="AS205" s="255"/>
      <c r="AT205" s="255"/>
      <c r="AV205" s="254"/>
      <c r="AX205" s="257"/>
    </row>
    <row r="206" spans="2:50" ht="26.25">
      <c r="B206" s="325" t="s">
        <v>44</v>
      </c>
      <c r="C206" s="986">
        <f>+E206*7</f>
        <v>198.33333333333331</v>
      </c>
      <c r="D206" s="986"/>
      <c r="E206" s="987">
        <f>+K206/30</f>
        <v>28.333333333333332</v>
      </c>
      <c r="F206" s="987"/>
      <c r="G206" s="1000"/>
      <c r="H206" s="1001"/>
      <c r="I206" s="988">
        <f>+E206/8</f>
        <v>3.5416666666666665</v>
      </c>
      <c r="J206" s="989"/>
      <c r="K206" s="990">
        <v>850</v>
      </c>
      <c r="L206" s="990"/>
      <c r="M206" s="326"/>
      <c r="N206" s="991">
        <f>+I206/6*7</f>
        <v>4.1319444444444446</v>
      </c>
      <c r="O206" s="992"/>
      <c r="P206" s="326"/>
      <c r="Q206" s="993">
        <f>+$I$71-I206</f>
        <v>1.6895833333333337</v>
      </c>
      <c r="R206" s="993"/>
      <c r="U206" s="1020"/>
      <c r="V206" s="1023"/>
      <c r="W206" s="1026"/>
      <c r="X206" s="984"/>
      <c r="AA206" s="3"/>
      <c r="AB206" s="3"/>
      <c r="AC206" s="3"/>
      <c r="AD206" s="3"/>
    </row>
    <row r="207" spans="2:50" ht="24.75">
      <c r="B207" s="332" t="s">
        <v>46</v>
      </c>
      <c r="C207" s="1014">
        <f>+E207*7</f>
        <v>267.75</v>
      </c>
      <c r="D207" s="1014"/>
      <c r="E207" s="1015">
        <f>+K207/30</f>
        <v>38.25</v>
      </c>
      <c r="F207" s="1015"/>
      <c r="G207" s="1002"/>
      <c r="H207" s="1003"/>
      <c r="I207" s="1016">
        <f>+E207/8</f>
        <v>4.78125</v>
      </c>
      <c r="J207" s="1017"/>
      <c r="K207" s="1018">
        <f>+K206*1.35</f>
        <v>1147.5</v>
      </c>
      <c r="L207" s="1018"/>
      <c r="M207" s="326"/>
      <c r="N207" s="991">
        <f>+I207/6*7</f>
        <v>5.578125</v>
      </c>
      <c r="O207" s="992"/>
      <c r="P207" s="326"/>
      <c r="Q207" s="993">
        <f>+$I$71-I207</f>
        <v>0.45000000000000018</v>
      </c>
      <c r="R207" s="993"/>
      <c r="U207" s="1020"/>
      <c r="V207" s="1023"/>
      <c r="W207" s="1026"/>
      <c r="X207" s="984"/>
      <c r="Z207" s="477"/>
      <c r="AA207" s="596"/>
      <c r="AB207" s="596"/>
      <c r="AC207" s="596"/>
      <c r="AD207" s="596"/>
      <c r="AE207" s="296"/>
      <c r="AF207" s="296"/>
      <c r="AG207" s="478"/>
      <c r="AH207" s="296"/>
      <c r="AI207" s="296"/>
      <c r="AJ207" s="296"/>
      <c r="AK207" s="296"/>
      <c r="AL207" s="296"/>
      <c r="AM207" s="296"/>
      <c r="AN207" s="296"/>
      <c r="AO207" s="296"/>
      <c r="AP207" s="296"/>
      <c r="AQ207" s="296"/>
      <c r="AR207" s="296"/>
      <c r="AS207" s="296"/>
      <c r="AT207" s="296"/>
    </row>
    <row r="208" spans="2:50" ht="2.1" customHeight="1">
      <c r="B208" s="334"/>
      <c r="C208" s="258"/>
      <c r="D208" s="258"/>
      <c r="G208" s="335"/>
      <c r="H208" s="335"/>
      <c r="I208" s="336"/>
      <c r="J208" s="336"/>
      <c r="K208" s="337"/>
      <c r="L208" s="337"/>
      <c r="M208" s="6"/>
      <c r="N208" s="338"/>
      <c r="O208" s="338"/>
      <c r="P208" s="6"/>
      <c r="Q208" s="339"/>
      <c r="R208" s="339"/>
      <c r="U208" s="1021"/>
      <c r="V208" s="1024"/>
      <c r="W208" s="1027"/>
      <c r="X208" s="985"/>
      <c r="Z208" s="477"/>
      <c r="AA208" s="596"/>
      <c r="AB208" s="596"/>
      <c r="AC208" s="596"/>
      <c r="AD208" s="596"/>
      <c r="AE208" s="296"/>
      <c r="AF208" s="296"/>
      <c r="AG208" s="478"/>
      <c r="AH208" s="296"/>
      <c r="AI208" s="296"/>
      <c r="AJ208" s="296"/>
      <c r="AK208" s="296"/>
      <c r="AL208" s="296"/>
      <c r="AM208" s="296"/>
      <c r="AN208" s="296"/>
      <c r="AO208" s="296"/>
      <c r="AP208" s="296"/>
      <c r="AQ208" s="296"/>
      <c r="AR208" s="296"/>
      <c r="AS208" s="296"/>
      <c r="AT208" s="296"/>
    </row>
    <row r="209" spans="1:46" ht="16.5">
      <c r="A209" s="1">
        <v>1</v>
      </c>
      <c r="B209" s="340" t="s">
        <v>47</v>
      </c>
      <c r="C209" s="1040">
        <f>6*3+7*33.8</f>
        <v>254.59999999999997</v>
      </c>
      <c r="D209" s="1041"/>
      <c r="E209" s="1030">
        <f t="shared" ref="E209:E216" si="87">+C209/7</f>
        <v>36.371428571428567</v>
      </c>
      <c r="F209" s="1031"/>
      <c r="G209" s="341"/>
      <c r="H209" s="341"/>
      <c r="I209" s="1032">
        <f t="shared" ref="I209:I216" si="88">+E209/8</f>
        <v>4.5464285714285708</v>
      </c>
      <c r="J209" s="1033"/>
      <c r="K209" s="1034">
        <f t="shared" ref="K209:K219" si="89">+E209*30</f>
        <v>1091.1428571428569</v>
      </c>
      <c r="L209" s="1034"/>
      <c r="M209" s="6"/>
      <c r="N209" s="1035">
        <f t="shared" ref="N209:N223" si="90">+I209/6*7</f>
        <v>5.3041666666666654</v>
      </c>
      <c r="O209" s="1035"/>
      <c r="P209" s="6"/>
      <c r="Q209" s="1036">
        <f t="shared" ref="Q209:Q223" si="91">+$I$71-I209</f>
        <v>0.68482142857142936</v>
      </c>
      <c r="R209" s="1037"/>
      <c r="U209" s="342">
        <f t="shared" ref="U209:U215" si="92">+AE170+U170+K170+AO149+AE149+U149+K149</f>
        <v>0</v>
      </c>
      <c r="V209" s="343">
        <v>48</v>
      </c>
      <c r="W209" s="344">
        <f t="shared" ref="W209:W223" si="93">+V209-U209</f>
        <v>48</v>
      </c>
      <c r="X209" s="345" t="e">
        <f t="shared" ref="X209:X215" si="94">+J149+T149+AD149+J170+T170+AD170</f>
        <v>#VALUE!</v>
      </c>
      <c r="Z209" s="477"/>
      <c r="AA209" s="596"/>
      <c r="AB209" s="596"/>
      <c r="AC209" s="596"/>
      <c r="AD209" s="596"/>
      <c r="AE209" s="296"/>
      <c r="AF209" s="296"/>
      <c r="AG209" s="478"/>
      <c r="AH209" s="296"/>
      <c r="AI209" s="296"/>
      <c r="AJ209" s="296"/>
      <c r="AK209" s="296"/>
      <c r="AL209" s="296"/>
      <c r="AM209" s="296"/>
      <c r="AN209" s="296"/>
      <c r="AO209" s="296"/>
      <c r="AP209" s="296"/>
      <c r="AQ209" s="296"/>
      <c r="AR209" s="296"/>
      <c r="AS209" s="296"/>
      <c r="AT209" s="296"/>
    </row>
    <row r="210" spans="1:46" ht="16.5">
      <c r="A210" s="1">
        <v>2</v>
      </c>
      <c r="B210" s="340" t="s">
        <v>48</v>
      </c>
      <c r="C210" s="1040">
        <f>6*3+7*38.5</f>
        <v>287.5</v>
      </c>
      <c r="D210" s="1041"/>
      <c r="E210" s="1030">
        <f t="shared" si="87"/>
        <v>41.071428571428569</v>
      </c>
      <c r="F210" s="1031"/>
      <c r="G210" s="341"/>
      <c r="H210" s="341"/>
      <c r="I210" s="1032">
        <f t="shared" si="88"/>
        <v>5.1339285714285712</v>
      </c>
      <c r="J210" s="1033"/>
      <c r="K210" s="1034">
        <f t="shared" si="89"/>
        <v>1232.1428571428571</v>
      </c>
      <c r="L210" s="1034"/>
      <c r="M210" s="6"/>
      <c r="N210" s="1035">
        <f t="shared" si="90"/>
        <v>5.989583333333333</v>
      </c>
      <c r="O210" s="1035"/>
      <c r="P210" s="6"/>
      <c r="Q210" s="1036">
        <f t="shared" si="91"/>
        <v>9.7321428571429003E-2</v>
      </c>
      <c r="R210" s="1037"/>
      <c r="U210" s="342">
        <f t="shared" si="92"/>
        <v>0</v>
      </c>
      <c r="V210" s="343">
        <v>48</v>
      </c>
      <c r="W210" s="344">
        <f t="shared" si="93"/>
        <v>48</v>
      </c>
      <c r="X210" s="345" t="e">
        <f t="shared" si="94"/>
        <v>#VALUE!</v>
      </c>
      <c r="Z210" s="477"/>
      <c r="AA210" s="596"/>
      <c r="AB210" s="596"/>
      <c r="AC210" s="596"/>
      <c r="AD210" s="596"/>
      <c r="AE210" s="296"/>
      <c r="AF210" s="296"/>
      <c r="AG210" s="478"/>
      <c r="AH210" s="296"/>
      <c r="AI210" s="296"/>
      <c r="AJ210" s="296"/>
      <c r="AK210" s="296"/>
      <c r="AL210" s="296"/>
      <c r="AM210" s="296"/>
      <c r="AN210" s="296"/>
      <c r="AO210" s="296"/>
      <c r="AP210" s="296"/>
      <c r="AQ210" s="296"/>
      <c r="AR210" s="296"/>
      <c r="AS210" s="296"/>
      <c r="AT210" s="296"/>
    </row>
    <row r="211" spans="1:46" ht="16.5">
      <c r="A211" s="1">
        <v>2</v>
      </c>
      <c r="B211" s="340" t="s">
        <v>61</v>
      </c>
      <c r="C211" s="1040">
        <f>6*3+7*38.5</f>
        <v>287.5</v>
      </c>
      <c r="D211" s="1041"/>
      <c r="E211" s="1030">
        <f t="shared" si="87"/>
        <v>41.071428571428569</v>
      </c>
      <c r="F211" s="1031"/>
      <c r="G211" s="341"/>
      <c r="H211" s="341"/>
      <c r="I211" s="1032">
        <f t="shared" si="88"/>
        <v>5.1339285714285712</v>
      </c>
      <c r="J211" s="1033"/>
      <c r="K211" s="1034">
        <f t="shared" si="89"/>
        <v>1232.1428571428571</v>
      </c>
      <c r="L211" s="1034"/>
      <c r="M211" s="6"/>
      <c r="N211" s="1035">
        <f t="shared" si="90"/>
        <v>5.989583333333333</v>
      </c>
      <c r="O211" s="1035"/>
      <c r="P211" s="6"/>
      <c r="Q211" s="1036">
        <f t="shared" si="91"/>
        <v>9.7321428571429003E-2</v>
      </c>
      <c r="R211" s="1037"/>
      <c r="U211" s="342">
        <f t="shared" si="92"/>
        <v>0</v>
      </c>
      <c r="V211" s="343">
        <v>48</v>
      </c>
      <c r="W211" s="344">
        <f t="shared" si="93"/>
        <v>48</v>
      </c>
      <c r="X211" s="345" t="e">
        <f t="shared" si="94"/>
        <v>#VALUE!</v>
      </c>
      <c r="Z211" s="477"/>
      <c r="AA211" s="596"/>
      <c r="AB211" s="596"/>
      <c r="AC211" s="596"/>
      <c r="AD211" s="596"/>
      <c r="AE211" s="296"/>
      <c r="AF211" s="296"/>
      <c r="AG211" s="478"/>
      <c r="AH211" s="296"/>
      <c r="AI211" s="296"/>
      <c r="AJ211" s="296"/>
      <c r="AK211" s="296"/>
      <c r="AL211" s="296"/>
      <c r="AM211" s="296"/>
      <c r="AN211" s="296"/>
      <c r="AO211" s="296"/>
      <c r="AP211" s="296"/>
      <c r="AQ211" s="296"/>
      <c r="AR211" s="296"/>
      <c r="AS211" s="296"/>
      <c r="AT211" s="296"/>
    </row>
    <row r="212" spans="1:46" ht="16.5">
      <c r="A212" s="1">
        <v>4</v>
      </c>
      <c r="B212" s="359" t="s">
        <v>50</v>
      </c>
      <c r="C212" s="1028">
        <f>6*3+7*30.762</f>
        <v>233.334</v>
      </c>
      <c r="D212" s="1029"/>
      <c r="E212" s="1030">
        <f t="shared" si="87"/>
        <v>33.33342857142857</v>
      </c>
      <c r="F212" s="1031"/>
      <c r="G212" s="341"/>
      <c r="H212" s="341"/>
      <c r="I212" s="1032">
        <f t="shared" si="88"/>
        <v>4.1666785714285712</v>
      </c>
      <c r="J212" s="1033"/>
      <c r="K212" s="1034">
        <f t="shared" si="89"/>
        <v>1000.0028571428571</v>
      </c>
      <c r="L212" s="1034"/>
      <c r="M212" s="6"/>
      <c r="N212" s="1035">
        <f t="shared" si="90"/>
        <v>4.8611250000000004</v>
      </c>
      <c r="O212" s="1035"/>
      <c r="P212" s="6"/>
      <c r="Q212" s="1036">
        <f t="shared" si="91"/>
        <v>1.0645714285714289</v>
      </c>
      <c r="R212" s="1037"/>
      <c r="S212" s="1082">
        <f>20*30/180*117</f>
        <v>390</v>
      </c>
      <c r="T212" s="1083"/>
      <c r="U212" s="342">
        <f t="shared" si="92"/>
        <v>0</v>
      </c>
      <c r="V212" s="343">
        <v>48</v>
      </c>
      <c r="W212" s="344">
        <f t="shared" si="93"/>
        <v>48</v>
      </c>
      <c r="X212" s="345">
        <f t="shared" si="94"/>
        <v>0</v>
      </c>
      <c r="Z212" s="1084" t="s">
        <v>99</v>
      </c>
      <c r="AA212" s="1084"/>
      <c r="AB212" s="1084"/>
      <c r="AC212" s="1084"/>
      <c r="AD212" s="477" t="s">
        <v>100</v>
      </c>
      <c r="AE212" s="596"/>
      <c r="AF212" s="296"/>
      <c r="AG212" s="597"/>
      <c r="AH212" s="597"/>
      <c r="AI212" s="296"/>
      <c r="AJ212" s="296"/>
      <c r="AK212" s="595"/>
      <c r="AL212" s="595"/>
      <c r="AM212" s="595"/>
      <c r="AN212" s="595"/>
      <c r="AO212" s="595"/>
      <c r="AP212" s="595"/>
      <c r="AQ212" s="595"/>
      <c r="AR212" s="595"/>
      <c r="AS212" s="296"/>
      <c r="AT212" s="296"/>
    </row>
    <row r="213" spans="1:46" ht="16.5">
      <c r="A213" s="1">
        <v>5</v>
      </c>
      <c r="B213" s="340" t="s">
        <v>52</v>
      </c>
      <c r="C213" s="1028">
        <f>6*3+7*38.5</f>
        <v>287.5</v>
      </c>
      <c r="D213" s="1029"/>
      <c r="E213" s="1030">
        <f t="shared" si="87"/>
        <v>41.071428571428569</v>
      </c>
      <c r="F213" s="1031"/>
      <c r="G213" s="341"/>
      <c r="H213" s="341"/>
      <c r="I213" s="1032">
        <f t="shared" si="88"/>
        <v>5.1339285714285712</v>
      </c>
      <c r="J213" s="1033"/>
      <c r="K213" s="1034">
        <f t="shared" si="89"/>
        <v>1232.1428571428571</v>
      </c>
      <c r="L213" s="1034"/>
      <c r="M213" s="6"/>
      <c r="N213" s="1035">
        <f t="shared" si="90"/>
        <v>5.989583333333333</v>
      </c>
      <c r="O213" s="1035"/>
      <c r="P213" s="6"/>
      <c r="Q213" s="1036">
        <f t="shared" si="91"/>
        <v>9.7321428571429003E-2</v>
      </c>
      <c r="R213" s="1037"/>
      <c r="U213" s="342">
        <f t="shared" si="92"/>
        <v>0</v>
      </c>
      <c r="V213" s="343">
        <v>48</v>
      </c>
      <c r="W213" s="344">
        <f t="shared" si="93"/>
        <v>48</v>
      </c>
      <c r="X213" s="345">
        <f t="shared" si="94"/>
        <v>0</v>
      </c>
      <c r="Z213" s="596"/>
      <c r="AA213" s="596"/>
      <c r="AB213" s="596"/>
      <c r="AC213" s="596"/>
      <c r="AD213" s="596"/>
      <c r="AE213" s="296"/>
      <c r="AF213" s="296"/>
      <c r="AG213" s="479"/>
      <c r="AH213" s="479"/>
      <c r="AI213" s="597"/>
      <c r="AJ213" s="597"/>
      <c r="AK213" s="597"/>
      <c r="AL213" s="597"/>
      <c r="AM213" s="597"/>
      <c r="AN213" s="597"/>
      <c r="AO213" s="597"/>
      <c r="AP213" s="597"/>
      <c r="AQ213" s="597"/>
      <c r="AR213" s="597"/>
      <c r="AS213" s="296"/>
      <c r="AT213" s="296"/>
    </row>
    <row r="214" spans="1:46" ht="16.5">
      <c r="A214" s="1">
        <v>7</v>
      </c>
      <c r="B214" s="365" t="s">
        <v>53</v>
      </c>
      <c r="C214" s="1042">
        <f>6*3+7*(38.5)</f>
        <v>287.5</v>
      </c>
      <c r="D214" s="1043"/>
      <c r="E214" s="1030">
        <f t="shared" si="87"/>
        <v>41.071428571428569</v>
      </c>
      <c r="F214" s="1031"/>
      <c r="G214" s="1046"/>
      <c r="H214" s="1047"/>
      <c r="I214" s="1032">
        <f t="shared" si="88"/>
        <v>5.1339285714285712</v>
      </c>
      <c r="J214" s="1033"/>
      <c r="K214" s="1034">
        <f t="shared" si="89"/>
        <v>1232.1428571428571</v>
      </c>
      <c r="L214" s="1034"/>
      <c r="M214" s="6"/>
      <c r="N214" s="1035">
        <f t="shared" si="90"/>
        <v>5.989583333333333</v>
      </c>
      <c r="O214" s="1035"/>
      <c r="P214" s="6"/>
      <c r="Q214" s="1036">
        <f t="shared" si="91"/>
        <v>9.7321428571429003E-2</v>
      </c>
      <c r="R214" s="1037"/>
      <c r="U214" s="342">
        <f t="shared" si="92"/>
        <v>0</v>
      </c>
      <c r="V214" s="343">
        <v>48</v>
      </c>
      <c r="W214" s="344">
        <f t="shared" si="93"/>
        <v>48</v>
      </c>
      <c r="X214" s="345">
        <f t="shared" si="94"/>
        <v>0</v>
      </c>
      <c r="Z214" s="372"/>
      <c r="AA214" s="372"/>
      <c r="AB214" s="1085" t="s">
        <v>101</v>
      </c>
      <c r="AC214" s="1086"/>
      <c r="AD214" s="1086"/>
      <c r="AE214" s="1086"/>
      <c r="AF214" s="1086"/>
      <c r="AG214" s="1086"/>
      <c r="AH214" s="1086"/>
      <c r="AI214" s="1086"/>
      <c r="AJ214" s="1086"/>
      <c r="AK214" s="1086"/>
      <c r="AL214" s="370"/>
      <c r="AM214" s="597"/>
      <c r="AN214" s="597"/>
      <c r="AO214" s="597"/>
      <c r="AP214" s="597"/>
      <c r="AQ214" s="597"/>
      <c r="AR214" s="597"/>
      <c r="AS214" s="296"/>
      <c r="AT214" s="296"/>
    </row>
    <row r="215" spans="1:46" s="371" customFormat="1" ht="16.5">
      <c r="A215" s="366">
        <v>6</v>
      </c>
      <c r="B215" s="365" t="s">
        <v>102</v>
      </c>
      <c r="C215" s="1042">
        <f>6*3+7*(27)</f>
        <v>207</v>
      </c>
      <c r="D215" s="1043"/>
      <c r="E215" s="1030">
        <f t="shared" si="87"/>
        <v>29.571428571428573</v>
      </c>
      <c r="F215" s="1031"/>
      <c r="G215" s="1087"/>
      <c r="H215" s="1088"/>
      <c r="I215" s="1032">
        <f t="shared" si="88"/>
        <v>3.6964285714285716</v>
      </c>
      <c r="J215" s="1033"/>
      <c r="K215" s="1034">
        <f t="shared" si="89"/>
        <v>887.14285714285722</v>
      </c>
      <c r="L215" s="1034"/>
      <c r="M215" s="6"/>
      <c r="N215" s="1035">
        <f t="shared" si="90"/>
        <v>4.3125</v>
      </c>
      <c r="O215" s="1035"/>
      <c r="P215" s="6"/>
      <c r="Q215" s="1036">
        <f t="shared" si="91"/>
        <v>1.5348214285714286</v>
      </c>
      <c r="R215" s="1037"/>
      <c r="S215" s="1082">
        <f>20*30/180*117</f>
        <v>390</v>
      </c>
      <c r="T215" s="1083"/>
      <c r="U215" s="342">
        <f t="shared" si="92"/>
        <v>0</v>
      </c>
      <c r="V215" s="343">
        <v>48</v>
      </c>
      <c r="W215" s="344">
        <f t="shared" si="93"/>
        <v>48</v>
      </c>
      <c r="X215" s="345">
        <f t="shared" si="94"/>
        <v>0</v>
      </c>
      <c r="Y215" s="367"/>
      <c r="Z215" s="596"/>
      <c r="AA215" s="596"/>
      <c r="AB215" s="596"/>
      <c r="AC215" s="596"/>
      <c r="AD215" s="596"/>
      <c r="AE215" s="296"/>
      <c r="AF215" s="296"/>
      <c r="AG215" s="597"/>
      <c r="AH215" s="597"/>
      <c r="AI215" s="370"/>
      <c r="AJ215" s="370"/>
      <c r="AK215" s="370"/>
      <c r="AL215" s="370"/>
      <c r="AM215" s="597"/>
      <c r="AN215" s="597"/>
      <c r="AO215" s="597"/>
      <c r="AP215" s="597"/>
      <c r="AQ215" s="597"/>
      <c r="AR215" s="597"/>
      <c r="AS215" s="296"/>
      <c r="AT215" s="296"/>
    </row>
    <row r="216" spans="1:46" s="371" customFormat="1" ht="16.5">
      <c r="A216" s="1">
        <v>8</v>
      </c>
      <c r="B216" s="365" t="s">
        <v>87</v>
      </c>
      <c r="C216" s="1042">
        <f>6*3+7*(25.7619)</f>
        <v>198.33330000000001</v>
      </c>
      <c r="D216" s="1043"/>
      <c r="E216" s="1030">
        <f t="shared" si="87"/>
        <v>28.333328571428574</v>
      </c>
      <c r="F216" s="1031"/>
      <c r="G216" s="1044">
        <v>25.761900000000001</v>
      </c>
      <c r="H216" s="1045"/>
      <c r="I216" s="1032">
        <f t="shared" si="88"/>
        <v>3.5416660714285717</v>
      </c>
      <c r="J216" s="1033"/>
      <c r="K216" s="1034">
        <f t="shared" si="89"/>
        <v>849.99985714285719</v>
      </c>
      <c r="L216" s="1034"/>
      <c r="M216" s="6"/>
      <c r="N216" s="1035">
        <f t="shared" si="90"/>
        <v>4.1319437500000005</v>
      </c>
      <c r="O216" s="1035"/>
      <c r="P216" s="6"/>
      <c r="Q216" s="1036">
        <f t="shared" si="91"/>
        <v>1.6895839285714285</v>
      </c>
      <c r="R216" s="1037"/>
      <c r="S216" s="3"/>
      <c r="T216" s="3"/>
      <c r="U216" s="342">
        <f>+AE178+U178+K178+AO157+AE157+U157+K157</f>
        <v>0</v>
      </c>
      <c r="V216" s="343">
        <v>48</v>
      </c>
      <c r="W216" s="344">
        <f t="shared" si="93"/>
        <v>48</v>
      </c>
      <c r="X216" s="345">
        <f>+J157+T157+AD157+J178+T178+AD178</f>
        <v>0</v>
      </c>
      <c r="Y216" s="3"/>
      <c r="Z216" s="596"/>
      <c r="AA216" s="596"/>
      <c r="AB216" s="596"/>
      <c r="AC216" s="596"/>
      <c r="AD216" s="596"/>
      <c r="AE216" s="296"/>
      <c r="AF216" s="296"/>
      <c r="AG216" s="597"/>
      <c r="AH216" s="597"/>
      <c r="AI216" s="370"/>
      <c r="AJ216" s="370"/>
      <c r="AK216" s="370"/>
      <c r="AL216" s="370"/>
      <c r="AM216" s="597"/>
      <c r="AN216" s="597"/>
      <c r="AO216" s="597"/>
      <c r="AP216" s="597"/>
      <c r="AQ216" s="597"/>
      <c r="AR216" s="597"/>
      <c r="AS216" s="296"/>
      <c r="AT216" s="296"/>
    </row>
    <row r="217" spans="1:46" ht="16.5">
      <c r="B217" s="365" t="s">
        <v>54</v>
      </c>
      <c r="C217" s="1042"/>
      <c r="D217" s="1043"/>
      <c r="E217" s="1030"/>
      <c r="F217" s="1031"/>
      <c r="G217" s="1087"/>
      <c r="H217" s="1088"/>
      <c r="I217" s="1032"/>
      <c r="J217" s="1033"/>
      <c r="K217" s="1034">
        <f t="shared" si="89"/>
        <v>0</v>
      </c>
      <c r="L217" s="1034"/>
      <c r="M217" s="6"/>
      <c r="N217" s="1035">
        <f t="shared" si="90"/>
        <v>0</v>
      </c>
      <c r="O217" s="1035"/>
      <c r="P217" s="6"/>
      <c r="Q217" s="1036">
        <f t="shared" si="91"/>
        <v>5.2312500000000002</v>
      </c>
      <c r="R217" s="1037"/>
      <c r="U217" s="342">
        <f>+AE182+U182+K182+AO161+AE161+U161+K161</f>
        <v>0</v>
      </c>
      <c r="V217" s="343">
        <v>48</v>
      </c>
      <c r="W217" s="344">
        <f t="shared" si="93"/>
        <v>48</v>
      </c>
      <c r="X217" s="345" t="e">
        <f>+#REF!+#REF!+#REF!+#REF!+#REF!+#REF!</f>
        <v>#REF!</v>
      </c>
      <c r="Z217" s="372"/>
      <c r="AA217" s="372"/>
      <c r="AB217" s="596"/>
      <c r="AC217" s="596"/>
      <c r="AD217" s="596"/>
      <c r="AE217" s="296"/>
      <c r="AF217" s="296"/>
      <c r="AG217" s="597"/>
      <c r="AH217" s="597"/>
      <c r="AI217" s="597"/>
      <c r="AJ217" s="597"/>
      <c r="AK217" s="597"/>
      <c r="AL217" s="597"/>
      <c r="AM217" s="597"/>
      <c r="AN217" s="597"/>
      <c r="AO217" s="597"/>
      <c r="AP217" s="597"/>
      <c r="AQ217" s="597"/>
      <c r="AR217" s="597"/>
      <c r="AS217" s="296"/>
      <c r="AT217" s="296"/>
    </row>
    <row r="218" spans="1:46" ht="16.5">
      <c r="B218" s="365" t="s">
        <v>54</v>
      </c>
      <c r="C218" s="1028">
        <f>6*3+7*35</f>
        <v>263</v>
      </c>
      <c r="D218" s="1029"/>
      <c r="E218" s="1030">
        <f t="shared" ref="E218:E223" si="95">+C218/7</f>
        <v>37.571428571428569</v>
      </c>
      <c r="F218" s="1031"/>
      <c r="G218" s="341"/>
      <c r="H218" s="341"/>
      <c r="I218" s="1032">
        <f>+E218/8</f>
        <v>4.6964285714285712</v>
      </c>
      <c r="J218" s="1033"/>
      <c r="K218" s="1034">
        <f t="shared" si="89"/>
        <v>1127.1428571428571</v>
      </c>
      <c r="L218" s="1034"/>
      <c r="M218" s="374"/>
      <c r="N218" s="1035">
        <f t="shared" si="90"/>
        <v>5.479166666666667</v>
      </c>
      <c r="O218" s="1035"/>
      <c r="P218" s="6"/>
      <c r="Q218" s="1036">
        <f t="shared" si="91"/>
        <v>0.534821428571429</v>
      </c>
      <c r="R218" s="1037"/>
      <c r="U218" s="342">
        <f>+AE179+U179+K179+AO158+AE158+U158+K158</f>
        <v>0</v>
      </c>
      <c r="V218" s="343">
        <v>48</v>
      </c>
      <c r="W218" s="344">
        <f t="shared" si="93"/>
        <v>48</v>
      </c>
      <c r="X218" s="345">
        <f>+J158+T158+AD158+J179+T179+AD179</f>
        <v>0</v>
      </c>
      <c r="Z218" s="1084">
        <f>+K218/E218</f>
        <v>30</v>
      </c>
      <c r="AA218" s="1084"/>
      <c r="AB218" s="1084"/>
      <c r="AC218" s="1084"/>
      <c r="AD218" s="596"/>
      <c r="AE218" s="296"/>
      <c r="AF218" s="296"/>
      <c r="AG218" s="479"/>
      <c r="AH218" s="479"/>
      <c r="AI218" s="597"/>
      <c r="AJ218" s="597"/>
      <c r="AK218" s="597"/>
      <c r="AL218" s="597"/>
      <c r="AM218" s="597"/>
      <c r="AN218" s="597"/>
      <c r="AO218" s="597"/>
      <c r="AP218" s="597"/>
      <c r="AQ218" s="597"/>
      <c r="AR218" s="597"/>
      <c r="AS218" s="296"/>
      <c r="AT218" s="296"/>
    </row>
    <row r="219" spans="1:46" ht="16.5">
      <c r="A219" s="1">
        <v>3</v>
      </c>
      <c r="B219" s="340" t="s">
        <v>66</v>
      </c>
      <c r="C219" s="1028">
        <f>6*3+7*34.0952</f>
        <v>256.66639999999995</v>
      </c>
      <c r="D219" s="1029"/>
      <c r="E219" s="1030">
        <f t="shared" si="95"/>
        <v>36.666628571428568</v>
      </c>
      <c r="F219" s="1031"/>
      <c r="G219" s="1044">
        <f>(C219-18)/7</f>
        <v>34.095199999999991</v>
      </c>
      <c r="H219" s="1045"/>
      <c r="I219" s="1032">
        <f>+E219/8</f>
        <v>4.583328571428571</v>
      </c>
      <c r="J219" s="1089"/>
      <c r="K219" s="1090">
        <f t="shared" si="89"/>
        <v>1099.9988571428571</v>
      </c>
      <c r="L219" s="1091"/>
      <c r="M219" s="374"/>
      <c r="N219" s="1050">
        <f t="shared" si="90"/>
        <v>5.3472166666666663</v>
      </c>
      <c r="O219" s="1051"/>
      <c r="P219" s="6"/>
      <c r="Q219" s="1036">
        <f t="shared" si="91"/>
        <v>0.6479214285714292</v>
      </c>
      <c r="R219" s="1037"/>
      <c r="U219" s="342">
        <f>+AE180+U180+K180+AO159+AE159+U159+K159</f>
        <v>0</v>
      </c>
      <c r="V219" s="343">
        <v>48</v>
      </c>
      <c r="W219" s="344">
        <f t="shared" si="93"/>
        <v>48</v>
      </c>
      <c r="X219" s="345">
        <f>+J159+T159+AD159+J180+T180+AD180</f>
        <v>0</v>
      </c>
      <c r="Z219" s="481"/>
      <c r="AA219" s="482"/>
      <c r="AB219" s="477"/>
      <c r="AC219" s="596"/>
      <c r="AD219" s="596"/>
      <c r="AE219" s="296"/>
      <c r="AF219" s="296"/>
      <c r="AG219" s="597"/>
      <c r="AH219" s="597"/>
      <c r="AI219" s="370"/>
      <c r="AJ219" s="370"/>
      <c r="AK219" s="370"/>
      <c r="AL219" s="370"/>
      <c r="AM219" s="597"/>
      <c r="AN219" s="597"/>
      <c r="AO219" s="597"/>
      <c r="AP219" s="597"/>
      <c r="AQ219" s="597"/>
      <c r="AR219" s="597"/>
      <c r="AS219" s="296"/>
      <c r="AT219" s="296"/>
    </row>
    <row r="220" spans="1:46" ht="16.5">
      <c r="B220" s="483" t="s">
        <v>55</v>
      </c>
      <c r="C220" s="1104">
        <f>+G220*6</f>
        <v>169.99979999999999</v>
      </c>
      <c r="D220" s="1105"/>
      <c r="E220" s="1106">
        <f t="shared" si="95"/>
        <v>24.285685714285712</v>
      </c>
      <c r="F220" s="1107"/>
      <c r="G220" s="1108">
        <f>28.3333</f>
        <v>28.333300000000001</v>
      </c>
      <c r="H220" s="1109"/>
      <c r="I220" s="1106">
        <f>+G220/8</f>
        <v>3.5416625000000002</v>
      </c>
      <c r="J220" s="1107"/>
      <c r="K220" s="1110">
        <f>+G220*30</f>
        <v>849.99900000000002</v>
      </c>
      <c r="L220" s="1111"/>
      <c r="M220" s="6"/>
      <c r="N220" s="1050">
        <f t="shared" si="90"/>
        <v>4.1319395833333337</v>
      </c>
      <c r="O220" s="1051"/>
      <c r="P220" s="6"/>
      <c r="Q220" s="1048">
        <f t="shared" si="91"/>
        <v>1.6895875</v>
      </c>
      <c r="R220" s="1049"/>
      <c r="U220" s="342">
        <f>+AE182+U182+K182+AO161+AE161+U161+K161</f>
        <v>0</v>
      </c>
      <c r="V220" s="343">
        <v>48</v>
      </c>
      <c r="W220" s="344">
        <f t="shared" si="93"/>
        <v>48</v>
      </c>
      <c r="X220" s="345">
        <f>+J160+T160+AD160+J181+T181+AD181</f>
        <v>0</v>
      </c>
      <c r="Z220" s="481"/>
      <c r="AA220" s="482"/>
      <c r="AB220" s="477"/>
      <c r="AC220" s="596"/>
      <c r="AD220" s="596"/>
      <c r="AE220" s="296"/>
      <c r="AF220" s="296"/>
      <c r="AG220" s="370"/>
      <c r="AH220" s="370"/>
      <c r="AI220" s="597"/>
      <c r="AJ220" s="597"/>
      <c r="AK220" s="597"/>
      <c r="AL220" s="597"/>
      <c r="AM220" s="597"/>
      <c r="AN220" s="597"/>
      <c r="AO220" s="597"/>
      <c r="AP220" s="597"/>
      <c r="AQ220" s="597"/>
      <c r="AR220" s="597"/>
      <c r="AS220" s="296"/>
      <c r="AT220" s="296"/>
    </row>
    <row r="221" spans="1:46" ht="16.5">
      <c r="B221" s="483" t="s">
        <v>103</v>
      </c>
      <c r="C221" s="1104">
        <f>+G221*6</f>
        <v>199.99979999999999</v>
      </c>
      <c r="D221" s="1105"/>
      <c r="E221" s="1106">
        <f t="shared" si="95"/>
        <v>28.571400000000001</v>
      </c>
      <c r="F221" s="1107"/>
      <c r="G221" s="1108">
        <v>33.333300000000001</v>
      </c>
      <c r="H221" s="1109"/>
      <c r="I221" s="1106">
        <f>+G221/8</f>
        <v>4.1666625000000002</v>
      </c>
      <c r="J221" s="1107"/>
      <c r="K221" s="1110">
        <f>+G221*30</f>
        <v>999.99900000000002</v>
      </c>
      <c r="L221" s="1111"/>
      <c r="M221" s="6"/>
      <c r="N221" s="1050">
        <f t="shared" si="90"/>
        <v>4.8611062500000006</v>
      </c>
      <c r="O221" s="1051"/>
      <c r="P221" s="6"/>
      <c r="Q221" s="1048">
        <f t="shared" si="91"/>
        <v>1.0645875</v>
      </c>
      <c r="R221" s="1049"/>
      <c r="U221" s="342">
        <f>+AE183+U183+K183+AO162+AE162+U162+K162</f>
        <v>0</v>
      </c>
      <c r="V221" s="343">
        <v>48</v>
      </c>
      <c r="W221" s="344">
        <f t="shared" si="93"/>
        <v>48</v>
      </c>
      <c r="X221" s="345">
        <f>+J161+T161+AD161+J182+T182+AD182</f>
        <v>0</v>
      </c>
      <c r="Z221" s="372"/>
      <c r="AA221" s="372"/>
      <c r="AB221" s="596"/>
      <c r="AC221" s="596"/>
      <c r="AD221" s="596">
        <v>200</v>
      </c>
      <c r="AE221" s="296"/>
      <c r="AF221" s="1092">
        <f>+AD221/6</f>
        <v>33.333333333333336</v>
      </c>
      <c r="AG221" s="1092"/>
      <c r="AH221" s="1092"/>
      <c r="AI221" s="597"/>
      <c r="AJ221" s="597"/>
      <c r="AK221" s="597"/>
      <c r="AL221" s="597"/>
      <c r="AM221" s="597"/>
      <c r="AN221" s="597"/>
      <c r="AO221" s="597"/>
      <c r="AP221" s="597"/>
      <c r="AQ221" s="597"/>
      <c r="AR221" s="597"/>
      <c r="AS221" s="296"/>
      <c r="AT221" s="296"/>
    </row>
    <row r="222" spans="1:46" ht="16.5">
      <c r="A222" s="366"/>
      <c r="B222" s="483" t="s">
        <v>104</v>
      </c>
      <c r="C222" s="1093">
        <v>100</v>
      </c>
      <c r="D222" s="1094"/>
      <c r="E222" s="1095">
        <f t="shared" si="95"/>
        <v>14.285714285714286</v>
      </c>
      <c r="F222" s="1096"/>
      <c r="G222" s="1097">
        <f>+C222/6</f>
        <v>16.666666666666668</v>
      </c>
      <c r="H222" s="1098"/>
      <c r="I222" s="1099">
        <f>+E222/8/6*7</f>
        <v>2.0833333333333335</v>
      </c>
      <c r="J222" s="1100"/>
      <c r="K222" s="1101">
        <f>+G222*30</f>
        <v>500.00000000000006</v>
      </c>
      <c r="L222" s="1101"/>
      <c r="M222" s="6"/>
      <c r="N222" s="1035">
        <f t="shared" si="90"/>
        <v>2.4305555555555558</v>
      </c>
      <c r="O222" s="1035"/>
      <c r="P222" s="6"/>
      <c r="Q222" s="1102">
        <f t="shared" si="91"/>
        <v>3.1479166666666667</v>
      </c>
      <c r="R222" s="1103"/>
      <c r="U222" s="342">
        <f>+AE182+U182+K182+AO161+AE161+U161+K161</f>
        <v>0</v>
      </c>
      <c r="V222" s="343">
        <v>48</v>
      </c>
      <c r="W222" s="344">
        <f t="shared" si="93"/>
        <v>48</v>
      </c>
      <c r="X222" s="345">
        <f>+J161+T161+AD161+J182+T182+AD182</f>
        <v>0</v>
      </c>
      <c r="Y222" s="367"/>
      <c r="Z222" s="596"/>
      <c r="AA222" s="596"/>
      <c r="AB222" s="596"/>
      <c r="AC222" s="596"/>
      <c r="AG222" s="597"/>
      <c r="AH222" s="597"/>
      <c r="AI222" s="296"/>
      <c r="AJ222" s="296"/>
      <c r="AK222" s="595"/>
      <c r="AL222" s="595"/>
      <c r="AM222" s="595"/>
      <c r="AN222" s="595"/>
      <c r="AO222" s="595"/>
      <c r="AP222" s="595"/>
      <c r="AQ222" s="595"/>
      <c r="AR222" s="595"/>
      <c r="AS222" s="296"/>
      <c r="AT222" s="296"/>
    </row>
    <row r="223" spans="1:46" ht="16.5">
      <c r="B223" s="375" t="s">
        <v>65</v>
      </c>
      <c r="C223" s="1054">
        <f>6*3+7*(G223)</f>
        <v>548.33330000000001</v>
      </c>
      <c r="D223" s="1055"/>
      <c r="E223" s="1056">
        <f t="shared" si="95"/>
        <v>78.333328571428567</v>
      </c>
      <c r="F223" s="1057"/>
      <c r="G223" s="1058">
        <v>75.761899999999997</v>
      </c>
      <c r="H223" s="1059"/>
      <c r="I223" s="1060">
        <f>+E223/8</f>
        <v>9.7916660714285708</v>
      </c>
      <c r="J223" s="1061"/>
      <c r="K223" s="1062">
        <f>+E223*30</f>
        <v>2349.9998571428569</v>
      </c>
      <c r="L223" s="1063"/>
      <c r="M223" s="6"/>
      <c r="N223" s="1035">
        <f t="shared" si="90"/>
        <v>11.423610416666666</v>
      </c>
      <c r="O223" s="1035"/>
      <c r="P223" s="6"/>
      <c r="Q223" s="1048">
        <f t="shared" si="91"/>
        <v>-4.5604160714285706</v>
      </c>
      <c r="R223" s="1049"/>
      <c r="U223" s="342">
        <f>+AE186+U186+K186+AO165+AE165+U165+K165</f>
        <v>0</v>
      </c>
      <c r="V223" s="343">
        <v>48</v>
      </c>
      <c r="W223" s="344">
        <f t="shared" si="93"/>
        <v>48</v>
      </c>
      <c r="X223" s="345">
        <f>+J165+T165+AD165+J186+T186+AD186</f>
        <v>0</v>
      </c>
      <c r="Z223" s="372"/>
      <c r="AA223" s="372"/>
      <c r="AB223" s="596"/>
      <c r="AC223" s="596"/>
      <c r="AD223" s="596"/>
      <c r="AE223" s="296"/>
      <c r="AF223" s="296"/>
      <c r="AG223" s="597"/>
      <c r="AH223" s="597"/>
      <c r="AI223" s="597"/>
      <c r="AJ223" s="597"/>
      <c r="AK223" s="597"/>
      <c r="AL223" s="597"/>
      <c r="AM223" s="597"/>
      <c r="AN223" s="597"/>
      <c r="AO223" s="597"/>
      <c r="AP223" s="597"/>
      <c r="AQ223" s="296"/>
      <c r="AR223" s="296"/>
      <c r="AS223" s="296"/>
      <c r="AT223" s="296"/>
    </row>
    <row r="224" spans="1:46">
      <c r="AE224" s="376"/>
      <c r="AF224" s="376"/>
      <c r="AJ224" s="376"/>
      <c r="AK224" s="376"/>
    </row>
    <row r="225" spans="3:37" ht="15.75" thickBot="1">
      <c r="AE225" s="376"/>
      <c r="AF225" s="376"/>
      <c r="AJ225" s="376"/>
      <c r="AK225" s="376"/>
    </row>
    <row r="226" spans="3:37">
      <c r="C226" s="484"/>
      <c r="D226" s="485"/>
      <c r="E226" s="486"/>
      <c r="F226" s="487"/>
      <c r="G226" s="485"/>
      <c r="H226" s="485"/>
      <c r="I226" s="487"/>
      <c r="J226" s="485"/>
      <c r="K226" s="488"/>
      <c r="L226" s="488"/>
      <c r="M226" s="485"/>
      <c r="N226" s="485"/>
      <c r="O226" s="485"/>
      <c r="P226" s="485"/>
      <c r="Q226" s="485"/>
      <c r="R226" s="485"/>
      <c r="S226" s="485"/>
      <c r="T226" s="485"/>
      <c r="U226" s="485"/>
      <c r="V226" s="485"/>
      <c r="W226" s="485"/>
      <c r="X226" s="485"/>
      <c r="Y226" s="485"/>
      <c r="Z226" s="485"/>
      <c r="AA226" s="489"/>
      <c r="AB226" s="489"/>
      <c r="AC226" s="489"/>
      <c r="AD226" s="489"/>
      <c r="AE226" s="490"/>
      <c r="AF226" s="490"/>
      <c r="AG226" s="491"/>
      <c r="AJ226" s="376"/>
      <c r="AK226" s="376"/>
    </row>
    <row r="227" spans="3:37" ht="18">
      <c r="C227" s="492"/>
      <c r="D227" s="333"/>
      <c r="E227" s="493" t="s">
        <v>105</v>
      </c>
      <c r="F227" s="411"/>
      <c r="G227" s="333"/>
      <c r="H227" s="333"/>
      <c r="I227" s="411"/>
      <c r="J227" s="333"/>
      <c r="K227" s="405"/>
      <c r="L227" s="405"/>
      <c r="M227" s="333"/>
      <c r="N227" s="333"/>
      <c r="O227" s="333"/>
      <c r="P227" s="333"/>
      <c r="Q227" s="333"/>
      <c r="R227" s="333"/>
      <c r="S227" s="333"/>
      <c r="T227" s="333"/>
      <c r="U227" s="333"/>
      <c r="V227" s="333"/>
      <c r="W227" s="333"/>
      <c r="X227" s="333"/>
      <c r="Y227" s="333"/>
      <c r="Z227" s="333"/>
      <c r="AA227" s="167"/>
      <c r="AB227" s="167"/>
      <c r="AC227" s="167"/>
      <c r="AD227" s="167"/>
      <c r="AE227" s="376"/>
      <c r="AF227" s="376"/>
      <c r="AG227" s="494"/>
      <c r="AJ227" s="376"/>
      <c r="AK227" s="376"/>
    </row>
    <row r="228" spans="3:37">
      <c r="C228" s="492"/>
      <c r="D228" s="333"/>
      <c r="E228" s="410"/>
      <c r="F228" s="411"/>
      <c r="G228" s="333"/>
      <c r="H228" s="333"/>
      <c r="I228" s="411"/>
      <c r="J228" s="333"/>
      <c r="K228" s="405"/>
      <c r="L228" s="405"/>
      <c r="M228" s="333"/>
      <c r="N228" s="333"/>
      <c r="O228" s="333"/>
      <c r="P228" s="333"/>
      <c r="Q228" s="333"/>
      <c r="R228" s="333"/>
      <c r="S228" s="333"/>
      <c r="T228" s="333"/>
      <c r="U228" s="333"/>
      <c r="V228" s="333"/>
      <c r="W228" s="333"/>
      <c r="X228" s="333"/>
      <c r="Y228" s="333"/>
      <c r="Z228" s="333"/>
      <c r="AA228" s="1112" t="s">
        <v>106</v>
      </c>
      <c r="AB228" s="1113"/>
      <c r="AC228" s="1114"/>
      <c r="AD228" s="1115" t="s">
        <v>107</v>
      </c>
      <c r="AE228" s="1116"/>
      <c r="AF228" s="1117"/>
      <c r="AG228" s="494"/>
      <c r="AH228" s="167"/>
      <c r="AI228" s="167"/>
      <c r="AJ228" s="376"/>
      <c r="AK228" s="376"/>
    </row>
    <row r="229" spans="3:37" ht="16.5" thickBot="1">
      <c r="C229" s="492"/>
      <c r="D229" s="1118" t="s">
        <v>108</v>
      </c>
      <c r="E229" s="1118"/>
      <c r="F229" s="1118"/>
      <c r="G229" s="1118"/>
      <c r="H229" s="1118"/>
      <c r="I229" s="1119" t="s">
        <v>109</v>
      </c>
      <c r="J229" s="1119"/>
      <c r="K229" s="1119"/>
      <c r="L229" s="1120" t="s">
        <v>110</v>
      </c>
      <c r="M229" s="1120"/>
      <c r="N229" s="1120"/>
      <c r="O229" s="1120" t="s">
        <v>111</v>
      </c>
      <c r="P229" s="1120"/>
      <c r="Q229" s="1120"/>
      <c r="R229" s="1121" t="s">
        <v>112</v>
      </c>
      <c r="S229" s="1121"/>
      <c r="T229" s="1121"/>
      <c r="U229" s="1120" t="s">
        <v>113</v>
      </c>
      <c r="V229" s="1120"/>
      <c r="W229" s="1122"/>
      <c r="X229" s="1123" t="s">
        <v>114</v>
      </c>
      <c r="Y229" s="1124"/>
      <c r="Z229" s="1125"/>
      <c r="AA229" s="1126" t="s">
        <v>115</v>
      </c>
      <c r="AB229" s="1126"/>
      <c r="AC229" s="1127"/>
      <c r="AD229" s="1128" t="s">
        <v>116</v>
      </c>
      <c r="AE229" s="1129"/>
      <c r="AF229" s="1130"/>
      <c r="AG229" s="494"/>
      <c r="AH229" s="167"/>
      <c r="AI229" s="167"/>
      <c r="AJ229" s="376"/>
      <c r="AK229" s="376"/>
    </row>
    <row r="230" spans="3:37" ht="19.5" thickTop="1">
      <c r="C230" s="495">
        <v>1</v>
      </c>
      <c r="D230" s="1131" t="s">
        <v>50</v>
      </c>
      <c r="E230" s="1131"/>
      <c r="F230" s="1131"/>
      <c r="G230" s="1131"/>
      <c r="H230" s="1131"/>
      <c r="I230" s="1132">
        <v>30.762</v>
      </c>
      <c r="J230" s="1132"/>
      <c r="K230" s="1132"/>
      <c r="L230" s="1133">
        <v>1</v>
      </c>
      <c r="M230" s="1133"/>
      <c r="N230" s="1133"/>
      <c r="O230" s="1133">
        <v>2</v>
      </c>
      <c r="P230" s="1133"/>
      <c r="Q230" s="1133"/>
      <c r="R230" s="1134">
        <f t="shared" ref="R230:R237" si="96">+I230+L230+O230</f>
        <v>33.762</v>
      </c>
      <c r="S230" s="1134"/>
      <c r="T230" s="1134"/>
      <c r="U230" s="1135">
        <f t="shared" ref="U230:U237" si="97">+I230*7+(L230+O230)*6</f>
        <v>233.334</v>
      </c>
      <c r="V230" s="1135"/>
      <c r="W230" s="1136"/>
      <c r="X230" s="1137">
        <f t="shared" ref="X230:X237" si="98">+U230/7*30</f>
        <v>1000.0028571428571</v>
      </c>
      <c r="Y230" s="1138"/>
      <c r="Z230" s="1139"/>
      <c r="AA230" s="1140">
        <v>31</v>
      </c>
      <c r="AB230" s="1141"/>
      <c r="AC230" s="1141"/>
      <c r="AD230" s="1142">
        <f>+AA230-I230</f>
        <v>0.23799999999999955</v>
      </c>
      <c r="AE230" s="1142"/>
      <c r="AF230" s="1142"/>
      <c r="AG230" s="494"/>
      <c r="AH230" s="167"/>
      <c r="AI230" s="1143">
        <f>+AD230+I230</f>
        <v>31</v>
      </c>
      <c r="AJ230" s="1143"/>
      <c r="AK230" s="1143"/>
    </row>
    <row r="231" spans="3:37" ht="18.75">
      <c r="C231" s="495">
        <v>2</v>
      </c>
      <c r="D231" s="1144" t="s">
        <v>117</v>
      </c>
      <c r="E231" s="1144"/>
      <c r="F231" s="1144"/>
      <c r="G231" s="1144"/>
      <c r="H231" s="1144"/>
      <c r="I231" s="1145">
        <v>25.762</v>
      </c>
      <c r="J231" s="1145"/>
      <c r="K231" s="1145"/>
      <c r="L231" s="1146">
        <v>1</v>
      </c>
      <c r="M231" s="1146"/>
      <c r="N231" s="1146"/>
      <c r="O231" s="1146">
        <v>2</v>
      </c>
      <c r="P231" s="1146"/>
      <c r="Q231" s="1146"/>
      <c r="R231" s="1147">
        <f t="shared" si="96"/>
        <v>28.762</v>
      </c>
      <c r="S231" s="1147"/>
      <c r="T231" s="1147"/>
      <c r="U231" s="1148">
        <f t="shared" si="97"/>
        <v>198.334</v>
      </c>
      <c r="V231" s="1148"/>
      <c r="W231" s="1149"/>
      <c r="X231" s="1150">
        <f t="shared" si="98"/>
        <v>850.00285714285724</v>
      </c>
      <c r="Y231" s="1151"/>
      <c r="Z231" s="1152"/>
      <c r="AA231" s="1153">
        <v>31</v>
      </c>
      <c r="AB231" s="1154"/>
      <c r="AC231" s="1154"/>
      <c r="AD231" s="1143">
        <f>+AA231-I231</f>
        <v>5.2379999999999995</v>
      </c>
      <c r="AE231" s="1143"/>
      <c r="AF231" s="1143"/>
      <c r="AG231" s="494"/>
      <c r="AH231" s="167"/>
      <c r="AI231" s="1142">
        <f>+AD231+I231</f>
        <v>31</v>
      </c>
      <c r="AJ231" s="1142"/>
      <c r="AK231" s="1142"/>
    </row>
    <row r="232" spans="3:37" ht="18.75">
      <c r="C232" s="495">
        <v>3</v>
      </c>
      <c r="D232" s="1144" t="s">
        <v>118</v>
      </c>
      <c r="E232" s="1144"/>
      <c r="F232" s="1144"/>
      <c r="G232" s="1144"/>
      <c r="H232" s="1144"/>
      <c r="I232" s="1145">
        <v>38.5</v>
      </c>
      <c r="J232" s="1145"/>
      <c r="K232" s="1145"/>
      <c r="L232" s="1146">
        <v>1</v>
      </c>
      <c r="M232" s="1146"/>
      <c r="N232" s="1146"/>
      <c r="O232" s="1146">
        <v>2</v>
      </c>
      <c r="P232" s="1146"/>
      <c r="Q232" s="1146"/>
      <c r="R232" s="1147">
        <f t="shared" si="96"/>
        <v>41.5</v>
      </c>
      <c r="S232" s="1147"/>
      <c r="T232" s="1147"/>
      <c r="U232" s="1148">
        <f t="shared" si="97"/>
        <v>287.5</v>
      </c>
      <c r="V232" s="1148"/>
      <c r="W232" s="1149"/>
      <c r="X232" s="1150">
        <f t="shared" si="98"/>
        <v>1232.1428571428571</v>
      </c>
      <c r="Y232" s="1151"/>
      <c r="Z232" s="1152"/>
      <c r="AA232" s="1153">
        <v>31</v>
      </c>
      <c r="AB232" s="1154"/>
      <c r="AC232" s="1154"/>
      <c r="AD232" s="1143">
        <v>0</v>
      </c>
      <c r="AE232" s="1143"/>
      <c r="AF232" s="1143"/>
      <c r="AG232" s="494"/>
      <c r="AH232" s="167"/>
      <c r="AI232" s="167"/>
      <c r="AJ232" s="376"/>
      <c r="AK232" s="376"/>
    </row>
    <row r="233" spans="3:37" ht="18.75">
      <c r="C233" s="495">
        <v>4</v>
      </c>
      <c r="D233" s="1144" t="s">
        <v>119</v>
      </c>
      <c r="E233" s="1144"/>
      <c r="F233" s="1144"/>
      <c r="G233" s="1144"/>
      <c r="H233" s="1144"/>
      <c r="I233" s="1145">
        <v>38.5</v>
      </c>
      <c r="J233" s="1145"/>
      <c r="K233" s="1145"/>
      <c r="L233" s="1146">
        <v>1</v>
      </c>
      <c r="M233" s="1146"/>
      <c r="N233" s="1146"/>
      <c r="O233" s="1146">
        <v>2</v>
      </c>
      <c r="P233" s="1146"/>
      <c r="Q233" s="1146"/>
      <c r="R233" s="1147">
        <f t="shared" si="96"/>
        <v>41.5</v>
      </c>
      <c r="S233" s="1147"/>
      <c r="T233" s="1147"/>
      <c r="U233" s="1148">
        <f t="shared" si="97"/>
        <v>287.5</v>
      </c>
      <c r="V233" s="1148"/>
      <c r="W233" s="1149"/>
      <c r="X233" s="1150">
        <f t="shared" si="98"/>
        <v>1232.1428571428571</v>
      </c>
      <c r="Y233" s="1151"/>
      <c r="Z233" s="1152"/>
      <c r="AA233" s="1153">
        <v>31</v>
      </c>
      <c r="AB233" s="1154"/>
      <c r="AC233" s="1154"/>
      <c r="AD233" s="1143">
        <v>0</v>
      </c>
      <c r="AE233" s="1143"/>
      <c r="AF233" s="1143"/>
      <c r="AG233" s="494"/>
      <c r="AH233" s="167"/>
      <c r="AI233" s="167"/>
      <c r="AJ233" s="376"/>
      <c r="AK233" s="376"/>
    </row>
    <row r="234" spans="3:37" ht="18.75">
      <c r="C234" s="495">
        <v>5</v>
      </c>
      <c r="D234" s="1144" t="s">
        <v>120</v>
      </c>
      <c r="E234" s="1144"/>
      <c r="F234" s="1144"/>
      <c r="G234" s="1144"/>
      <c r="H234" s="1144"/>
      <c r="I234" s="1145">
        <v>38.5</v>
      </c>
      <c r="J234" s="1145"/>
      <c r="K234" s="1145"/>
      <c r="L234" s="1146">
        <v>1</v>
      </c>
      <c r="M234" s="1146"/>
      <c r="N234" s="1146"/>
      <c r="O234" s="1146">
        <v>2</v>
      </c>
      <c r="P234" s="1146"/>
      <c r="Q234" s="1146"/>
      <c r="R234" s="1147">
        <f t="shared" si="96"/>
        <v>41.5</v>
      </c>
      <c r="S234" s="1147"/>
      <c r="T234" s="1147"/>
      <c r="U234" s="1148">
        <f t="shared" si="97"/>
        <v>287.5</v>
      </c>
      <c r="V234" s="1148"/>
      <c r="W234" s="1149"/>
      <c r="X234" s="1150">
        <f t="shared" si="98"/>
        <v>1232.1428571428571</v>
      </c>
      <c r="Y234" s="1151"/>
      <c r="Z234" s="1152"/>
      <c r="AA234" s="1153">
        <v>31</v>
      </c>
      <c r="AB234" s="1154"/>
      <c r="AC234" s="1154"/>
      <c r="AD234" s="1143">
        <v>0</v>
      </c>
      <c r="AE234" s="1143"/>
      <c r="AF234" s="1143"/>
      <c r="AG234" s="494"/>
      <c r="AH234" s="167"/>
      <c r="AI234" s="167"/>
      <c r="AJ234" s="376"/>
      <c r="AK234" s="376"/>
    </row>
    <row r="235" spans="3:37" ht="18.75">
      <c r="C235" s="495">
        <v>6</v>
      </c>
      <c r="D235" s="1144" t="s">
        <v>121</v>
      </c>
      <c r="E235" s="1144"/>
      <c r="F235" s="1144"/>
      <c r="G235" s="1144"/>
      <c r="H235" s="1144"/>
      <c r="I235" s="1145">
        <v>33.799999999999997</v>
      </c>
      <c r="J235" s="1145"/>
      <c r="K235" s="1145"/>
      <c r="L235" s="1146">
        <v>1</v>
      </c>
      <c r="M235" s="1146"/>
      <c r="N235" s="1146"/>
      <c r="O235" s="1146">
        <v>2</v>
      </c>
      <c r="P235" s="1146"/>
      <c r="Q235" s="1146"/>
      <c r="R235" s="1147">
        <f t="shared" si="96"/>
        <v>36.799999999999997</v>
      </c>
      <c r="S235" s="1147"/>
      <c r="T235" s="1147"/>
      <c r="U235" s="1148">
        <f t="shared" si="97"/>
        <v>254.59999999999997</v>
      </c>
      <c r="V235" s="1148"/>
      <c r="W235" s="1149"/>
      <c r="X235" s="1150">
        <f t="shared" si="98"/>
        <v>1091.1428571428569</v>
      </c>
      <c r="Y235" s="1151"/>
      <c r="Z235" s="1152"/>
      <c r="AA235" s="1153">
        <v>31</v>
      </c>
      <c r="AB235" s="1154"/>
      <c r="AC235" s="1154"/>
      <c r="AD235" s="1143">
        <v>0</v>
      </c>
      <c r="AE235" s="1143"/>
      <c r="AF235" s="1143"/>
      <c r="AG235" s="494"/>
      <c r="AH235" s="167"/>
      <c r="AI235" s="167"/>
      <c r="AJ235" s="376"/>
      <c r="AK235" s="376"/>
    </row>
    <row r="236" spans="3:37" ht="18.75">
      <c r="C236" s="495">
        <v>7</v>
      </c>
      <c r="D236" s="1144" t="s">
        <v>122</v>
      </c>
      <c r="E236" s="1144"/>
      <c r="F236" s="1144"/>
      <c r="G236" s="1144"/>
      <c r="H236" s="1144"/>
      <c r="I236" s="1145">
        <v>38.5</v>
      </c>
      <c r="J236" s="1145"/>
      <c r="K236" s="1145"/>
      <c r="L236" s="1146">
        <v>1</v>
      </c>
      <c r="M236" s="1146"/>
      <c r="N236" s="1146"/>
      <c r="O236" s="1146">
        <v>2</v>
      </c>
      <c r="P236" s="1146"/>
      <c r="Q236" s="1146"/>
      <c r="R236" s="1147">
        <f t="shared" si="96"/>
        <v>41.5</v>
      </c>
      <c r="S236" s="1147"/>
      <c r="T236" s="1147"/>
      <c r="U236" s="1148">
        <f t="shared" si="97"/>
        <v>287.5</v>
      </c>
      <c r="V236" s="1148"/>
      <c r="W236" s="1149"/>
      <c r="X236" s="1150">
        <f t="shared" si="98"/>
        <v>1232.1428571428571</v>
      </c>
      <c r="Y236" s="1151"/>
      <c r="Z236" s="1152"/>
      <c r="AA236" s="1153">
        <v>31</v>
      </c>
      <c r="AB236" s="1154"/>
      <c r="AC236" s="1154"/>
      <c r="AD236" s="1143">
        <v>0</v>
      </c>
      <c r="AE236" s="1143"/>
      <c r="AF236" s="1143"/>
      <c r="AG236" s="494"/>
      <c r="AH236" s="167"/>
      <c r="AI236" s="167"/>
      <c r="AJ236" s="376"/>
      <c r="AK236" s="376"/>
    </row>
    <row r="237" spans="3:37" ht="18.75">
      <c r="C237" s="495">
        <v>8</v>
      </c>
      <c r="D237" s="1144" t="s">
        <v>66</v>
      </c>
      <c r="E237" s="1144"/>
      <c r="F237" s="1144"/>
      <c r="G237" s="1144"/>
      <c r="H237" s="1144"/>
      <c r="I237" s="1145">
        <v>34.095199999999998</v>
      </c>
      <c r="J237" s="1145"/>
      <c r="K237" s="1145"/>
      <c r="L237" s="1146">
        <v>1</v>
      </c>
      <c r="M237" s="1146"/>
      <c r="N237" s="1146"/>
      <c r="O237" s="1146">
        <v>2</v>
      </c>
      <c r="P237" s="1146"/>
      <c r="Q237" s="1146"/>
      <c r="R237" s="1147">
        <f t="shared" si="96"/>
        <v>37.095199999999998</v>
      </c>
      <c r="S237" s="1147"/>
      <c r="T237" s="1147"/>
      <c r="U237" s="1148">
        <f t="shared" si="97"/>
        <v>256.66639999999995</v>
      </c>
      <c r="V237" s="1148"/>
      <c r="W237" s="1149"/>
      <c r="X237" s="1150">
        <f t="shared" si="98"/>
        <v>1099.9988571428571</v>
      </c>
      <c r="Y237" s="1151"/>
      <c r="Z237" s="1152"/>
      <c r="AA237" s="1153">
        <v>31</v>
      </c>
      <c r="AB237" s="1154"/>
      <c r="AC237" s="1154"/>
      <c r="AD237" s="1143">
        <v>0</v>
      </c>
      <c r="AE237" s="1143"/>
      <c r="AF237" s="1143"/>
      <c r="AG237" s="494"/>
      <c r="AH237" s="167"/>
      <c r="AI237" s="167"/>
      <c r="AJ237" s="376"/>
      <c r="AK237" s="376"/>
    </row>
    <row r="238" spans="3:37" ht="17.25">
      <c r="C238" s="495">
        <v>9</v>
      </c>
      <c r="D238" s="1144"/>
      <c r="E238" s="1144"/>
      <c r="F238" s="1144"/>
      <c r="G238" s="1144"/>
      <c r="H238" s="1144"/>
      <c r="I238" s="1165"/>
      <c r="J238" s="1165"/>
      <c r="K238" s="1165"/>
      <c r="L238" s="1146"/>
      <c r="M238" s="1146"/>
      <c r="N238" s="1146"/>
      <c r="O238" s="1146"/>
      <c r="P238" s="1146"/>
      <c r="Q238" s="1146"/>
      <c r="R238" s="1160"/>
      <c r="S238" s="1160"/>
      <c r="T238" s="1160"/>
      <c r="U238" s="1148"/>
      <c r="V238" s="1148"/>
      <c r="W238" s="1149"/>
      <c r="X238" s="1150"/>
      <c r="Y238" s="1151"/>
      <c r="Z238" s="1152"/>
      <c r="AA238" s="1153"/>
      <c r="AB238" s="1154"/>
      <c r="AC238" s="1154"/>
      <c r="AD238" s="1143"/>
      <c r="AE238" s="1143"/>
      <c r="AF238" s="1143"/>
      <c r="AG238" s="494"/>
      <c r="AH238" s="167"/>
      <c r="AI238" s="167"/>
      <c r="AJ238" s="376"/>
      <c r="AK238" s="376"/>
    </row>
    <row r="239" spans="3:37" ht="17.25">
      <c r="C239" s="492"/>
      <c r="D239" s="409"/>
      <c r="E239" s="410"/>
      <c r="F239" s="411"/>
      <c r="G239" s="333"/>
      <c r="H239" s="333"/>
      <c r="I239" s="411"/>
      <c r="J239" s="333"/>
      <c r="K239" s="405"/>
      <c r="L239" s="405"/>
      <c r="M239" s="333"/>
      <c r="N239" s="333"/>
      <c r="O239" s="333"/>
      <c r="P239" s="333"/>
      <c r="Q239" s="333"/>
      <c r="R239" s="333"/>
      <c r="S239" s="1160" t="s">
        <v>23</v>
      </c>
      <c r="T239" s="1160"/>
      <c r="U239" s="1160"/>
      <c r="V239" s="333"/>
      <c r="W239" s="333"/>
      <c r="X239" s="1161">
        <f>SUM(X230:Z238)</f>
        <v>8969.718857142856</v>
      </c>
      <c r="Y239" s="1162"/>
      <c r="Z239" s="1163"/>
      <c r="AA239" s="496"/>
      <c r="AB239" s="496"/>
      <c r="AC239" s="496"/>
      <c r="AD239" s="1164">
        <f>SUM(AD230:AF238)</f>
        <v>5.4759999999999991</v>
      </c>
      <c r="AE239" s="1164"/>
      <c r="AF239" s="1164"/>
      <c r="AG239" s="494"/>
      <c r="AH239" s="167"/>
      <c r="AI239" s="167"/>
      <c r="AJ239" s="376"/>
      <c r="AK239" s="376"/>
    </row>
    <row r="240" spans="3:37" ht="15.75" thickBot="1">
      <c r="C240" s="492"/>
      <c r="D240" s="1155">
        <v>28.333300000000001</v>
      </c>
      <c r="E240" s="1155"/>
      <c r="F240" s="1155"/>
      <c r="G240" s="497" t="s">
        <v>123</v>
      </c>
      <c r="H240" s="333"/>
      <c r="I240" s="411"/>
      <c r="J240" s="333"/>
      <c r="K240" s="405"/>
      <c r="L240" s="405"/>
      <c r="M240" s="333"/>
      <c r="N240" s="333"/>
      <c r="O240" s="333"/>
      <c r="P240" s="333"/>
      <c r="Q240" s="333"/>
      <c r="R240" s="333"/>
      <c r="S240" s="333"/>
      <c r="T240" s="333"/>
      <c r="U240" s="333"/>
      <c r="V240" s="333"/>
      <c r="W240" s="333"/>
      <c r="X240" s="333"/>
      <c r="Y240" s="333"/>
      <c r="Z240" s="333"/>
      <c r="AA240" s="167"/>
      <c r="AB240" s="167"/>
      <c r="AC240" s="167"/>
      <c r="AD240" s="167"/>
      <c r="AE240" s="376"/>
      <c r="AF240" s="376"/>
      <c r="AG240" s="494"/>
      <c r="AH240" s="167"/>
      <c r="AI240" s="167"/>
      <c r="AJ240" s="376"/>
      <c r="AK240" s="376"/>
    </row>
    <row r="241" spans="2:46" ht="15.75" thickBot="1">
      <c r="C241" s="492"/>
      <c r="D241" s="1155">
        <v>31</v>
      </c>
      <c r="E241" s="1155"/>
      <c r="F241" s="1155"/>
      <c r="G241" s="497" t="s">
        <v>124</v>
      </c>
      <c r="H241" s="333"/>
      <c r="I241" s="411"/>
      <c r="J241" s="333"/>
      <c r="K241" s="405"/>
      <c r="L241" s="405"/>
      <c r="M241" s="1155">
        <f>+D241-D240</f>
        <v>2.6666999999999987</v>
      </c>
      <c r="N241" s="1155"/>
      <c r="O241" s="1155"/>
      <c r="P241" s="498" t="s">
        <v>125</v>
      </c>
      <c r="Q241" s="333"/>
      <c r="R241" s="333"/>
      <c r="S241" s="333"/>
      <c r="T241" s="499"/>
      <c r="U241" s="333"/>
      <c r="V241" s="333"/>
      <c r="W241" s="499" t="s">
        <v>126</v>
      </c>
      <c r="X241" s="333"/>
      <c r="Y241" s="333"/>
      <c r="Z241" s="333"/>
      <c r="AA241" s="167"/>
      <c r="AB241" s="167"/>
      <c r="AC241" s="167"/>
      <c r="AD241" s="1156">
        <f>+AD239</f>
        <v>5.4759999999999991</v>
      </c>
      <c r="AE241" s="1157"/>
      <c r="AF241" s="1158"/>
      <c r="AG241" s="494"/>
      <c r="AH241" s="167"/>
      <c r="AI241" s="167"/>
      <c r="AJ241" s="376"/>
      <c r="AK241" s="376"/>
    </row>
    <row r="242" spans="2:46" ht="15.75" thickBot="1">
      <c r="C242" s="500"/>
      <c r="D242" s="501"/>
      <c r="E242" s="502"/>
      <c r="F242" s="503"/>
      <c r="G242" s="501"/>
      <c r="H242" s="501"/>
      <c r="I242" s="503"/>
      <c r="J242" s="501"/>
      <c r="K242" s="504"/>
      <c r="L242" s="504"/>
      <c r="M242" s="501"/>
      <c r="N242" s="501"/>
      <c r="O242" s="501"/>
      <c r="P242" s="501"/>
      <c r="Q242" s="501"/>
      <c r="R242" s="501"/>
      <c r="S242" s="501"/>
      <c r="T242" s="501"/>
      <c r="U242" s="501"/>
      <c r="V242" s="501"/>
      <c r="W242" s="501"/>
      <c r="X242" s="501"/>
      <c r="Y242" s="501"/>
      <c r="Z242" s="501"/>
      <c r="AA242" s="505"/>
      <c r="AB242" s="505"/>
      <c r="AC242" s="505"/>
      <c r="AD242" s="506"/>
      <c r="AE242" s="506"/>
      <c r="AF242" s="506"/>
      <c r="AG242" s="507"/>
      <c r="AH242" s="167"/>
      <c r="AI242" s="167"/>
      <c r="AJ242" s="376"/>
      <c r="AK242" s="376"/>
    </row>
    <row r="243" spans="2:46">
      <c r="AG243" s="267"/>
      <c r="AH243" s="267"/>
      <c r="AI243" s="267"/>
      <c r="AJ243" s="267"/>
      <c r="AK243" s="267"/>
      <c r="AL243" s="267"/>
      <c r="AM243" s="267"/>
      <c r="AN243" s="267"/>
      <c r="AO243" s="267"/>
    </row>
    <row r="244" spans="2:46" ht="15.75" thickBot="1">
      <c r="AG244" s="267"/>
      <c r="AH244" s="267"/>
      <c r="AI244" s="267"/>
      <c r="AJ244" s="267"/>
      <c r="AK244" s="267"/>
      <c r="AL244" s="267"/>
      <c r="AM244" s="267"/>
      <c r="AN244" s="267"/>
      <c r="AO244" s="267"/>
    </row>
    <row r="245" spans="2:46" ht="16.5" thickBot="1">
      <c r="B245" s="508">
        <v>850</v>
      </c>
      <c r="C245" s="509" t="s">
        <v>67</v>
      </c>
      <c r="D245" s="510"/>
      <c r="E245" s="511" t="s">
        <v>49</v>
      </c>
      <c r="F245" s="512"/>
      <c r="G245" s="510"/>
      <c r="H245" s="510"/>
      <c r="I245" s="512"/>
      <c r="J245" s="510"/>
      <c r="K245" s="512"/>
      <c r="L245" s="512"/>
      <c r="M245" s="510"/>
      <c r="N245" s="510"/>
      <c r="O245" s="510"/>
      <c r="P245" s="510"/>
      <c r="Q245" s="510"/>
      <c r="R245" s="510"/>
      <c r="S245" s="510"/>
      <c r="T245" s="510"/>
      <c r="U245" s="510"/>
      <c r="V245" s="510"/>
      <c r="W245" s="510"/>
      <c r="X245" s="510"/>
      <c r="Y245" s="510"/>
      <c r="Z245" s="510"/>
      <c r="AA245" s="513"/>
      <c r="AB245" s="513"/>
      <c r="AC245" s="514"/>
      <c r="AD245" s="296"/>
      <c r="AE245" s="296"/>
      <c r="AF245" s="296"/>
      <c r="AG245" s="296"/>
      <c r="AH245" s="296"/>
      <c r="AI245" s="296"/>
      <c r="AJ245" s="296"/>
      <c r="AK245" s="296"/>
      <c r="AL245" s="296"/>
      <c r="AM245" s="296"/>
      <c r="AN245" s="296"/>
      <c r="AO245" s="296"/>
      <c r="AP245" s="267"/>
      <c r="AQ245" s="267"/>
      <c r="AR245" s="267"/>
      <c r="AS245" s="267"/>
      <c r="AT245" s="267"/>
    </row>
    <row r="246" spans="2:46" ht="15.75">
      <c r="B246" s="515">
        <f>+B245/30*7</f>
        <v>198.33333333333331</v>
      </c>
      <c r="C246" s="516" t="s">
        <v>68</v>
      </c>
      <c r="D246" s="517"/>
      <c r="E246" s="518"/>
      <c r="F246" s="519"/>
      <c r="G246" s="518"/>
      <c r="H246" s="518"/>
      <c r="I246" s="519"/>
      <c r="J246" s="518"/>
      <c r="K246" s="519"/>
      <c r="L246" s="519"/>
      <c r="M246" s="518"/>
      <c r="N246" s="518"/>
      <c r="O246" s="1159" t="s">
        <v>127</v>
      </c>
      <c r="P246" s="1159"/>
      <c r="Q246" s="1159"/>
      <c r="R246" s="1159"/>
      <c r="S246" s="1159"/>
      <c r="T246" s="1159"/>
      <c r="U246" s="1159"/>
      <c r="V246" s="1159"/>
      <c r="W246" s="1159"/>
      <c r="X246" s="1159"/>
      <c r="Y246" s="1159"/>
      <c r="Z246" s="1159"/>
      <c r="AA246" s="520"/>
      <c r="AB246" s="520"/>
      <c r="AC246" s="521"/>
      <c r="AD246" s="296"/>
      <c r="AE246" s="597"/>
      <c r="AF246" s="597"/>
      <c r="AG246" s="296"/>
      <c r="AH246" s="296"/>
      <c r="AI246" s="296"/>
      <c r="AJ246" s="597"/>
      <c r="AK246" s="597"/>
      <c r="AL246" s="296"/>
      <c r="AM246" s="296"/>
      <c r="AN246" s="296"/>
      <c r="AO246" s="296"/>
      <c r="AP246" s="267"/>
      <c r="AQ246" s="267"/>
      <c r="AR246" s="267"/>
      <c r="AS246" s="267"/>
      <c r="AT246" s="267"/>
    </row>
    <row r="247" spans="2:46">
      <c r="B247" s="515">
        <f>+B246-18</f>
        <v>180.33333333333331</v>
      </c>
      <c r="C247" s="516" t="s">
        <v>70</v>
      </c>
      <c r="D247" s="518"/>
      <c r="E247" s="518"/>
      <c r="F247" s="519"/>
      <c r="G247" s="518"/>
      <c r="H247" s="518"/>
      <c r="I247" s="519"/>
      <c r="J247" s="518"/>
      <c r="K247" s="519"/>
      <c r="L247" s="519"/>
      <c r="M247" s="518"/>
      <c r="N247" s="518"/>
      <c r="O247" s="1159">
        <f>+B245</f>
        <v>850</v>
      </c>
      <c r="P247" s="1159"/>
      <c r="Q247" s="1159" t="s">
        <v>71</v>
      </c>
      <c r="R247" s="1159"/>
      <c r="S247" s="1159"/>
      <c r="T247" s="1159"/>
      <c r="U247" s="1159"/>
      <c r="V247" s="1159"/>
      <c r="W247" s="1159"/>
      <c r="X247" s="1159"/>
      <c r="Y247" s="1159"/>
      <c r="Z247" s="1159"/>
      <c r="AA247" s="520" t="s">
        <v>72</v>
      </c>
      <c r="AB247" s="520"/>
      <c r="AC247" s="521"/>
      <c r="AD247" s="296"/>
      <c r="AE247" s="597"/>
      <c r="AF247" s="597"/>
      <c r="AG247" s="296"/>
      <c r="AH247" s="296"/>
      <c r="AI247" s="296"/>
      <c r="AJ247" s="597"/>
      <c r="AK247" s="597"/>
      <c r="AL247" s="296"/>
      <c r="AM247" s="296"/>
      <c r="AN247" s="296"/>
      <c r="AO247" s="296"/>
      <c r="AP247" s="267"/>
      <c r="AQ247" s="267"/>
      <c r="AR247" s="267"/>
      <c r="AS247" s="267"/>
      <c r="AT247" s="267"/>
    </row>
    <row r="248" spans="2:46">
      <c r="B248" s="522">
        <f>+B247/7</f>
        <v>25.761904761904759</v>
      </c>
      <c r="C248" s="523" t="s">
        <v>73</v>
      </c>
      <c r="D248" s="524"/>
      <c r="E248" s="518"/>
      <c r="F248" s="519"/>
      <c r="G248" s="518"/>
      <c r="H248" s="518"/>
      <c r="I248" s="519"/>
      <c r="J248" s="518"/>
      <c r="K248" s="519"/>
      <c r="L248" s="519"/>
      <c r="M248" s="518"/>
      <c r="N248" s="518"/>
      <c r="O248" s="1159">
        <f>+O247/30*7</f>
        <v>198.33333333333331</v>
      </c>
      <c r="P248" s="1159"/>
      <c r="Q248" s="1159" t="s">
        <v>74</v>
      </c>
      <c r="R248" s="1159"/>
      <c r="S248" s="1159"/>
      <c r="T248" s="1159"/>
      <c r="U248" s="1159"/>
      <c r="V248" s="1159"/>
      <c r="W248" s="1159"/>
      <c r="X248" s="1159"/>
      <c r="Y248" s="1159"/>
      <c r="Z248" s="1159"/>
      <c r="AA248" s="1166">
        <f>+O248*0.87</f>
        <v>172.54999999999998</v>
      </c>
      <c r="AB248" s="1166"/>
      <c r="AC248" s="521"/>
      <c r="AD248" s="296"/>
      <c r="AE248" s="384"/>
      <c r="AF248" s="384"/>
      <c r="AG248" s="296"/>
      <c r="AH248" s="296"/>
      <c r="AI248" s="296"/>
      <c r="AJ248" s="384"/>
      <c r="AK248" s="384"/>
      <c r="AL248" s="385"/>
      <c r="AM248" s="385"/>
      <c r="AN248" s="385"/>
      <c r="AO248" s="385"/>
      <c r="AP248" s="386"/>
      <c r="AQ248" s="386"/>
      <c r="AR248" s="267"/>
      <c r="AS248" s="267"/>
      <c r="AT248" s="267"/>
    </row>
    <row r="249" spans="2:46">
      <c r="B249" s="525"/>
      <c r="C249" s="518"/>
      <c r="D249" s="518"/>
      <c r="E249" s="518"/>
      <c r="F249" s="519"/>
      <c r="G249" s="518"/>
      <c r="H249" s="518"/>
      <c r="I249" s="519"/>
      <c r="J249" s="518"/>
      <c r="K249" s="519"/>
      <c r="L249" s="519"/>
      <c r="M249" s="518"/>
      <c r="N249" s="518"/>
      <c r="O249" s="1159">
        <f>+O248/7</f>
        <v>28.333333333333332</v>
      </c>
      <c r="P249" s="1159"/>
      <c r="Q249" s="1159" t="s">
        <v>75</v>
      </c>
      <c r="R249" s="1159"/>
      <c r="S249" s="1159"/>
      <c r="T249" s="1159"/>
      <c r="U249" s="1159"/>
      <c r="V249" s="1159"/>
      <c r="W249" s="1159"/>
      <c r="X249" s="1159"/>
      <c r="Y249" s="1159"/>
      <c r="Z249" s="1159"/>
      <c r="AA249" s="520"/>
      <c r="AB249" s="520"/>
      <c r="AC249" s="521"/>
      <c r="AD249" s="296"/>
      <c r="AE249" s="597"/>
      <c r="AF249" s="597"/>
      <c r="AG249" s="296"/>
      <c r="AH249" s="296"/>
      <c r="AI249" s="296"/>
      <c r="AJ249" s="597"/>
      <c r="AK249" s="597"/>
      <c r="AL249" s="387"/>
      <c r="AM249" s="387"/>
      <c r="AN249" s="385"/>
      <c r="AO249" s="385"/>
      <c r="AP249" s="386"/>
      <c r="AQ249" s="386"/>
      <c r="AR249" s="267"/>
      <c r="AS249" s="267"/>
      <c r="AT249" s="267"/>
    </row>
    <row r="250" spans="2:46" ht="15.75">
      <c r="B250" s="526">
        <f>+B248</f>
        <v>25.761904761904759</v>
      </c>
      <c r="C250" s="527" t="s">
        <v>128</v>
      </c>
      <c r="D250" s="528"/>
      <c r="E250" s="528"/>
      <c r="F250" s="528"/>
      <c r="G250" s="518"/>
      <c r="H250" s="518"/>
      <c r="I250" s="519"/>
      <c r="J250" s="518"/>
      <c r="K250" s="519"/>
      <c r="L250" s="519"/>
      <c r="M250" s="518"/>
      <c r="N250" s="518"/>
      <c r="O250" s="1159">
        <f>(O248-18)/7</f>
        <v>25.761904761904759</v>
      </c>
      <c r="P250" s="1159"/>
      <c r="Q250" s="1159" t="s">
        <v>77</v>
      </c>
      <c r="R250" s="1159"/>
      <c r="S250" s="1159"/>
      <c r="T250" s="1159"/>
      <c r="U250" s="1159"/>
      <c r="V250" s="1159"/>
      <c r="W250" s="1159"/>
      <c r="X250" s="1159"/>
      <c r="Y250" s="1159"/>
      <c r="Z250" s="1159"/>
      <c r="AA250" s="520"/>
      <c r="AB250" s="520"/>
      <c r="AC250" s="521"/>
      <c r="AD250" s="296"/>
      <c r="AE250" s="391"/>
      <c r="AF250" s="391"/>
      <c r="AG250" s="392"/>
      <c r="AH250" s="392"/>
      <c r="AI250" s="392"/>
      <c r="AJ250" s="391"/>
      <c r="AK250" s="391"/>
      <c r="AL250" s="385"/>
      <c r="AM250" s="385"/>
      <c r="AN250" s="385"/>
      <c r="AO250" s="385"/>
      <c r="AP250" s="386"/>
      <c r="AQ250" s="386"/>
      <c r="AR250" s="267"/>
      <c r="AS250" s="267"/>
      <c r="AT250" s="267"/>
    </row>
    <row r="251" spans="2:46">
      <c r="B251" s="515">
        <v>3</v>
      </c>
      <c r="C251" s="516" t="s">
        <v>78</v>
      </c>
      <c r="D251" s="518"/>
      <c r="E251" s="518"/>
      <c r="F251" s="519"/>
      <c r="G251" s="518"/>
      <c r="H251" s="518"/>
      <c r="I251" s="519"/>
      <c r="J251" s="518"/>
      <c r="K251" s="519"/>
      <c r="L251" s="519"/>
      <c r="M251" s="518"/>
      <c r="N251" s="518"/>
      <c r="O251" s="1159">
        <v>3</v>
      </c>
      <c r="P251" s="1159"/>
      <c r="Q251" s="1159" t="s">
        <v>79</v>
      </c>
      <c r="R251" s="1159"/>
      <c r="S251" s="1159"/>
      <c r="T251" s="1159"/>
      <c r="U251" s="1159"/>
      <c r="V251" s="1159"/>
      <c r="W251" s="1159"/>
      <c r="X251" s="1159"/>
      <c r="Y251" s="1159"/>
      <c r="Z251" s="1159"/>
      <c r="AA251" s="520"/>
      <c r="AB251" s="520"/>
      <c r="AC251" s="521"/>
      <c r="AD251" s="296"/>
      <c r="AE251" s="296"/>
      <c r="AF251" s="996">
        <v>993814365</v>
      </c>
      <c r="AG251" s="996"/>
      <c r="AH251" s="996"/>
      <c r="AI251" s="996"/>
      <c r="AJ251" s="996"/>
      <c r="AK251" s="296"/>
      <c r="AL251" s="385"/>
      <c r="AM251" s="385"/>
      <c r="AN251" s="385"/>
      <c r="AO251" s="385"/>
      <c r="AP251" s="386"/>
      <c r="AQ251" s="386"/>
      <c r="AR251" s="267"/>
      <c r="AS251" s="267"/>
      <c r="AT251" s="267"/>
    </row>
    <row r="252" spans="2:46">
      <c r="B252" s="522">
        <f>+B251+B250</f>
        <v>28.761904761904759</v>
      </c>
      <c r="C252" s="523" t="s">
        <v>80</v>
      </c>
      <c r="D252" s="529"/>
      <c r="E252" s="529"/>
      <c r="F252" s="530"/>
      <c r="G252" s="529"/>
      <c r="H252" s="529"/>
      <c r="I252" s="530"/>
      <c r="J252" s="529"/>
      <c r="K252" s="530"/>
      <c r="L252" s="530"/>
      <c r="M252" s="524"/>
      <c r="N252" s="518"/>
      <c r="O252" s="1159">
        <f>+O251+O250</f>
        <v>28.761904761904759</v>
      </c>
      <c r="P252" s="1159"/>
      <c r="Q252" s="518"/>
      <c r="R252" s="518"/>
      <c r="S252" s="518"/>
      <c r="T252" s="518"/>
      <c r="U252" s="518"/>
      <c r="V252" s="518"/>
      <c r="W252" s="518"/>
      <c r="X252" s="518"/>
      <c r="Y252" s="518"/>
      <c r="Z252" s="518"/>
      <c r="AA252" s="520"/>
      <c r="AB252" s="520"/>
      <c r="AC252" s="521"/>
      <c r="AD252" s="296"/>
      <c r="AE252" s="597"/>
      <c r="AF252" s="597"/>
      <c r="AG252" s="296"/>
      <c r="AH252" s="296"/>
      <c r="AI252" s="296"/>
      <c r="AJ252" s="597"/>
      <c r="AK252" s="597"/>
      <c r="AL252" s="387"/>
      <c r="AM252" s="387"/>
      <c r="AN252" s="387"/>
      <c r="AO252" s="387"/>
      <c r="AP252" s="397"/>
      <c r="AQ252" s="267"/>
      <c r="AR252" s="267"/>
      <c r="AS252" s="267"/>
      <c r="AT252" s="267"/>
    </row>
    <row r="253" spans="2:46">
      <c r="B253" s="515"/>
      <c r="C253" s="518"/>
      <c r="D253" s="518"/>
      <c r="E253" s="518"/>
      <c r="F253" s="519"/>
      <c r="G253" s="518"/>
      <c r="H253" s="518"/>
      <c r="I253" s="519"/>
      <c r="J253" s="518"/>
      <c r="K253" s="519"/>
      <c r="L253" s="519"/>
      <c r="M253" s="518"/>
      <c r="N253" s="518"/>
      <c r="O253" s="518"/>
      <c r="P253" s="518"/>
      <c r="Q253" s="518"/>
      <c r="R253" s="518"/>
      <c r="S253" s="518"/>
      <c r="T253" s="518"/>
      <c r="U253" s="518"/>
      <c r="V253" s="518"/>
      <c r="W253" s="518"/>
      <c r="X253" s="518"/>
      <c r="Y253" s="518"/>
      <c r="Z253" s="518"/>
      <c r="AA253" s="520"/>
      <c r="AB253" s="520"/>
      <c r="AC253" s="521"/>
      <c r="AD253" s="296"/>
      <c r="AE253" s="398"/>
      <c r="AF253" s="398"/>
      <c r="AG253" s="398"/>
      <c r="AH253" s="296"/>
      <c r="AI253" s="296"/>
      <c r="AJ253" s="398"/>
      <c r="AK253" s="398"/>
      <c r="AL253" s="385"/>
      <c r="AM253" s="296"/>
      <c r="AN253" s="296"/>
      <c r="AO253" s="296"/>
      <c r="AP253" s="267"/>
      <c r="AQ253" s="267"/>
      <c r="AR253" s="267"/>
      <c r="AS253" s="267"/>
      <c r="AT253" s="267"/>
    </row>
    <row r="254" spans="2:46">
      <c r="B254" s="515">
        <f>+B252*6</f>
        <v>172.57142857142856</v>
      </c>
      <c r="C254" s="516" t="s">
        <v>81</v>
      </c>
      <c r="D254" s="518"/>
      <c r="E254" s="518"/>
      <c r="F254" s="519"/>
      <c r="G254" s="518"/>
      <c r="H254" s="518"/>
      <c r="I254" s="519"/>
      <c r="J254" s="518"/>
      <c r="K254" s="519"/>
      <c r="L254" s="519"/>
      <c r="M254" s="518"/>
      <c r="N254" s="518"/>
      <c r="O254" s="1159" t="s">
        <v>129</v>
      </c>
      <c r="P254" s="1159"/>
      <c r="Q254" s="1159"/>
      <c r="R254" s="1159"/>
      <c r="S254" s="1159"/>
      <c r="T254" s="1159"/>
      <c r="U254" s="1159"/>
      <c r="V254" s="1159"/>
      <c r="W254" s="1159"/>
      <c r="X254" s="1159"/>
      <c r="Y254" s="1159"/>
      <c r="Z254" s="1159"/>
      <c r="AA254" s="520"/>
      <c r="AB254" s="520"/>
      <c r="AC254" s="521"/>
      <c r="AD254" s="296"/>
      <c r="AE254" s="296"/>
      <c r="AF254" s="296"/>
      <c r="AG254" s="296"/>
      <c r="AH254" s="296"/>
      <c r="AI254" s="385"/>
      <c r="AJ254" s="385"/>
      <c r="AK254" s="387"/>
      <c r="AL254" s="595"/>
      <c r="AM254" s="597"/>
      <c r="AN254" s="595"/>
      <c r="AO254" s="296"/>
      <c r="AP254" s="267"/>
      <c r="AQ254" s="267"/>
      <c r="AR254" s="267"/>
      <c r="AS254" s="267"/>
      <c r="AT254" s="267"/>
    </row>
    <row r="255" spans="2:46">
      <c r="B255" s="531">
        <f>+B250</f>
        <v>25.761904761904759</v>
      </c>
      <c r="C255" s="532" t="s">
        <v>83</v>
      </c>
      <c r="D255" s="533"/>
      <c r="E255" s="533"/>
      <c r="F255" s="534"/>
      <c r="G255" s="533"/>
      <c r="H255" s="533"/>
      <c r="I255" s="534"/>
      <c r="J255" s="533"/>
      <c r="K255" s="534"/>
      <c r="L255" s="519"/>
      <c r="M255" s="518"/>
      <c r="N255" s="518"/>
      <c r="O255" s="1159">
        <f>+O247*1.1</f>
        <v>935.00000000000011</v>
      </c>
      <c r="P255" s="1159"/>
      <c r="Q255" s="1159" t="s">
        <v>71</v>
      </c>
      <c r="R255" s="1159"/>
      <c r="S255" s="1159"/>
      <c r="T255" s="1159"/>
      <c r="U255" s="1159"/>
      <c r="V255" s="1159"/>
      <c r="W255" s="1159"/>
      <c r="X255" s="1159"/>
      <c r="Y255" s="1159"/>
      <c r="Z255" s="1159"/>
      <c r="AA255" s="520" t="s">
        <v>84</v>
      </c>
      <c r="AB255" s="520"/>
      <c r="AC255" s="521"/>
      <c r="AG255" s="267"/>
      <c r="AH255" s="267"/>
      <c r="AI255" s="386"/>
      <c r="AJ255" s="386"/>
      <c r="AK255" s="386"/>
      <c r="AL255" s="267"/>
      <c r="AM255" s="267"/>
      <c r="AN255" s="267"/>
      <c r="AO255" s="267"/>
    </row>
    <row r="256" spans="2:46">
      <c r="B256" s="522">
        <f>+B255+B254</f>
        <v>198.33333333333331</v>
      </c>
      <c r="C256" s="523" t="s">
        <v>85</v>
      </c>
      <c r="D256" s="529"/>
      <c r="E256" s="529"/>
      <c r="F256" s="530"/>
      <c r="G256" s="529"/>
      <c r="H256" s="529"/>
      <c r="I256" s="530"/>
      <c r="J256" s="529"/>
      <c r="K256" s="535"/>
      <c r="L256" s="519"/>
      <c r="M256" s="518"/>
      <c r="N256" s="518"/>
      <c r="O256" s="1159">
        <f>+O255/30*7</f>
        <v>218.16666666666669</v>
      </c>
      <c r="P256" s="1159"/>
      <c r="Q256" s="1159" t="s">
        <v>74</v>
      </c>
      <c r="R256" s="1159"/>
      <c r="S256" s="1159"/>
      <c r="T256" s="1159"/>
      <c r="U256" s="1159"/>
      <c r="V256" s="1159"/>
      <c r="W256" s="1159"/>
      <c r="X256" s="1159"/>
      <c r="Y256" s="1159"/>
      <c r="Z256" s="1159"/>
      <c r="AA256" s="1166">
        <f>+O256*0.87</f>
        <v>189.80500000000001</v>
      </c>
      <c r="AB256" s="1166"/>
      <c r="AC256" s="521"/>
      <c r="AG256" s="267"/>
      <c r="AH256" s="267"/>
      <c r="AI256" s="386"/>
      <c r="AJ256" s="386"/>
      <c r="AK256" s="407"/>
      <c r="AL256" s="267"/>
      <c r="AM256" s="267"/>
      <c r="AN256" s="267"/>
      <c r="AO256" s="267"/>
    </row>
    <row r="257" spans="2:41">
      <c r="B257" s="515"/>
      <c r="C257" s="516"/>
      <c r="D257" s="518"/>
      <c r="E257" s="518"/>
      <c r="F257" s="519"/>
      <c r="G257" s="518"/>
      <c r="H257" s="518"/>
      <c r="I257" s="519"/>
      <c r="J257" s="518"/>
      <c r="K257" s="519"/>
      <c r="L257" s="519"/>
      <c r="M257" s="518"/>
      <c r="N257" s="518"/>
      <c r="O257" s="1159">
        <f>+O256/7</f>
        <v>31.166666666666668</v>
      </c>
      <c r="P257" s="1159"/>
      <c r="Q257" s="1159" t="s">
        <v>75</v>
      </c>
      <c r="R257" s="1159"/>
      <c r="S257" s="1159"/>
      <c r="T257" s="1159"/>
      <c r="U257" s="1159"/>
      <c r="V257" s="1159"/>
      <c r="W257" s="1159"/>
      <c r="X257" s="1159"/>
      <c r="Y257" s="1159"/>
      <c r="Z257" s="1159"/>
      <c r="AA257" s="520"/>
      <c r="AB257" s="520"/>
      <c r="AC257" s="521"/>
      <c r="AG257" s="267"/>
      <c r="AH257" s="267"/>
      <c r="AI257" s="412"/>
      <c r="AJ257" s="413"/>
      <c r="AK257" s="407"/>
      <c r="AL257" s="267"/>
      <c r="AM257" s="267"/>
      <c r="AN257" s="267"/>
      <c r="AO257" s="267"/>
    </row>
    <row r="258" spans="2:41">
      <c r="B258" s="536">
        <f>+B256/7</f>
        <v>28.333333333333332</v>
      </c>
      <c r="C258" s="537" t="s">
        <v>86</v>
      </c>
      <c r="D258" s="518"/>
      <c r="E258" s="518"/>
      <c r="F258" s="519"/>
      <c r="G258" s="518"/>
      <c r="H258" s="518"/>
      <c r="I258" s="519"/>
      <c r="J258" s="518"/>
      <c r="K258" s="519"/>
      <c r="L258" s="519"/>
      <c r="M258" s="518"/>
      <c r="N258" s="518"/>
      <c r="O258" s="1159">
        <f>(O256-18)/7</f>
        <v>28.595238095238098</v>
      </c>
      <c r="P258" s="1159"/>
      <c r="Q258" s="1159" t="s">
        <v>77</v>
      </c>
      <c r="R258" s="1159"/>
      <c r="S258" s="1159"/>
      <c r="T258" s="1159"/>
      <c r="U258" s="1159"/>
      <c r="V258" s="1159"/>
      <c r="W258" s="1159"/>
      <c r="X258" s="1159"/>
      <c r="Y258" s="1159"/>
      <c r="Z258" s="1159"/>
      <c r="AA258" s="520"/>
      <c r="AB258" s="520"/>
      <c r="AC258" s="521"/>
      <c r="AG258" s="267"/>
      <c r="AH258" s="267"/>
      <c r="AI258" s="267"/>
      <c r="AJ258" s="267"/>
      <c r="AK258" s="407"/>
      <c r="AL258" s="267"/>
      <c r="AM258" s="267"/>
      <c r="AN258" s="267"/>
      <c r="AO258" s="267"/>
    </row>
    <row r="259" spans="2:41">
      <c r="B259" s="515"/>
      <c r="C259" s="516"/>
      <c r="D259" s="518"/>
      <c r="E259" s="518"/>
      <c r="F259" s="519"/>
      <c r="G259" s="518"/>
      <c r="H259" s="518"/>
      <c r="I259" s="519"/>
      <c r="J259" s="518"/>
      <c r="K259" s="519"/>
      <c r="L259" s="519"/>
      <c r="M259" s="518"/>
      <c r="N259" s="518"/>
      <c r="O259" s="1159">
        <v>3</v>
      </c>
      <c r="P259" s="1159"/>
      <c r="Q259" s="1159" t="s">
        <v>79</v>
      </c>
      <c r="R259" s="1159"/>
      <c r="S259" s="1159"/>
      <c r="T259" s="1159"/>
      <c r="U259" s="1159"/>
      <c r="V259" s="1159"/>
      <c r="W259" s="1159"/>
      <c r="X259" s="1159"/>
      <c r="Y259" s="1159"/>
      <c r="Z259" s="1159"/>
      <c r="AA259" s="520"/>
      <c r="AB259" s="520"/>
      <c r="AC259" s="521"/>
      <c r="AG259" s="267"/>
      <c r="AH259" s="267"/>
      <c r="AI259" s="267"/>
      <c r="AJ259" s="267"/>
      <c r="AK259" s="267"/>
      <c r="AL259" s="267"/>
      <c r="AM259" s="267"/>
      <c r="AN259" s="267"/>
      <c r="AO259" s="267"/>
    </row>
    <row r="260" spans="2:41" ht="15.75" thickBot="1">
      <c r="B260" s="538"/>
      <c r="C260" s="539"/>
      <c r="D260" s="540"/>
      <c r="E260" s="540"/>
      <c r="F260" s="541"/>
      <c r="G260" s="540"/>
      <c r="H260" s="540"/>
      <c r="I260" s="541"/>
      <c r="J260" s="540"/>
      <c r="K260" s="541"/>
      <c r="L260" s="541"/>
      <c r="M260" s="540"/>
      <c r="N260" s="540"/>
      <c r="O260" s="1167">
        <f>+O259+O258</f>
        <v>31.595238095238098</v>
      </c>
      <c r="P260" s="1167"/>
      <c r="Q260" s="540"/>
      <c r="R260" s="540"/>
      <c r="S260" s="540"/>
      <c r="T260" s="540"/>
      <c r="U260" s="540"/>
      <c r="V260" s="540"/>
      <c r="W260" s="540"/>
      <c r="X260" s="540"/>
      <c r="Y260" s="540"/>
      <c r="Z260" s="540"/>
      <c r="AA260" s="542"/>
      <c r="AB260" s="542"/>
      <c r="AC260" s="543"/>
      <c r="AG260" s="267"/>
      <c r="AH260" s="267"/>
      <c r="AI260" s="267"/>
      <c r="AJ260" s="267"/>
      <c r="AK260" s="267"/>
      <c r="AL260" s="267"/>
      <c r="AM260" s="267"/>
      <c r="AN260" s="267"/>
      <c r="AO260" s="267"/>
    </row>
    <row r="261" spans="2:41">
      <c r="B261" s="168"/>
      <c r="AG261" s="267"/>
      <c r="AH261" s="267"/>
      <c r="AI261" s="267"/>
      <c r="AJ261" s="267"/>
      <c r="AK261" s="267"/>
      <c r="AL261" s="267"/>
      <c r="AM261" s="267"/>
      <c r="AN261" s="267"/>
      <c r="AO261" s="267"/>
    </row>
    <row r="262" spans="2:41" ht="15.75" thickBot="1">
      <c r="AE262" s="376"/>
      <c r="AF262" s="376"/>
      <c r="AJ262" s="376"/>
      <c r="AK262" s="376"/>
    </row>
    <row r="263" spans="2:41">
      <c r="C263" s="484"/>
      <c r="D263" s="485"/>
      <c r="E263" s="486"/>
      <c r="F263" s="487"/>
      <c r="G263" s="485"/>
      <c r="H263" s="485"/>
      <c r="I263" s="487"/>
      <c r="J263" s="485"/>
      <c r="K263" s="488"/>
      <c r="L263" s="488"/>
      <c r="M263" s="485"/>
      <c r="N263" s="485"/>
      <c r="O263" s="485"/>
      <c r="P263" s="485"/>
      <c r="Q263" s="485"/>
      <c r="R263" s="485"/>
      <c r="S263" s="485"/>
      <c r="T263" s="485"/>
      <c r="U263" s="485"/>
      <c r="V263" s="485"/>
      <c r="W263" s="485"/>
      <c r="X263" s="485"/>
      <c r="Y263" s="485"/>
      <c r="Z263" s="485"/>
      <c r="AA263" s="489"/>
      <c r="AB263" s="489"/>
      <c r="AC263" s="489"/>
      <c r="AD263" s="489"/>
      <c r="AE263" s="490"/>
      <c r="AF263" s="490"/>
      <c r="AG263" s="491"/>
      <c r="AJ263" s="376"/>
      <c r="AK263" s="376"/>
    </row>
    <row r="264" spans="2:41" ht="18">
      <c r="C264" s="492"/>
      <c r="D264" s="333"/>
      <c r="E264" s="493" t="s">
        <v>130</v>
      </c>
      <c r="F264" s="411"/>
      <c r="G264" s="333"/>
      <c r="H264" s="333"/>
      <c r="I264" s="411"/>
      <c r="J264" s="333"/>
      <c r="K264" s="405"/>
      <c r="L264" s="405"/>
      <c r="M264" s="333"/>
      <c r="N264" s="333"/>
      <c r="O264" s="333"/>
      <c r="P264" s="333"/>
      <c r="Q264" s="333"/>
      <c r="R264" s="333"/>
      <c r="S264" s="333"/>
      <c r="T264" s="333"/>
      <c r="U264" s="333"/>
      <c r="V264" s="333"/>
      <c r="W264" s="333"/>
      <c r="X264" s="333"/>
      <c r="Y264" s="333"/>
      <c r="Z264" s="333"/>
      <c r="AA264" s="167"/>
      <c r="AB264" s="167"/>
      <c r="AC264" s="167"/>
      <c r="AD264" s="167"/>
      <c r="AE264" s="376"/>
      <c r="AF264" s="376"/>
      <c r="AG264" s="494"/>
      <c r="AJ264" s="376"/>
      <c r="AK264" s="376"/>
    </row>
    <row r="265" spans="2:41">
      <c r="C265" s="492"/>
      <c r="D265" s="333"/>
      <c r="E265" s="410"/>
      <c r="F265" s="411"/>
      <c r="G265" s="333"/>
      <c r="H265" s="333"/>
      <c r="I265" s="411"/>
      <c r="J265" s="333"/>
      <c r="K265" s="405"/>
      <c r="L265" s="405"/>
      <c r="M265" s="333"/>
      <c r="N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  <c r="Z265" s="333"/>
      <c r="AA265" s="1168" t="s">
        <v>106</v>
      </c>
      <c r="AB265" s="1169"/>
      <c r="AC265" s="1170"/>
      <c r="AD265" s="1115" t="s">
        <v>131</v>
      </c>
      <c r="AE265" s="1116"/>
      <c r="AF265" s="1117"/>
      <c r="AG265" s="494"/>
      <c r="AH265" s="167"/>
      <c r="AI265" s="167"/>
      <c r="AJ265" s="376"/>
      <c r="AK265" s="376"/>
    </row>
    <row r="266" spans="2:41" ht="16.5" thickBot="1">
      <c r="C266" s="492"/>
      <c r="D266" s="1118" t="s">
        <v>108</v>
      </c>
      <c r="E266" s="1118"/>
      <c r="F266" s="1118"/>
      <c r="G266" s="1118"/>
      <c r="H266" s="1118"/>
      <c r="I266" s="1119" t="s">
        <v>109</v>
      </c>
      <c r="J266" s="1119"/>
      <c r="K266" s="1119"/>
      <c r="L266" s="1120" t="s">
        <v>110</v>
      </c>
      <c r="M266" s="1120"/>
      <c r="N266" s="1120"/>
      <c r="O266" s="1120" t="s">
        <v>111</v>
      </c>
      <c r="P266" s="1120"/>
      <c r="Q266" s="1120"/>
      <c r="R266" s="1171" t="s">
        <v>132</v>
      </c>
      <c r="S266" s="1171"/>
      <c r="T266" s="1171"/>
      <c r="U266" s="1120" t="s">
        <v>113</v>
      </c>
      <c r="V266" s="1120"/>
      <c r="W266" s="1122"/>
      <c r="X266" s="1123" t="s">
        <v>114</v>
      </c>
      <c r="Y266" s="1124"/>
      <c r="Z266" s="1125"/>
      <c r="AA266" s="1172" t="s">
        <v>133</v>
      </c>
      <c r="AB266" s="1172"/>
      <c r="AC266" s="1173"/>
      <c r="AD266" s="1128" t="s">
        <v>133</v>
      </c>
      <c r="AE266" s="1129"/>
      <c r="AF266" s="1130"/>
      <c r="AG266" s="494"/>
      <c r="AH266" s="167"/>
      <c r="AI266" s="167"/>
      <c r="AJ266" s="376"/>
      <c r="AK266" s="376"/>
    </row>
    <row r="267" spans="2:41" ht="19.5" thickTop="1">
      <c r="C267" s="495">
        <v>1</v>
      </c>
      <c r="D267" s="1131" t="s">
        <v>119</v>
      </c>
      <c r="E267" s="1131"/>
      <c r="F267" s="1131"/>
      <c r="G267" s="1131"/>
      <c r="H267" s="1131"/>
      <c r="I267" s="1174">
        <v>38.5</v>
      </c>
      <c r="J267" s="1174"/>
      <c r="K267" s="1174"/>
      <c r="L267" s="1133">
        <v>1</v>
      </c>
      <c r="M267" s="1133"/>
      <c r="N267" s="1133"/>
      <c r="O267" s="1133">
        <v>2</v>
      </c>
      <c r="P267" s="1133"/>
      <c r="Q267" s="1133"/>
      <c r="R267" s="1175">
        <f t="shared" ref="R267:R273" si="99">+I267+L267+O267</f>
        <v>41.5</v>
      </c>
      <c r="S267" s="1175"/>
      <c r="T267" s="1175"/>
      <c r="U267" s="1135">
        <f t="shared" ref="U267:U273" si="100">+I267*7+(L267+O267)*6</f>
        <v>287.5</v>
      </c>
      <c r="V267" s="1135"/>
      <c r="W267" s="1136"/>
      <c r="X267" s="1137">
        <f t="shared" ref="X267:X273" si="101">+U267/7*30</f>
        <v>1232.1428571428571</v>
      </c>
      <c r="Y267" s="1138"/>
      <c r="Z267" s="1139"/>
      <c r="AA267" s="1176">
        <v>37.571399999999997</v>
      </c>
      <c r="AB267" s="1177"/>
      <c r="AC267" s="1177"/>
      <c r="AD267" s="1178">
        <f t="shared" ref="AD267:AD273" si="102">+AA267*30</f>
        <v>1127.1419999999998</v>
      </c>
      <c r="AE267" s="1178"/>
      <c r="AF267" s="1178"/>
      <c r="AG267" s="494"/>
      <c r="AH267" s="167" t="s">
        <v>134</v>
      </c>
      <c r="AI267" s="1149" t="s">
        <v>135</v>
      </c>
      <c r="AJ267" s="1179"/>
      <c r="AK267" s="1179"/>
      <c r="AL267" s="1179"/>
      <c r="AM267" s="1180"/>
    </row>
    <row r="268" spans="2:41" ht="17.25">
      <c r="C268" s="495">
        <v>2</v>
      </c>
      <c r="D268" s="1144" t="s">
        <v>120</v>
      </c>
      <c r="E268" s="1144"/>
      <c r="F268" s="1144"/>
      <c r="G268" s="1144"/>
      <c r="H268" s="1144"/>
      <c r="I268" s="1165">
        <v>38.5</v>
      </c>
      <c r="J268" s="1165"/>
      <c r="K268" s="1165"/>
      <c r="L268" s="1146">
        <v>1</v>
      </c>
      <c r="M268" s="1146"/>
      <c r="N268" s="1146"/>
      <c r="O268" s="1146">
        <v>2</v>
      </c>
      <c r="P268" s="1146"/>
      <c r="Q268" s="1146"/>
      <c r="R268" s="1160">
        <f t="shared" si="99"/>
        <v>41.5</v>
      </c>
      <c r="S268" s="1160"/>
      <c r="T268" s="1160"/>
      <c r="U268" s="1148">
        <f t="shared" si="100"/>
        <v>287.5</v>
      </c>
      <c r="V268" s="1148"/>
      <c r="W268" s="1149"/>
      <c r="X268" s="1150">
        <f t="shared" si="101"/>
        <v>1232.1428571428571</v>
      </c>
      <c r="Y268" s="1151"/>
      <c r="Z268" s="1152"/>
      <c r="AA268" s="1181">
        <v>35.571399999999997</v>
      </c>
      <c r="AB268" s="1182"/>
      <c r="AC268" s="1182"/>
      <c r="AD268" s="1183">
        <f t="shared" si="102"/>
        <v>1067.1419999999998</v>
      </c>
      <c r="AE268" s="1183"/>
      <c r="AF268" s="1183"/>
      <c r="AG268" s="494"/>
      <c r="AH268" s="167"/>
      <c r="AI268" s="167"/>
      <c r="AJ268" s="376"/>
      <c r="AK268" s="376"/>
    </row>
    <row r="269" spans="2:41" ht="17.25">
      <c r="C269" s="495">
        <v>3</v>
      </c>
      <c r="D269" s="1144" t="s">
        <v>118</v>
      </c>
      <c r="E269" s="1144"/>
      <c r="F269" s="1144"/>
      <c r="G269" s="1144"/>
      <c r="H269" s="1144"/>
      <c r="I269" s="1165">
        <v>38.5</v>
      </c>
      <c r="J269" s="1165"/>
      <c r="K269" s="1165"/>
      <c r="L269" s="1146">
        <v>1</v>
      </c>
      <c r="M269" s="1146"/>
      <c r="N269" s="1146"/>
      <c r="O269" s="1146">
        <v>2</v>
      </c>
      <c r="P269" s="1146"/>
      <c r="Q269" s="1146"/>
      <c r="R269" s="1160">
        <f t="shared" si="99"/>
        <v>41.5</v>
      </c>
      <c r="S269" s="1160"/>
      <c r="T269" s="1160"/>
      <c r="U269" s="1148">
        <f t="shared" si="100"/>
        <v>287.5</v>
      </c>
      <c r="V269" s="1148"/>
      <c r="W269" s="1149"/>
      <c r="X269" s="1150">
        <f t="shared" si="101"/>
        <v>1232.1428571428571</v>
      </c>
      <c r="Y269" s="1151"/>
      <c r="Z269" s="1152"/>
      <c r="AA269" s="1181">
        <v>32.571399999999997</v>
      </c>
      <c r="AB269" s="1182"/>
      <c r="AC269" s="1182"/>
      <c r="AD269" s="1183">
        <f t="shared" si="102"/>
        <v>977.14199999999994</v>
      </c>
      <c r="AE269" s="1183"/>
      <c r="AF269" s="1183"/>
      <c r="AG269" s="494"/>
      <c r="AH269" s="167"/>
      <c r="AI269" s="167"/>
      <c r="AJ269" s="376"/>
      <c r="AK269" s="376"/>
    </row>
    <row r="270" spans="2:41" ht="17.25">
      <c r="C270" s="495">
        <v>4</v>
      </c>
      <c r="D270" s="1144" t="s">
        <v>136</v>
      </c>
      <c r="E270" s="1144"/>
      <c r="F270" s="1144"/>
      <c r="G270" s="1144"/>
      <c r="H270" s="1144"/>
      <c r="I270" s="1165">
        <v>35</v>
      </c>
      <c r="J270" s="1165"/>
      <c r="K270" s="1165"/>
      <c r="L270" s="1146">
        <v>1</v>
      </c>
      <c r="M270" s="1146"/>
      <c r="N270" s="1146"/>
      <c r="O270" s="1146">
        <v>2</v>
      </c>
      <c r="P270" s="1146"/>
      <c r="Q270" s="1146"/>
      <c r="R270" s="1160">
        <f t="shared" si="99"/>
        <v>38</v>
      </c>
      <c r="S270" s="1160"/>
      <c r="T270" s="1160"/>
      <c r="U270" s="1148">
        <f t="shared" si="100"/>
        <v>263</v>
      </c>
      <c r="V270" s="1148"/>
      <c r="W270" s="1149"/>
      <c r="X270" s="1150">
        <f t="shared" si="101"/>
        <v>1127.1428571428571</v>
      </c>
      <c r="Y270" s="1151"/>
      <c r="Z270" s="1152"/>
      <c r="AA270" s="1181">
        <v>35.321399999999997</v>
      </c>
      <c r="AB270" s="1182"/>
      <c r="AC270" s="1182"/>
      <c r="AD270" s="1183">
        <f t="shared" si="102"/>
        <v>1059.6419999999998</v>
      </c>
      <c r="AE270" s="1183"/>
      <c r="AF270" s="1183"/>
      <c r="AG270" s="494"/>
      <c r="AH270" s="167"/>
      <c r="AI270" s="167"/>
      <c r="AJ270" s="376"/>
      <c r="AK270" s="376"/>
    </row>
    <row r="271" spans="2:41" ht="17.25">
      <c r="C271" s="495">
        <v>5</v>
      </c>
      <c r="D271" s="1144" t="s">
        <v>137</v>
      </c>
      <c r="E271" s="1144"/>
      <c r="F271" s="1144"/>
      <c r="G271" s="1144"/>
      <c r="H271" s="1144"/>
      <c r="I271" s="1165">
        <v>33.799999999999997</v>
      </c>
      <c r="J271" s="1165"/>
      <c r="K271" s="1165"/>
      <c r="L271" s="1146">
        <v>1</v>
      </c>
      <c r="M271" s="1146"/>
      <c r="N271" s="1146"/>
      <c r="O271" s="1146">
        <v>2</v>
      </c>
      <c r="P271" s="1146"/>
      <c r="Q271" s="1146"/>
      <c r="R271" s="1160">
        <f t="shared" si="99"/>
        <v>36.799999999999997</v>
      </c>
      <c r="S271" s="1160"/>
      <c r="T271" s="1160"/>
      <c r="U271" s="1148">
        <f t="shared" si="100"/>
        <v>254.59999999999997</v>
      </c>
      <c r="V271" s="1148"/>
      <c r="W271" s="1149"/>
      <c r="X271" s="1150">
        <f t="shared" si="101"/>
        <v>1091.1428571428569</v>
      </c>
      <c r="Y271" s="1151"/>
      <c r="Z271" s="1152"/>
      <c r="AA271" s="1181">
        <v>31.571400000000001</v>
      </c>
      <c r="AB271" s="1182"/>
      <c r="AC271" s="1182"/>
      <c r="AD271" s="1183">
        <f t="shared" si="102"/>
        <v>947.14200000000005</v>
      </c>
      <c r="AE271" s="1183"/>
      <c r="AF271" s="1183"/>
      <c r="AG271" s="494"/>
      <c r="AH271" s="167"/>
      <c r="AI271" s="167"/>
      <c r="AJ271" s="376"/>
      <c r="AK271" s="376"/>
    </row>
    <row r="272" spans="2:41" ht="17.25">
      <c r="C272" s="495">
        <v>6</v>
      </c>
      <c r="D272" s="1144" t="s">
        <v>138</v>
      </c>
      <c r="E272" s="1144"/>
      <c r="F272" s="1144"/>
      <c r="G272" s="1144"/>
      <c r="H272" s="1144"/>
      <c r="I272" s="1165">
        <v>33.799999999999997</v>
      </c>
      <c r="J272" s="1165"/>
      <c r="K272" s="1165"/>
      <c r="L272" s="1146">
        <v>1</v>
      </c>
      <c r="M272" s="1146"/>
      <c r="N272" s="1146"/>
      <c r="O272" s="1146">
        <v>2</v>
      </c>
      <c r="P272" s="1146"/>
      <c r="Q272" s="1146"/>
      <c r="R272" s="1160">
        <f t="shared" si="99"/>
        <v>36.799999999999997</v>
      </c>
      <c r="S272" s="1160"/>
      <c r="T272" s="1160"/>
      <c r="U272" s="1148">
        <f t="shared" si="100"/>
        <v>254.59999999999997</v>
      </c>
      <c r="V272" s="1148"/>
      <c r="W272" s="1149"/>
      <c r="X272" s="1150">
        <f t="shared" si="101"/>
        <v>1091.1428571428569</v>
      </c>
      <c r="Y272" s="1151"/>
      <c r="Z272" s="1152"/>
      <c r="AA272" s="1181">
        <v>33.333300000000001</v>
      </c>
      <c r="AB272" s="1182"/>
      <c r="AC272" s="1182"/>
      <c r="AD272" s="1183">
        <f t="shared" si="102"/>
        <v>999.99900000000002</v>
      </c>
      <c r="AE272" s="1183"/>
      <c r="AF272" s="1183"/>
      <c r="AG272" s="494"/>
      <c r="AH272" s="167"/>
      <c r="AI272" s="167"/>
      <c r="AJ272" s="376"/>
      <c r="AK272" s="376"/>
    </row>
    <row r="273" spans="3:41" ht="17.25">
      <c r="C273" s="495">
        <v>7</v>
      </c>
      <c r="D273" s="1144" t="s">
        <v>139</v>
      </c>
      <c r="E273" s="1144"/>
      <c r="F273" s="1144"/>
      <c r="G273" s="1144"/>
      <c r="H273" s="1144"/>
      <c r="I273" s="1165">
        <v>26</v>
      </c>
      <c r="J273" s="1165"/>
      <c r="K273" s="1165"/>
      <c r="L273" s="1146">
        <v>1</v>
      </c>
      <c r="M273" s="1146"/>
      <c r="N273" s="1146"/>
      <c r="O273" s="1146">
        <v>2</v>
      </c>
      <c r="P273" s="1146"/>
      <c r="Q273" s="1146"/>
      <c r="R273" s="1160">
        <f t="shared" si="99"/>
        <v>29</v>
      </c>
      <c r="S273" s="1160"/>
      <c r="T273" s="1160"/>
      <c r="U273" s="1148">
        <f t="shared" si="100"/>
        <v>200</v>
      </c>
      <c r="V273" s="1148"/>
      <c r="W273" s="1149"/>
      <c r="X273" s="1150">
        <f t="shared" si="101"/>
        <v>857.14285714285722</v>
      </c>
      <c r="Y273" s="1151"/>
      <c r="Z273" s="1152"/>
      <c r="AA273" s="1181">
        <v>25</v>
      </c>
      <c r="AB273" s="1182"/>
      <c r="AC273" s="1182"/>
      <c r="AD273" s="1183">
        <f t="shared" si="102"/>
        <v>750</v>
      </c>
      <c r="AE273" s="1183"/>
      <c r="AF273" s="1183"/>
      <c r="AG273" s="494"/>
      <c r="AH273" s="167"/>
      <c r="AI273" s="167"/>
      <c r="AJ273" s="376"/>
      <c r="AK273" s="376"/>
    </row>
    <row r="274" spans="3:41" ht="17.25">
      <c r="C274" s="492"/>
      <c r="D274" s="409"/>
      <c r="E274" s="410"/>
      <c r="F274" s="411"/>
      <c r="G274" s="333"/>
      <c r="H274" s="333"/>
      <c r="I274" s="411"/>
      <c r="J274" s="333"/>
      <c r="K274" s="405"/>
      <c r="L274" s="405"/>
      <c r="M274" s="333"/>
      <c r="N274" s="333"/>
      <c r="O274" s="333"/>
      <c r="P274" s="333"/>
      <c r="Q274" s="333"/>
      <c r="R274" s="333"/>
      <c r="S274" s="1160" t="s">
        <v>23</v>
      </c>
      <c r="T274" s="1160"/>
      <c r="U274" s="1160"/>
      <c r="V274" s="333"/>
      <c r="W274" s="333"/>
      <c r="X274" s="1161">
        <f>SUM(X267:Z273)</f>
        <v>7862.9999999999991</v>
      </c>
      <c r="Y274" s="1162"/>
      <c r="Z274" s="1163"/>
      <c r="AA274" s="496"/>
      <c r="AB274" s="496"/>
      <c r="AC274" s="496"/>
      <c r="AD274" s="1184">
        <f>SUM(AD267:AF273)</f>
        <v>6928.2089999999989</v>
      </c>
      <c r="AE274" s="1184"/>
      <c r="AF274" s="1184"/>
      <c r="AG274" s="494"/>
      <c r="AH274" s="167"/>
      <c r="AI274" s="167"/>
      <c r="AJ274" s="376"/>
      <c r="AK274" s="376"/>
    </row>
    <row r="275" spans="3:41" ht="15.75" thickBot="1">
      <c r="C275" s="492"/>
      <c r="D275" s="333"/>
      <c r="E275" s="410"/>
      <c r="F275" s="411"/>
      <c r="G275" s="333"/>
      <c r="H275" s="333"/>
      <c r="I275" s="411"/>
      <c r="J275" s="333"/>
      <c r="K275" s="405"/>
      <c r="L275" s="405"/>
      <c r="M275" s="333"/>
      <c r="N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  <c r="AA275" s="167"/>
      <c r="AB275" s="167"/>
      <c r="AC275" s="167"/>
      <c r="AD275" s="167"/>
      <c r="AE275" s="376"/>
      <c r="AF275" s="376"/>
      <c r="AG275" s="494"/>
      <c r="AH275" s="167"/>
      <c r="AI275" s="167"/>
      <c r="AJ275" s="376"/>
      <c r="AK275" s="376"/>
    </row>
    <row r="276" spans="3:41" ht="15.75" thickBot="1">
      <c r="C276" s="492"/>
      <c r="D276" s="333"/>
      <c r="E276" s="410"/>
      <c r="F276" s="411"/>
      <c r="G276" s="333"/>
      <c r="H276" s="333"/>
      <c r="I276" s="411"/>
      <c r="J276" s="333"/>
      <c r="K276" s="405"/>
      <c r="L276" s="1185" t="s">
        <v>140</v>
      </c>
      <c r="M276" s="1185"/>
      <c r="N276" s="1185"/>
      <c r="O276" s="333"/>
      <c r="P276" s="333"/>
      <c r="Q276" s="333"/>
      <c r="R276" s="333"/>
      <c r="S276" s="333"/>
      <c r="T276" s="499" t="s">
        <v>141</v>
      </c>
      <c r="U276" s="333"/>
      <c r="V276" s="333"/>
      <c r="W276" s="333"/>
      <c r="X276" s="333"/>
      <c r="Y276" s="333"/>
      <c r="Z276" s="333"/>
      <c r="AA276" s="167"/>
      <c r="AB276" s="167"/>
      <c r="AC276" s="167"/>
      <c r="AD276" s="1156">
        <f>+X274-AD274+0.01</f>
        <v>934.80100000000016</v>
      </c>
      <c r="AE276" s="1157"/>
      <c r="AF276" s="1158"/>
      <c r="AG276" s="494"/>
      <c r="AH276" s="167"/>
      <c r="AI276" s="167"/>
      <c r="AJ276" s="376"/>
      <c r="AK276" s="376"/>
    </row>
    <row r="277" spans="3:41" ht="15.75" thickBot="1">
      <c r="C277" s="500"/>
      <c r="D277" s="501"/>
      <c r="E277" s="502"/>
      <c r="F277" s="503"/>
      <c r="G277" s="501"/>
      <c r="H277" s="501"/>
      <c r="I277" s="503"/>
      <c r="J277" s="501"/>
      <c r="K277" s="504"/>
      <c r="L277" s="504"/>
      <c r="M277" s="501"/>
      <c r="N277" s="501"/>
      <c r="O277" s="501"/>
      <c r="P277" s="501"/>
      <c r="Q277" s="501"/>
      <c r="R277" s="501"/>
      <c r="S277" s="501"/>
      <c r="T277" s="501"/>
      <c r="U277" s="501"/>
      <c r="V277" s="501"/>
      <c r="W277" s="501"/>
      <c r="X277" s="501"/>
      <c r="Y277" s="501"/>
      <c r="Z277" s="501"/>
      <c r="AA277" s="505"/>
      <c r="AB277" s="505"/>
      <c r="AC277" s="505"/>
      <c r="AD277" s="506"/>
      <c r="AE277" s="506"/>
      <c r="AF277" s="506"/>
      <c r="AG277" s="507"/>
      <c r="AH277" s="167"/>
      <c r="AI277" s="167"/>
      <c r="AJ277" s="376"/>
      <c r="AK277" s="376"/>
    </row>
    <row r="278" spans="3:41">
      <c r="AG278" s="267"/>
      <c r="AH278" s="267"/>
      <c r="AI278" s="267"/>
      <c r="AJ278" s="267"/>
      <c r="AK278" s="267"/>
      <c r="AL278" s="267"/>
      <c r="AM278" s="267"/>
      <c r="AN278" s="267"/>
      <c r="AO278" s="267"/>
    </row>
    <row r="279" spans="3:41">
      <c r="AG279" s="267"/>
      <c r="AH279" s="267"/>
      <c r="AI279" s="267"/>
      <c r="AJ279" s="267"/>
      <c r="AK279" s="267"/>
      <c r="AL279" s="267"/>
      <c r="AM279" s="267"/>
      <c r="AN279" s="267"/>
      <c r="AO279" s="267"/>
    </row>
    <row r="280" spans="3:41">
      <c r="AG280" s="267"/>
      <c r="AH280" s="267"/>
      <c r="AI280" s="267"/>
      <c r="AJ280" s="267"/>
      <c r="AK280" s="267"/>
      <c r="AL280" s="267"/>
      <c r="AM280" s="267"/>
      <c r="AN280" s="267"/>
      <c r="AO280" s="267"/>
    </row>
  </sheetData>
  <mergeCells count="848"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AP17:AQ17"/>
    <mergeCell ref="AR17:AS17"/>
    <mergeCell ref="AP18:AQ18"/>
    <mergeCell ref="AR18:AS18"/>
    <mergeCell ref="AP19:AQ19"/>
    <mergeCell ref="AR19:AS19"/>
    <mergeCell ref="AP13:AQ13"/>
    <mergeCell ref="AR13:AS13"/>
    <mergeCell ref="AP14:AQ14"/>
    <mergeCell ref="AR14:AS14"/>
    <mergeCell ref="AP16:AQ16"/>
    <mergeCell ref="AR16:AS16"/>
    <mergeCell ref="AP15:AQ15"/>
    <mergeCell ref="AR15:AS15"/>
    <mergeCell ref="AP23:AQ23"/>
    <mergeCell ref="AR23:AS23"/>
    <mergeCell ref="AP24:AQ24"/>
    <mergeCell ref="AR24:AS24"/>
    <mergeCell ref="AP20:AQ20"/>
    <mergeCell ref="AR20:AS20"/>
    <mergeCell ref="AP21:AQ21"/>
    <mergeCell ref="AR21:AS21"/>
    <mergeCell ref="AP22:AQ22"/>
    <mergeCell ref="AR22:AS22"/>
    <mergeCell ref="AP25:AQ25"/>
    <mergeCell ref="AR25:AS25"/>
    <mergeCell ref="BE26:BE27"/>
    <mergeCell ref="BF26:BF27"/>
    <mergeCell ref="B27:B32"/>
    <mergeCell ref="C27:J28"/>
    <mergeCell ref="K27:L28"/>
    <mergeCell ref="M27:T28"/>
    <mergeCell ref="U27:V28"/>
    <mergeCell ref="W27:AD28"/>
    <mergeCell ref="AZ27:BC27"/>
    <mergeCell ref="AZ28:BB29"/>
    <mergeCell ref="C29:D32"/>
    <mergeCell ref="E29:E32"/>
    <mergeCell ref="F29:F32"/>
    <mergeCell ref="G29:H32"/>
    <mergeCell ref="I29:I32"/>
    <mergeCell ref="J29:J32"/>
    <mergeCell ref="AM27:AM32"/>
    <mergeCell ref="AN27:AN32"/>
    <mergeCell ref="AO27:AO32"/>
    <mergeCell ref="AP27:AP32"/>
    <mergeCell ref="AQ27:AQ32"/>
    <mergeCell ref="AR27:AS32"/>
    <mergeCell ref="K29:K32"/>
    <mergeCell ref="L29:L32"/>
    <mergeCell ref="M29:N32"/>
    <mergeCell ref="O29:O32"/>
    <mergeCell ref="P29:P32"/>
    <mergeCell ref="Q29:R32"/>
    <mergeCell ref="AR33:AS33"/>
    <mergeCell ref="AW33:AX33"/>
    <mergeCell ref="AR34:AS34"/>
    <mergeCell ref="AW34:AX34"/>
    <mergeCell ref="AH27:AH32"/>
    <mergeCell ref="AI27:AI32"/>
    <mergeCell ref="AJ27:AJ32"/>
    <mergeCell ref="AK27:AK32"/>
    <mergeCell ref="AL27:AL32"/>
    <mergeCell ref="S29:S32"/>
    <mergeCell ref="T29:T32"/>
    <mergeCell ref="U29:U32"/>
    <mergeCell ref="V29:V32"/>
    <mergeCell ref="W29:X32"/>
    <mergeCell ref="Y29:Y32"/>
    <mergeCell ref="AR35:AS35"/>
    <mergeCell ref="AW35:AX35"/>
    <mergeCell ref="Z29:Z32"/>
    <mergeCell ref="AA29:AB32"/>
    <mergeCell ref="AC29:AC32"/>
    <mergeCell ref="AD29:AD32"/>
    <mergeCell ref="AE29:AE32"/>
    <mergeCell ref="AF29:AF32"/>
    <mergeCell ref="AT27:AT32"/>
    <mergeCell ref="AW27:AX32"/>
    <mergeCell ref="AE27:AF28"/>
    <mergeCell ref="AR40:AS40"/>
    <mergeCell ref="AW40:AX40"/>
    <mergeCell ref="AR41:AS41"/>
    <mergeCell ref="AW41:AX41"/>
    <mergeCell ref="AR42:AS42"/>
    <mergeCell ref="AW42:AX42"/>
    <mergeCell ref="AR36:AS36"/>
    <mergeCell ref="AW36:AX36"/>
    <mergeCell ref="AR38:AS38"/>
    <mergeCell ref="AW38:AX38"/>
    <mergeCell ref="AR39:AS39"/>
    <mergeCell ref="AW39:AX39"/>
    <mergeCell ref="AR37:AS37"/>
    <mergeCell ref="AW37:AX37"/>
    <mergeCell ref="AR45:AS45"/>
    <mergeCell ref="AW45:AX45"/>
    <mergeCell ref="AR46:AS46"/>
    <mergeCell ref="AW46:AX46"/>
    <mergeCell ref="AR47:AS47"/>
    <mergeCell ref="AW47:AX47"/>
    <mergeCell ref="AR43:AS43"/>
    <mergeCell ref="AW43:AX43"/>
    <mergeCell ref="AR44:AS44"/>
    <mergeCell ref="AW44:AX44"/>
    <mergeCell ref="AW49:AX50"/>
    <mergeCell ref="C56:J57"/>
    <mergeCell ref="K56:L57"/>
    <mergeCell ref="M56:T57"/>
    <mergeCell ref="U56:V57"/>
    <mergeCell ref="W56:AD57"/>
    <mergeCell ref="AE56:AF57"/>
    <mergeCell ref="AG56:AN57"/>
    <mergeCell ref="AO56:AO57"/>
    <mergeCell ref="AP58:AQ58"/>
    <mergeCell ref="AR58:AS58"/>
    <mergeCell ref="C60:J61"/>
    <mergeCell ref="K60:L61"/>
    <mergeCell ref="M60:T61"/>
    <mergeCell ref="U60:V61"/>
    <mergeCell ref="W60:AD61"/>
    <mergeCell ref="AE60:AF61"/>
    <mergeCell ref="AR48:AS48"/>
    <mergeCell ref="AR62:AS62"/>
    <mergeCell ref="AW62:AX62"/>
    <mergeCell ref="AK63:AL63"/>
    <mergeCell ref="C67:D69"/>
    <mergeCell ref="E67:F69"/>
    <mergeCell ref="G67:H71"/>
    <mergeCell ref="I67:J69"/>
    <mergeCell ref="K67:L69"/>
    <mergeCell ref="N67:O69"/>
    <mergeCell ref="Q67:R69"/>
    <mergeCell ref="C71:D71"/>
    <mergeCell ref="E71:F71"/>
    <mergeCell ref="I71:J71"/>
    <mergeCell ref="K71:L71"/>
    <mergeCell ref="N71:O71"/>
    <mergeCell ref="Q71:R71"/>
    <mergeCell ref="U67:U72"/>
    <mergeCell ref="V67:V72"/>
    <mergeCell ref="W67:W72"/>
    <mergeCell ref="X67:X72"/>
    <mergeCell ref="C70:D70"/>
    <mergeCell ref="C75:D75"/>
    <mergeCell ref="E75:F75"/>
    <mergeCell ref="I75:J75"/>
    <mergeCell ref="K75:L75"/>
    <mergeCell ref="N75:O75"/>
    <mergeCell ref="Q75:R75"/>
    <mergeCell ref="K70:L70"/>
    <mergeCell ref="N70:O70"/>
    <mergeCell ref="Q70:R70"/>
    <mergeCell ref="E70:F70"/>
    <mergeCell ref="I70:J70"/>
    <mergeCell ref="Y73:Z73"/>
    <mergeCell ref="C74:D74"/>
    <mergeCell ref="E74:F74"/>
    <mergeCell ref="I74:J74"/>
    <mergeCell ref="K74:L74"/>
    <mergeCell ref="N74:O74"/>
    <mergeCell ref="Q74:R74"/>
    <mergeCell ref="Y74:Z74"/>
    <mergeCell ref="C73:D73"/>
    <mergeCell ref="E73:F73"/>
    <mergeCell ref="I73:J73"/>
    <mergeCell ref="K73:L73"/>
    <mergeCell ref="N73:O73"/>
    <mergeCell ref="Q73:R73"/>
    <mergeCell ref="Q76:R76"/>
    <mergeCell ref="C78:D78"/>
    <mergeCell ref="E78:F78"/>
    <mergeCell ref="G78:H78"/>
    <mergeCell ref="I78:J78"/>
    <mergeCell ref="K78:L78"/>
    <mergeCell ref="N78:O78"/>
    <mergeCell ref="Q78:R78"/>
    <mergeCell ref="C76:D76"/>
    <mergeCell ref="E76:F76"/>
    <mergeCell ref="G76:H76"/>
    <mergeCell ref="I76:J76"/>
    <mergeCell ref="K76:L76"/>
    <mergeCell ref="N76:O76"/>
    <mergeCell ref="Q77:R77"/>
    <mergeCell ref="Y79:Z79"/>
    <mergeCell ref="C80:D80"/>
    <mergeCell ref="E80:F80"/>
    <mergeCell ref="G80:H80"/>
    <mergeCell ref="I80:J80"/>
    <mergeCell ref="K80:L80"/>
    <mergeCell ref="N80:O80"/>
    <mergeCell ref="Q80:R80"/>
    <mergeCell ref="Y80:Z80"/>
    <mergeCell ref="C79:D79"/>
    <mergeCell ref="E79:F79"/>
    <mergeCell ref="G79:H79"/>
    <mergeCell ref="I79:J79"/>
    <mergeCell ref="K79:L79"/>
    <mergeCell ref="N79:O79"/>
    <mergeCell ref="Q79:R79"/>
    <mergeCell ref="K83:L83"/>
    <mergeCell ref="N83:O83"/>
    <mergeCell ref="Q81:R81"/>
    <mergeCell ref="Y81:Z81"/>
    <mergeCell ref="C82:D82"/>
    <mergeCell ref="E82:F82"/>
    <mergeCell ref="G82:H82"/>
    <mergeCell ref="I82:J82"/>
    <mergeCell ref="K82:L82"/>
    <mergeCell ref="N82:O82"/>
    <mergeCell ref="Q82:R82"/>
    <mergeCell ref="C81:D81"/>
    <mergeCell ref="E81:F81"/>
    <mergeCell ref="G81:H81"/>
    <mergeCell ref="I81:J81"/>
    <mergeCell ref="K81:L81"/>
    <mergeCell ref="N81:O81"/>
    <mergeCell ref="C85:D85"/>
    <mergeCell ref="E85:F85"/>
    <mergeCell ref="G85:H85"/>
    <mergeCell ref="I85:J85"/>
    <mergeCell ref="K85:L85"/>
    <mergeCell ref="N85:O85"/>
    <mergeCell ref="Q85:R85"/>
    <mergeCell ref="C77:D77"/>
    <mergeCell ref="E77:F77"/>
    <mergeCell ref="G77:H77"/>
    <mergeCell ref="I77:J77"/>
    <mergeCell ref="K77:L77"/>
    <mergeCell ref="N77:O77"/>
    <mergeCell ref="C84:D84"/>
    <mergeCell ref="E84:F84"/>
    <mergeCell ref="I84:J84"/>
    <mergeCell ref="K84:L84"/>
    <mergeCell ref="N84:O84"/>
    <mergeCell ref="Q84:R84"/>
    <mergeCell ref="Q83:R83"/>
    <mergeCell ref="C83:D83"/>
    <mergeCell ref="E83:F83"/>
    <mergeCell ref="G83:H83"/>
    <mergeCell ref="I83:J83"/>
    <mergeCell ref="Q86:R86"/>
    <mergeCell ref="C87:D87"/>
    <mergeCell ref="E87:F87"/>
    <mergeCell ref="G87:H87"/>
    <mergeCell ref="I87:J87"/>
    <mergeCell ref="K87:L87"/>
    <mergeCell ref="N87:O87"/>
    <mergeCell ref="Q87:R87"/>
    <mergeCell ref="C86:D86"/>
    <mergeCell ref="E86:F86"/>
    <mergeCell ref="G86:H86"/>
    <mergeCell ref="I86:J86"/>
    <mergeCell ref="K86:L86"/>
    <mergeCell ref="N86:O86"/>
    <mergeCell ref="Q88:R88"/>
    <mergeCell ref="H90:N90"/>
    <mergeCell ref="O92:Z92"/>
    <mergeCell ref="O93:P93"/>
    <mergeCell ref="Q93:Z93"/>
    <mergeCell ref="O94:P94"/>
    <mergeCell ref="Q94:Z94"/>
    <mergeCell ref="C88:D88"/>
    <mergeCell ref="E88:F88"/>
    <mergeCell ref="G88:H88"/>
    <mergeCell ref="I88:J88"/>
    <mergeCell ref="K88:L88"/>
    <mergeCell ref="N88:O88"/>
    <mergeCell ref="O98:P98"/>
    <mergeCell ref="O100:Z100"/>
    <mergeCell ref="O101:P101"/>
    <mergeCell ref="Q101:Z101"/>
    <mergeCell ref="O102:P102"/>
    <mergeCell ref="Q102:Z102"/>
    <mergeCell ref="AA94:AB94"/>
    <mergeCell ref="O95:P95"/>
    <mergeCell ref="Q95:Z95"/>
    <mergeCell ref="O96:P96"/>
    <mergeCell ref="Q96:Z96"/>
    <mergeCell ref="O97:P97"/>
    <mergeCell ref="Q97:Z97"/>
    <mergeCell ref="O106:P106"/>
    <mergeCell ref="H108:N108"/>
    <mergeCell ref="O110:Z110"/>
    <mergeCell ref="O111:P111"/>
    <mergeCell ref="Q111:Z111"/>
    <mergeCell ref="AE111:AG111"/>
    <mergeCell ref="AA102:AB102"/>
    <mergeCell ref="O103:P103"/>
    <mergeCell ref="Q103:Z103"/>
    <mergeCell ref="O104:P104"/>
    <mergeCell ref="Q104:Z104"/>
    <mergeCell ref="O105:P105"/>
    <mergeCell ref="Q105:Z105"/>
    <mergeCell ref="O113:P113"/>
    <mergeCell ref="Q113:Z113"/>
    <mergeCell ref="AE113:AG113"/>
    <mergeCell ref="AI113:AK113"/>
    <mergeCell ref="AL113:AN113"/>
    <mergeCell ref="AO113:AQ113"/>
    <mergeCell ref="AI111:AK111"/>
    <mergeCell ref="AL111:AN111"/>
    <mergeCell ref="AO111:AQ111"/>
    <mergeCell ref="O112:P112"/>
    <mergeCell ref="Q112:Z112"/>
    <mergeCell ref="AA112:AB112"/>
    <mergeCell ref="AE112:AG112"/>
    <mergeCell ref="AI112:AK112"/>
    <mergeCell ref="AL112:AN112"/>
    <mergeCell ref="AO112:AQ112"/>
    <mergeCell ref="O116:P116"/>
    <mergeCell ref="AE116:AG116"/>
    <mergeCell ref="AI116:AK116"/>
    <mergeCell ref="O118:Z118"/>
    <mergeCell ref="O119:P119"/>
    <mergeCell ref="Q119:Z119"/>
    <mergeCell ref="O114:P114"/>
    <mergeCell ref="Q114:Z114"/>
    <mergeCell ref="AE114:AG114"/>
    <mergeCell ref="AI114:AK114"/>
    <mergeCell ref="O115:P115"/>
    <mergeCell ref="Q115:Z115"/>
    <mergeCell ref="AE115:AG115"/>
    <mergeCell ref="AI115:AK115"/>
    <mergeCell ref="H127:N127"/>
    <mergeCell ref="O129:Z129"/>
    <mergeCell ref="O130:P130"/>
    <mergeCell ref="Q130:Z130"/>
    <mergeCell ref="O120:P120"/>
    <mergeCell ref="Q120:Z120"/>
    <mergeCell ref="AA120:AB120"/>
    <mergeCell ref="O121:P121"/>
    <mergeCell ref="Q121:Z121"/>
    <mergeCell ref="O122:P122"/>
    <mergeCell ref="Q122:Z122"/>
    <mergeCell ref="O131:P131"/>
    <mergeCell ref="Q131:Z131"/>
    <mergeCell ref="AA131:AB131"/>
    <mergeCell ref="O132:P132"/>
    <mergeCell ref="Q132:Z132"/>
    <mergeCell ref="O133:P133"/>
    <mergeCell ref="Q133:Z133"/>
    <mergeCell ref="O123:P123"/>
    <mergeCell ref="Q123:Z123"/>
    <mergeCell ref="O124:P124"/>
    <mergeCell ref="AA139:AB139"/>
    <mergeCell ref="O140:P140"/>
    <mergeCell ref="Q140:Z140"/>
    <mergeCell ref="O141:P141"/>
    <mergeCell ref="Q141:Z141"/>
    <mergeCell ref="O134:P134"/>
    <mergeCell ref="Q134:Z134"/>
    <mergeCell ref="O135:P135"/>
    <mergeCell ref="O137:Z137"/>
    <mergeCell ref="O138:P138"/>
    <mergeCell ref="Q138:Z138"/>
    <mergeCell ref="O142:P142"/>
    <mergeCell ref="Q142:Z142"/>
    <mergeCell ref="O143:P143"/>
    <mergeCell ref="H145:N145"/>
    <mergeCell ref="O147:Z147"/>
    <mergeCell ref="O148:P148"/>
    <mergeCell ref="Q148:Z148"/>
    <mergeCell ref="O139:P139"/>
    <mergeCell ref="Q139:Z139"/>
    <mergeCell ref="O152:P152"/>
    <mergeCell ref="Q152:Z152"/>
    <mergeCell ref="AF152:AJ152"/>
    <mergeCell ref="O153:P153"/>
    <mergeCell ref="O155:Z155"/>
    <mergeCell ref="O156:P156"/>
    <mergeCell ref="Q156:Z156"/>
    <mergeCell ref="O149:P149"/>
    <mergeCell ref="Q149:Z149"/>
    <mergeCell ref="AA149:AB149"/>
    <mergeCell ref="O150:P150"/>
    <mergeCell ref="Q150:Z150"/>
    <mergeCell ref="O151:P151"/>
    <mergeCell ref="Q151:Z151"/>
    <mergeCell ref="H165:N165"/>
    <mergeCell ref="O167:Z167"/>
    <mergeCell ref="O168:P168"/>
    <mergeCell ref="Q168:Z168"/>
    <mergeCell ref="O157:P157"/>
    <mergeCell ref="Q157:Z157"/>
    <mergeCell ref="AA157:AB157"/>
    <mergeCell ref="O158:P158"/>
    <mergeCell ref="Q158:Z158"/>
    <mergeCell ref="O159:P159"/>
    <mergeCell ref="Q159:Z159"/>
    <mergeCell ref="AG168:AH168"/>
    <mergeCell ref="AJ168:AK168"/>
    <mergeCell ref="O169:P169"/>
    <mergeCell ref="Q169:Z169"/>
    <mergeCell ref="AA169:AB169"/>
    <mergeCell ref="AG169:AH169"/>
    <mergeCell ref="AJ169:AK169"/>
    <mergeCell ref="O160:P160"/>
    <mergeCell ref="Q160:Z160"/>
    <mergeCell ref="O161:P161"/>
    <mergeCell ref="AJ172:AK172"/>
    <mergeCell ref="O173:P173"/>
    <mergeCell ref="AK173:AL173"/>
    <mergeCell ref="O170:P170"/>
    <mergeCell ref="Q170:Z170"/>
    <mergeCell ref="AG170:AH170"/>
    <mergeCell ref="AJ170:AK170"/>
    <mergeCell ref="O171:P171"/>
    <mergeCell ref="Q171:Z171"/>
    <mergeCell ref="AG171:AH171"/>
    <mergeCell ref="AJ171:AK171"/>
    <mergeCell ref="O175:Z175"/>
    <mergeCell ref="O176:P176"/>
    <mergeCell ref="Q176:Z176"/>
    <mergeCell ref="O177:P177"/>
    <mergeCell ref="Q177:Z177"/>
    <mergeCell ref="AA177:AB177"/>
    <mergeCell ref="O172:P172"/>
    <mergeCell ref="Q172:Z172"/>
    <mergeCell ref="AG172:AH172"/>
    <mergeCell ref="O181:P181"/>
    <mergeCell ref="O186:Z186"/>
    <mergeCell ref="O187:P187"/>
    <mergeCell ref="Q187:Z187"/>
    <mergeCell ref="O188:P188"/>
    <mergeCell ref="Q188:Z188"/>
    <mergeCell ref="O178:P178"/>
    <mergeCell ref="Q178:Z178"/>
    <mergeCell ref="O179:P179"/>
    <mergeCell ref="Q179:Z179"/>
    <mergeCell ref="O180:P180"/>
    <mergeCell ref="Q180:Z180"/>
    <mergeCell ref="O192:P192"/>
    <mergeCell ref="O194:Z194"/>
    <mergeCell ref="O195:P195"/>
    <mergeCell ref="Q195:Z195"/>
    <mergeCell ref="O196:P196"/>
    <mergeCell ref="Q196:Z196"/>
    <mergeCell ref="AA188:AB188"/>
    <mergeCell ref="O189:P189"/>
    <mergeCell ref="Q189:Z189"/>
    <mergeCell ref="O190:P190"/>
    <mergeCell ref="Q190:Z190"/>
    <mergeCell ref="O191:P191"/>
    <mergeCell ref="Q191:Z191"/>
    <mergeCell ref="O200:P200"/>
    <mergeCell ref="C203:D205"/>
    <mergeCell ref="E203:F205"/>
    <mergeCell ref="G203:H207"/>
    <mergeCell ref="I203:J205"/>
    <mergeCell ref="K203:L205"/>
    <mergeCell ref="N203:O205"/>
    <mergeCell ref="AA196:AB196"/>
    <mergeCell ref="O197:P197"/>
    <mergeCell ref="Q197:Z197"/>
    <mergeCell ref="O198:P198"/>
    <mergeCell ref="Q198:Z198"/>
    <mergeCell ref="O199:P199"/>
    <mergeCell ref="Q199:Z199"/>
    <mergeCell ref="Q203:R205"/>
    <mergeCell ref="U203:U208"/>
    <mergeCell ref="V203:V208"/>
    <mergeCell ref="W203:W208"/>
    <mergeCell ref="X203:X208"/>
    <mergeCell ref="C206:D206"/>
    <mergeCell ref="E206:F206"/>
    <mergeCell ref="I206:J206"/>
    <mergeCell ref="K206:L206"/>
    <mergeCell ref="N206:O206"/>
    <mergeCell ref="C209:D209"/>
    <mergeCell ref="E209:F209"/>
    <mergeCell ref="I209:J209"/>
    <mergeCell ref="K209:L209"/>
    <mergeCell ref="N209:O209"/>
    <mergeCell ref="Q209:R209"/>
    <mergeCell ref="Q206:R206"/>
    <mergeCell ref="C207:D207"/>
    <mergeCell ref="E207:F207"/>
    <mergeCell ref="I207:J207"/>
    <mergeCell ref="K207:L207"/>
    <mergeCell ref="N207:O207"/>
    <mergeCell ref="Q207:R207"/>
    <mergeCell ref="C211:D211"/>
    <mergeCell ref="E211:F211"/>
    <mergeCell ref="I211:J211"/>
    <mergeCell ref="K211:L211"/>
    <mergeCell ref="N211:O211"/>
    <mergeCell ref="Q211:R211"/>
    <mergeCell ref="C210:D210"/>
    <mergeCell ref="E210:F210"/>
    <mergeCell ref="I210:J210"/>
    <mergeCell ref="K210:L210"/>
    <mergeCell ref="N210:O210"/>
    <mergeCell ref="Q210:R210"/>
    <mergeCell ref="S212:T212"/>
    <mergeCell ref="Z212:AC212"/>
    <mergeCell ref="C213:D213"/>
    <mergeCell ref="E213:F213"/>
    <mergeCell ref="I213:J213"/>
    <mergeCell ref="K213:L213"/>
    <mergeCell ref="N213:O213"/>
    <mergeCell ref="Q213:R213"/>
    <mergeCell ref="C212:D212"/>
    <mergeCell ref="E212:F212"/>
    <mergeCell ref="I212:J212"/>
    <mergeCell ref="K212:L212"/>
    <mergeCell ref="N212:O212"/>
    <mergeCell ref="Q212:R212"/>
    <mergeCell ref="Q214:R214"/>
    <mergeCell ref="AB214:AK214"/>
    <mergeCell ref="C215:D215"/>
    <mergeCell ref="E215:F215"/>
    <mergeCell ref="G215:H215"/>
    <mergeCell ref="I215:J215"/>
    <mergeCell ref="K215:L215"/>
    <mergeCell ref="N215:O215"/>
    <mergeCell ref="Q215:R215"/>
    <mergeCell ref="S215:T215"/>
    <mergeCell ref="C214:D214"/>
    <mergeCell ref="E214:F214"/>
    <mergeCell ref="G214:H214"/>
    <mergeCell ref="I214:J214"/>
    <mergeCell ref="K214:L214"/>
    <mergeCell ref="N214:O214"/>
    <mergeCell ref="Q216:R216"/>
    <mergeCell ref="C217:D217"/>
    <mergeCell ref="E217:F217"/>
    <mergeCell ref="G217:H217"/>
    <mergeCell ref="I217:J217"/>
    <mergeCell ref="K217:L217"/>
    <mergeCell ref="N217:O217"/>
    <mergeCell ref="Q217:R217"/>
    <mergeCell ref="C216:D216"/>
    <mergeCell ref="E216:F216"/>
    <mergeCell ref="G216:H216"/>
    <mergeCell ref="I216:J216"/>
    <mergeCell ref="K216:L216"/>
    <mergeCell ref="N216:O216"/>
    <mergeCell ref="Z218:AC218"/>
    <mergeCell ref="C219:D219"/>
    <mergeCell ref="E219:F219"/>
    <mergeCell ref="G219:H219"/>
    <mergeCell ref="I219:J219"/>
    <mergeCell ref="K219:L219"/>
    <mergeCell ref="N219:O219"/>
    <mergeCell ref="Q219:R219"/>
    <mergeCell ref="C218:D218"/>
    <mergeCell ref="E218:F218"/>
    <mergeCell ref="I218:J218"/>
    <mergeCell ref="K218:L218"/>
    <mergeCell ref="N218:O218"/>
    <mergeCell ref="Q218:R218"/>
    <mergeCell ref="AF221:AH221"/>
    <mergeCell ref="C222:D222"/>
    <mergeCell ref="E222:F222"/>
    <mergeCell ref="G222:H222"/>
    <mergeCell ref="I222:J222"/>
    <mergeCell ref="K222:L222"/>
    <mergeCell ref="N222:O222"/>
    <mergeCell ref="Q222:R222"/>
    <mergeCell ref="Q220:R220"/>
    <mergeCell ref="C221:D221"/>
    <mergeCell ref="E221:F221"/>
    <mergeCell ref="G221:H221"/>
    <mergeCell ref="I221:J221"/>
    <mergeCell ref="K221:L221"/>
    <mergeCell ref="N221:O221"/>
    <mergeCell ref="Q221:R221"/>
    <mergeCell ref="C220:D220"/>
    <mergeCell ref="E220:F220"/>
    <mergeCell ref="G220:H220"/>
    <mergeCell ref="I220:J220"/>
    <mergeCell ref="K220:L220"/>
    <mergeCell ref="N220:O220"/>
    <mergeCell ref="Q223:R223"/>
    <mergeCell ref="AA228:AC228"/>
    <mergeCell ref="AD228:AF228"/>
    <mergeCell ref="D229:H229"/>
    <mergeCell ref="I229:K229"/>
    <mergeCell ref="L229:N229"/>
    <mergeCell ref="O229:Q229"/>
    <mergeCell ref="R229:T229"/>
    <mergeCell ref="U229:W229"/>
    <mergeCell ref="X229:Z229"/>
    <mergeCell ref="C223:D223"/>
    <mergeCell ref="E223:F223"/>
    <mergeCell ref="G223:H223"/>
    <mergeCell ref="I223:J223"/>
    <mergeCell ref="K223:L223"/>
    <mergeCell ref="N223:O223"/>
    <mergeCell ref="AA229:AC229"/>
    <mergeCell ref="AD229:AF229"/>
    <mergeCell ref="AI230:AK230"/>
    <mergeCell ref="D231:H231"/>
    <mergeCell ref="I231:K231"/>
    <mergeCell ref="L231:N231"/>
    <mergeCell ref="O231:Q231"/>
    <mergeCell ref="R231:T231"/>
    <mergeCell ref="U231:W231"/>
    <mergeCell ref="X231:Z231"/>
    <mergeCell ref="AA231:AC231"/>
    <mergeCell ref="AD231:AF231"/>
    <mergeCell ref="AI231:AK231"/>
    <mergeCell ref="D230:H230"/>
    <mergeCell ref="I230:K230"/>
    <mergeCell ref="L230:N230"/>
    <mergeCell ref="O230:Q230"/>
    <mergeCell ref="R230:T230"/>
    <mergeCell ref="U230:W230"/>
    <mergeCell ref="X230:Z230"/>
    <mergeCell ref="AA230:AC230"/>
    <mergeCell ref="AD230:AF230"/>
    <mergeCell ref="D232:H232"/>
    <mergeCell ref="I232:K232"/>
    <mergeCell ref="L232:N232"/>
    <mergeCell ref="O232:Q232"/>
    <mergeCell ref="R232:T232"/>
    <mergeCell ref="U232:W232"/>
    <mergeCell ref="X232:Z232"/>
    <mergeCell ref="AA232:AC232"/>
    <mergeCell ref="AD232:AF232"/>
    <mergeCell ref="D233:H233"/>
    <mergeCell ref="I233:K233"/>
    <mergeCell ref="L233:N233"/>
    <mergeCell ref="O233:Q233"/>
    <mergeCell ref="R233:T233"/>
    <mergeCell ref="U233:W233"/>
    <mergeCell ref="X233:Z233"/>
    <mergeCell ref="AA233:AC233"/>
    <mergeCell ref="AD233:AF233"/>
    <mergeCell ref="X234:Z234"/>
    <mergeCell ref="AA234:AC234"/>
    <mergeCell ref="AD234:AF234"/>
    <mergeCell ref="D235:H235"/>
    <mergeCell ref="I235:K235"/>
    <mergeCell ref="L235:N235"/>
    <mergeCell ref="O235:Q235"/>
    <mergeCell ref="R235:T235"/>
    <mergeCell ref="U235:W235"/>
    <mergeCell ref="X235:Z235"/>
    <mergeCell ref="D234:H234"/>
    <mergeCell ref="I234:K234"/>
    <mergeCell ref="L234:N234"/>
    <mergeCell ref="O234:Q234"/>
    <mergeCell ref="R234:T234"/>
    <mergeCell ref="U234:W234"/>
    <mergeCell ref="AA235:AC235"/>
    <mergeCell ref="AD235:AF235"/>
    <mergeCell ref="D236:H236"/>
    <mergeCell ref="I236:K236"/>
    <mergeCell ref="L236:N236"/>
    <mergeCell ref="O236:Q236"/>
    <mergeCell ref="R236:T236"/>
    <mergeCell ref="U236:W236"/>
    <mergeCell ref="X236:Z236"/>
    <mergeCell ref="AA236:AC236"/>
    <mergeCell ref="AD236:AF236"/>
    <mergeCell ref="D237:H237"/>
    <mergeCell ref="I237:K237"/>
    <mergeCell ref="L237:N237"/>
    <mergeCell ref="O237:Q237"/>
    <mergeCell ref="R237:T237"/>
    <mergeCell ref="U237:W237"/>
    <mergeCell ref="X237:Z237"/>
    <mergeCell ref="AA237:AC237"/>
    <mergeCell ref="AD237:AF237"/>
    <mergeCell ref="D240:F240"/>
    <mergeCell ref="D241:F241"/>
    <mergeCell ref="M241:O241"/>
    <mergeCell ref="AD241:AF241"/>
    <mergeCell ref="O246:Z246"/>
    <mergeCell ref="O247:P247"/>
    <mergeCell ref="Q247:Z247"/>
    <mergeCell ref="X238:Z238"/>
    <mergeCell ref="AA238:AC238"/>
    <mergeCell ref="AD238:AF238"/>
    <mergeCell ref="S239:U239"/>
    <mergeCell ref="X239:Z239"/>
    <mergeCell ref="AD239:AF239"/>
    <mergeCell ref="D238:H238"/>
    <mergeCell ref="I238:K238"/>
    <mergeCell ref="L238:N238"/>
    <mergeCell ref="O238:Q238"/>
    <mergeCell ref="R238:T238"/>
    <mergeCell ref="U238:W238"/>
    <mergeCell ref="AF251:AJ251"/>
    <mergeCell ref="O252:P252"/>
    <mergeCell ref="O254:Z254"/>
    <mergeCell ref="O255:P255"/>
    <mergeCell ref="Q255:Z255"/>
    <mergeCell ref="O248:P248"/>
    <mergeCell ref="Q248:Z248"/>
    <mergeCell ref="AA248:AB248"/>
    <mergeCell ref="O249:P249"/>
    <mergeCell ref="Q249:Z249"/>
    <mergeCell ref="O250:P250"/>
    <mergeCell ref="Q250:Z250"/>
    <mergeCell ref="O256:P256"/>
    <mergeCell ref="Q256:Z256"/>
    <mergeCell ref="AA256:AB256"/>
    <mergeCell ref="O257:P257"/>
    <mergeCell ref="Q257:Z257"/>
    <mergeCell ref="O258:P258"/>
    <mergeCell ref="Q258:Z258"/>
    <mergeCell ref="O251:P251"/>
    <mergeCell ref="Q251:Z251"/>
    <mergeCell ref="O259:P259"/>
    <mergeCell ref="Q259:Z259"/>
    <mergeCell ref="O260:P260"/>
    <mergeCell ref="AA265:AC265"/>
    <mergeCell ref="AD265:AF265"/>
    <mergeCell ref="D266:H266"/>
    <mergeCell ref="I266:K266"/>
    <mergeCell ref="L266:N266"/>
    <mergeCell ref="O266:Q266"/>
    <mergeCell ref="R266:T266"/>
    <mergeCell ref="U266:W266"/>
    <mergeCell ref="X266:Z266"/>
    <mergeCell ref="AA266:AC266"/>
    <mergeCell ref="AD266:AF266"/>
    <mergeCell ref="AI267:AM267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D267:H267"/>
    <mergeCell ref="I267:K267"/>
    <mergeCell ref="L267:N267"/>
    <mergeCell ref="O267:Q267"/>
    <mergeCell ref="R267:T267"/>
    <mergeCell ref="U267:W267"/>
    <mergeCell ref="X267:Z267"/>
    <mergeCell ref="AA267:AC267"/>
    <mergeCell ref="AD267:AF267"/>
    <mergeCell ref="D269:H269"/>
    <mergeCell ref="I269:K269"/>
    <mergeCell ref="L269:N269"/>
    <mergeCell ref="O269:Q269"/>
    <mergeCell ref="R269:T269"/>
    <mergeCell ref="U269:W269"/>
    <mergeCell ref="X269:Z269"/>
    <mergeCell ref="AA269:AC269"/>
    <mergeCell ref="AD269:AF269"/>
    <mergeCell ref="D270:H270"/>
    <mergeCell ref="I270:K270"/>
    <mergeCell ref="L270:N270"/>
    <mergeCell ref="O270:Q270"/>
    <mergeCell ref="R270:T270"/>
    <mergeCell ref="U270:W270"/>
    <mergeCell ref="X270:Z270"/>
    <mergeCell ref="AA270:AC270"/>
    <mergeCell ref="AD270:AF270"/>
    <mergeCell ref="D271:H271"/>
    <mergeCell ref="I271:K271"/>
    <mergeCell ref="L271:N271"/>
    <mergeCell ref="O271:Q271"/>
    <mergeCell ref="R271:T271"/>
    <mergeCell ref="U271:W271"/>
    <mergeCell ref="X271:Z271"/>
    <mergeCell ref="AA271:AC271"/>
    <mergeCell ref="AD271:AF271"/>
    <mergeCell ref="D273:H273"/>
    <mergeCell ref="I273:K273"/>
    <mergeCell ref="L273:N273"/>
    <mergeCell ref="O273:Q273"/>
    <mergeCell ref="R273:T273"/>
    <mergeCell ref="U273:W273"/>
    <mergeCell ref="X273:Z273"/>
    <mergeCell ref="D272:H272"/>
    <mergeCell ref="I272:K272"/>
    <mergeCell ref="L272:N272"/>
    <mergeCell ref="O272:Q272"/>
    <mergeCell ref="R272:T272"/>
    <mergeCell ref="U272:W272"/>
    <mergeCell ref="AA273:AC273"/>
    <mergeCell ref="AD273:AF273"/>
    <mergeCell ref="S274:U274"/>
    <mergeCell ref="X274:Z274"/>
    <mergeCell ref="AD274:AF274"/>
    <mergeCell ref="L276:N276"/>
    <mergeCell ref="AD276:AF276"/>
    <mergeCell ref="X272:Z272"/>
    <mergeCell ref="AA272:AC272"/>
    <mergeCell ref="AD272:AF272"/>
  </mergeCells>
  <conditionalFormatting sqref="AP202:AP205 AH62 AP62 AP33:AP50 AH33:AH50">
    <cfRule type="cellIs" dxfId="80" priority="17" stopIfTrue="1" operator="lessThanOrEqual">
      <formula>0</formula>
    </cfRule>
  </conditionalFormatting>
  <conditionalFormatting sqref="L290:L291 K261:L261 K290:K293 L293 K161:L162 K278:L281 K182:L182 K201:L243 L87:L144 K84:K144 K79:K82 K83:L83 K77 K78:L78">
    <cfRule type="cellIs" dxfId="79" priority="16" stopIfTrue="1" operator="greaterThanOrEqual">
      <formula>$K$74</formula>
    </cfRule>
  </conditionalFormatting>
  <conditionalFormatting sqref="AR50:AT50 AR48:AT48 AP58:AT59 AR62:AS62 AS46:AS47 AS39 AS41 AR33:AS33 AP11:AT27 AT5 AR34:AR47">
    <cfRule type="cellIs" dxfId="78" priority="15" stopIfTrue="1" operator="lessThan">
      <formula>0</formula>
    </cfRule>
  </conditionalFormatting>
  <conditionalFormatting sqref="P202:P204 AJ58:AJ59 F62 Z62 F58:F60 P62:P68 P58:P60 Z58:Z60 F11:F26 Z11:Z27 P11:P27 AJ11:AJ27 F33:F50 P33:P55 Z33:Z50">
    <cfRule type="cellIs" dxfId="77" priority="14" stopIfTrue="1" operator="lessThanOrEqual">
      <formula>0</formula>
    </cfRule>
  </conditionalFormatting>
  <conditionalFormatting sqref="S202:S204 AM58:AM59 AC62 I62 AC58:AC60 S62:S68 S58:S60 I58:I60 AM11:AM27 AC11:AC27 S11:S27 I11:I26 I33:I50 S33:S55 AC33:AC50">
    <cfRule type="cellIs" dxfId="76" priority="13" stopIfTrue="1" operator="lessThanOrEqual">
      <formula>0</formula>
    </cfRule>
  </conditionalFormatting>
  <conditionalFormatting sqref="U202:V204 K58:L60 AO58:AO59 AE58:AE59 K62:L62 AE62:AF62 U62:V68 AE60:AF60 U58:V60 K48:L50 AE48:AF50 U48:V56 AF45:AF46 L45:L46 V45:V46 U43:V43 AE43:AF43 V39:V42 L40:L42 AF40:AF42 U33:V33 K26:L27 AE26:AF27 K33:L33 U26:V27 AE33:AF33 L23:L24 V23:V24 K12:K15 U44:U47 AE44:AE47 K16:L19 L20 V16:V20 K20:K25 K11:L11 U11:V11 AO11:AO27 AE11:AE25 U12:U25 K34:K47 U34:U42 AE34:AE42">
    <cfRule type="cellIs" dxfId="75" priority="12" stopIfTrue="1" operator="lessThanOrEqual">
      <formula>0</formula>
    </cfRule>
  </conditionalFormatting>
  <conditionalFormatting sqref="W212:X221 Z202:AA204 W223:X223 Z63:AA63 AA68:AB70 AA73:AB74 Z51:AA55 W75:X76 W78:X88">
    <cfRule type="cellIs" dxfId="74" priority="11" stopIfTrue="1" operator="lessThan">
      <formula>0</formula>
    </cfRule>
  </conditionalFormatting>
  <conditionalFormatting sqref="X202:X204 U223 U212:U221 X63:X68 X51 X53:X55 U75:U76 U78:U88">
    <cfRule type="cellIs" dxfId="73" priority="10" stopIfTrue="1" operator="greaterThan">
      <formula>48</formula>
    </cfRule>
  </conditionalFormatting>
  <conditionalFormatting sqref="C278:C282 C290:D293 C161:D161 D278:D289 C89:D144 C243:D243 C224:D224">
    <cfRule type="cellIs" dxfId="72" priority="9" stopIfTrue="1" operator="lessThan">
      <formula>$C$73</formula>
    </cfRule>
  </conditionalFormatting>
  <conditionalFormatting sqref="AI62:AO62 AI33:AO50">
    <cfRule type="cellIs" dxfId="71" priority="7" stopIfTrue="1" operator="equal">
      <formula>0</formula>
    </cfRule>
    <cfRule type="cellIs" dxfId="70" priority="8" stopIfTrue="1" operator="lessThan">
      <formula>0</formula>
    </cfRule>
  </conditionalFormatting>
  <conditionalFormatting sqref="AT62 AT33:AT47">
    <cfRule type="cellIs" dxfId="69" priority="5" stopIfTrue="1" operator="greaterThan">
      <formula>0</formula>
    </cfRule>
    <cfRule type="cellIs" dxfId="68" priority="6" stopIfTrue="1" operator="lessThan">
      <formula>1</formula>
    </cfRule>
  </conditionalFormatting>
  <conditionalFormatting sqref="K209:L219 K222:L222 K73:L87">
    <cfRule type="cellIs" dxfId="67" priority="4" stopIfTrue="1" operator="greaterThanOrEqual">
      <formula>$K$71</formula>
    </cfRule>
  </conditionalFormatting>
  <conditionalFormatting sqref="AF58:AF59 L12:L25 V12:V25 AF11:AF25 L33:L47 V33:V47 AF33:AF47">
    <cfRule type="cellIs" dxfId="66" priority="2" stopIfTrue="1" operator="equal">
      <formula>0</formula>
    </cfRule>
    <cfRule type="cellIs" dxfId="65" priority="3" stopIfTrue="1" operator="lessThan">
      <formula>0</formula>
    </cfRule>
  </conditionalFormatting>
  <hyperlinks>
    <hyperlink ref="AB214" r:id="rId1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F14 AK44:AQ44 AP20:BA23 AK36:AQ36 AK45:AQ46 AK38:AQ43 AP19:AS19 AU19:BA19 BB19:BB24 AQ24:BA24" formula="1"/>
  </ignoredErrors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H282"/>
  <sheetViews>
    <sheetView zoomScale="90" zoomScaleNormal="90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AG20" sqref="AG20"/>
    </sheetView>
  </sheetViews>
  <sheetFormatPr baseColWidth="10" defaultRowHeight="15"/>
  <cols>
    <col min="1" max="1" width="2.28515625" style="1" customWidth="1"/>
    <col min="2" max="2" width="13.7109375" style="7" customWidth="1"/>
    <col min="3" max="4" width="4.28515625" style="3" customWidth="1"/>
    <col min="5" max="5" width="4.28515625" style="4" customWidth="1"/>
    <col min="6" max="6" width="4.28515625" style="5" customWidth="1"/>
    <col min="7" max="8" width="4.28515625" style="3" customWidth="1"/>
    <col min="9" max="9" width="4.28515625" style="5" customWidth="1"/>
    <col min="10" max="10" width="4.28515625" style="3" customWidth="1"/>
    <col min="11" max="12" width="4.28515625" style="6" customWidth="1"/>
    <col min="13" max="26" width="4.28515625" style="3" customWidth="1"/>
    <col min="27" max="39" width="4.28515625" style="7" customWidth="1"/>
    <col min="40" max="40" width="4.7109375" style="7" customWidth="1"/>
    <col min="41" max="41" width="4.28515625" style="7" customWidth="1"/>
    <col min="42" max="42" width="4.7109375" style="7" customWidth="1"/>
    <col min="43" max="43" width="0.5703125" style="7" customWidth="1"/>
    <col min="44" max="45" width="4.140625" style="7" customWidth="1"/>
    <col min="46" max="46" width="7.7109375" style="7" customWidth="1"/>
    <col min="47" max="47" width="0.85546875" style="7" customWidth="1"/>
    <col min="48" max="54" width="2.7109375" style="7" customWidth="1"/>
    <col min="55" max="55" width="0.85546875" style="7" customWidth="1"/>
    <col min="56" max="56" width="8.42578125" style="7" bestFit="1" customWidth="1"/>
    <col min="57" max="57" width="10.28515625" style="7" customWidth="1"/>
    <col min="58" max="59" width="11.42578125" style="7"/>
    <col min="60" max="62" width="12.7109375" style="7" customWidth="1"/>
    <col min="63" max="16384" width="11.42578125" style="7"/>
  </cols>
  <sheetData>
    <row r="1" spans="1:58" ht="6" customHeight="1">
      <c r="B1" s="2">
        <f>+W27</f>
        <v>43852</v>
      </c>
      <c r="C1" s="3" t="s">
        <v>0</v>
      </c>
      <c r="AN1" s="8"/>
      <c r="AO1" s="8"/>
      <c r="AR1" s="1198">
        <f>+AR48+AT48</f>
        <v>159</v>
      </c>
      <c r="AS1" s="1199"/>
      <c r="AT1" s="1199"/>
      <c r="AU1" s="1200"/>
    </row>
    <row r="2" spans="1:58" ht="6" customHeight="1">
      <c r="AJ2" s="8"/>
      <c r="AK2" s="8"/>
      <c r="AL2" s="8"/>
      <c r="AM2" s="8"/>
      <c r="AN2" s="8"/>
      <c r="AO2" s="8"/>
      <c r="AR2" s="1201"/>
      <c r="AS2" s="1202"/>
      <c r="AT2" s="1202"/>
      <c r="AU2" s="1203"/>
    </row>
    <row r="3" spans="1:58" s="10" customFormat="1" ht="20.100000000000001" customHeight="1">
      <c r="A3" s="1"/>
      <c r="B3" s="740">
        <f>+B1+1</f>
        <v>43853</v>
      </c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740"/>
      <c r="AB3" s="740"/>
      <c r="AC3" s="740"/>
      <c r="AD3" s="740"/>
      <c r="AE3" s="740"/>
      <c r="AF3" s="740"/>
      <c r="AG3" s="740"/>
      <c r="AH3" s="740"/>
      <c r="AI3" s="740"/>
      <c r="AJ3" s="740"/>
      <c r="AK3" s="740"/>
      <c r="AL3" s="740"/>
      <c r="AM3" s="740"/>
      <c r="AN3" s="740"/>
      <c r="AO3" s="740"/>
      <c r="AP3" s="9"/>
      <c r="AT3" s="11"/>
    </row>
    <row r="4" spans="1:58" ht="3" customHeight="1" thickBot="1">
      <c r="B4" s="12"/>
      <c r="C4" s="3">
        <v>0</v>
      </c>
    </row>
    <row r="5" spans="1:58" ht="9.9499999999999993" customHeight="1">
      <c r="B5" s="741" t="s">
        <v>1</v>
      </c>
      <c r="C5" s="744">
        <v>43846</v>
      </c>
      <c r="D5" s="744"/>
      <c r="E5" s="744"/>
      <c r="F5" s="744"/>
      <c r="G5" s="744"/>
      <c r="H5" s="744"/>
      <c r="I5" s="744"/>
      <c r="J5" s="744"/>
      <c r="K5" s="746"/>
      <c r="L5" s="747"/>
      <c r="M5" s="744">
        <f>1+C5</f>
        <v>43847</v>
      </c>
      <c r="N5" s="744"/>
      <c r="O5" s="744"/>
      <c r="P5" s="744"/>
      <c r="Q5" s="744"/>
      <c r="R5" s="744"/>
      <c r="S5" s="744"/>
      <c r="T5" s="744"/>
      <c r="U5" s="746"/>
      <c r="V5" s="747"/>
      <c r="W5" s="750">
        <f>1+M5</f>
        <v>43848</v>
      </c>
      <c r="X5" s="750"/>
      <c r="Y5" s="750"/>
      <c r="Z5" s="750"/>
      <c r="AA5" s="750"/>
      <c r="AB5" s="750"/>
      <c r="AC5" s="750"/>
      <c r="AD5" s="750"/>
      <c r="AE5" s="752"/>
      <c r="AF5" s="753"/>
      <c r="AG5" s="756">
        <f>1+W5</f>
        <v>43849</v>
      </c>
      <c r="AH5" s="757"/>
      <c r="AI5" s="757"/>
      <c r="AJ5" s="757"/>
      <c r="AK5" s="757"/>
      <c r="AL5" s="757"/>
      <c r="AM5" s="757"/>
      <c r="AN5" s="757"/>
      <c r="AO5" s="791" t="s">
        <v>2</v>
      </c>
      <c r="AP5" s="793" t="s">
        <v>3</v>
      </c>
      <c r="AQ5" s="794"/>
      <c r="AR5" s="794"/>
      <c r="AS5" s="795"/>
      <c r="AT5" s="802" t="s">
        <v>4</v>
      </c>
      <c r="AV5" s="779" t="s">
        <v>5</v>
      </c>
      <c r="AW5" s="779"/>
      <c r="AX5" s="779"/>
      <c r="AY5" s="779"/>
      <c r="AZ5" s="779"/>
      <c r="BA5" s="779"/>
      <c r="BB5" s="779"/>
      <c r="BC5" s="13"/>
      <c r="BD5" s="804" t="s">
        <v>6</v>
      </c>
      <c r="BE5" s="805" t="s">
        <v>7</v>
      </c>
      <c r="BF5" s="776" t="s">
        <v>8</v>
      </c>
    </row>
    <row r="6" spans="1:58" ht="9.9499999999999993" customHeight="1">
      <c r="B6" s="742"/>
      <c r="C6" s="745"/>
      <c r="D6" s="745"/>
      <c r="E6" s="745"/>
      <c r="F6" s="745"/>
      <c r="G6" s="745"/>
      <c r="H6" s="745"/>
      <c r="I6" s="745"/>
      <c r="J6" s="745"/>
      <c r="K6" s="748"/>
      <c r="L6" s="749"/>
      <c r="M6" s="745"/>
      <c r="N6" s="745"/>
      <c r="O6" s="745"/>
      <c r="P6" s="745"/>
      <c r="Q6" s="745"/>
      <c r="R6" s="745"/>
      <c r="S6" s="745"/>
      <c r="T6" s="745"/>
      <c r="U6" s="748"/>
      <c r="V6" s="749"/>
      <c r="W6" s="751"/>
      <c r="X6" s="751"/>
      <c r="Y6" s="751"/>
      <c r="Z6" s="751"/>
      <c r="AA6" s="751"/>
      <c r="AB6" s="751"/>
      <c r="AC6" s="751"/>
      <c r="AD6" s="751"/>
      <c r="AE6" s="754"/>
      <c r="AF6" s="755"/>
      <c r="AG6" s="758"/>
      <c r="AH6" s="759"/>
      <c r="AI6" s="759"/>
      <c r="AJ6" s="759"/>
      <c r="AK6" s="759"/>
      <c r="AL6" s="759"/>
      <c r="AM6" s="759"/>
      <c r="AN6" s="759"/>
      <c r="AO6" s="792"/>
      <c r="AP6" s="796"/>
      <c r="AQ6" s="797"/>
      <c r="AR6" s="797"/>
      <c r="AS6" s="798"/>
      <c r="AT6" s="803"/>
      <c r="AV6" s="779" t="s">
        <v>9</v>
      </c>
      <c r="AW6" s="779"/>
      <c r="AX6" s="779"/>
      <c r="AY6" s="779"/>
      <c r="AZ6" s="779"/>
      <c r="BA6" s="779"/>
      <c r="BB6" s="779"/>
      <c r="BC6" s="13"/>
      <c r="BD6" s="804"/>
      <c r="BE6" s="805"/>
      <c r="BF6" s="777"/>
    </row>
    <row r="7" spans="1:58" ht="15.2" customHeight="1">
      <c r="B7" s="742"/>
      <c r="C7" s="780" t="s">
        <v>10</v>
      </c>
      <c r="D7" s="781"/>
      <c r="E7" s="766" t="s">
        <v>11</v>
      </c>
      <c r="F7" s="769" t="s">
        <v>12</v>
      </c>
      <c r="G7" s="772" t="s">
        <v>10</v>
      </c>
      <c r="H7" s="761"/>
      <c r="I7" s="769" t="s">
        <v>12</v>
      </c>
      <c r="J7" s="773" t="s">
        <v>13</v>
      </c>
      <c r="K7" s="786" t="s">
        <v>14</v>
      </c>
      <c r="L7" s="789" t="s">
        <v>15</v>
      </c>
      <c r="M7" s="760" t="s">
        <v>10</v>
      </c>
      <c r="N7" s="761"/>
      <c r="O7" s="766" t="s">
        <v>11</v>
      </c>
      <c r="P7" s="769" t="s">
        <v>12</v>
      </c>
      <c r="Q7" s="772" t="s">
        <v>10</v>
      </c>
      <c r="R7" s="761"/>
      <c r="S7" s="769" t="s">
        <v>12</v>
      </c>
      <c r="T7" s="773" t="s">
        <v>13</v>
      </c>
      <c r="U7" s="786" t="s">
        <v>14</v>
      </c>
      <c r="V7" s="789" t="s">
        <v>15</v>
      </c>
      <c r="W7" s="814" t="s">
        <v>10</v>
      </c>
      <c r="X7" s="810"/>
      <c r="Y7" s="766" t="s">
        <v>11</v>
      </c>
      <c r="Z7" s="769" t="s">
        <v>12</v>
      </c>
      <c r="AA7" s="809" t="s">
        <v>10</v>
      </c>
      <c r="AB7" s="810"/>
      <c r="AC7" s="769" t="s">
        <v>12</v>
      </c>
      <c r="AD7" s="773" t="s">
        <v>13</v>
      </c>
      <c r="AE7" s="807" t="s">
        <v>14</v>
      </c>
      <c r="AF7" s="789" t="s">
        <v>15</v>
      </c>
      <c r="AG7" s="809" t="s">
        <v>10</v>
      </c>
      <c r="AH7" s="810"/>
      <c r="AI7" s="766" t="s">
        <v>11</v>
      </c>
      <c r="AJ7" s="825" t="s">
        <v>12</v>
      </c>
      <c r="AK7" s="809" t="s">
        <v>10</v>
      </c>
      <c r="AL7" s="810"/>
      <c r="AM7" s="769" t="s">
        <v>12</v>
      </c>
      <c r="AN7" s="828" t="s">
        <v>16</v>
      </c>
      <c r="AO7" s="830" t="s">
        <v>14</v>
      </c>
      <c r="AP7" s="796"/>
      <c r="AQ7" s="797"/>
      <c r="AR7" s="797"/>
      <c r="AS7" s="798"/>
      <c r="AT7" s="803"/>
      <c r="AV7" s="806">
        <f>+C5</f>
        <v>43846</v>
      </c>
      <c r="AW7" s="806">
        <f>+M5</f>
        <v>43847</v>
      </c>
      <c r="AX7" s="806">
        <f>+W5</f>
        <v>43848</v>
      </c>
      <c r="AY7" s="832">
        <f>+AG5</f>
        <v>43849</v>
      </c>
      <c r="AZ7" s="806">
        <f>+C27</f>
        <v>43850</v>
      </c>
      <c r="BA7" s="806">
        <f>+M27</f>
        <v>43851</v>
      </c>
      <c r="BB7" s="806">
        <f>+W27</f>
        <v>43852</v>
      </c>
      <c r="BC7" s="14"/>
      <c r="BD7" s="804"/>
      <c r="BE7" s="805"/>
      <c r="BF7" s="777"/>
    </row>
    <row r="8" spans="1:58" ht="15.2" customHeight="1">
      <c r="B8" s="742"/>
      <c r="C8" s="782"/>
      <c r="D8" s="783"/>
      <c r="E8" s="767"/>
      <c r="F8" s="770"/>
      <c r="G8" s="763"/>
      <c r="H8" s="763"/>
      <c r="I8" s="770"/>
      <c r="J8" s="774"/>
      <c r="K8" s="787"/>
      <c r="L8" s="789"/>
      <c r="M8" s="762"/>
      <c r="N8" s="763"/>
      <c r="O8" s="767"/>
      <c r="P8" s="770"/>
      <c r="Q8" s="763"/>
      <c r="R8" s="763"/>
      <c r="S8" s="770"/>
      <c r="T8" s="774"/>
      <c r="U8" s="787"/>
      <c r="V8" s="789"/>
      <c r="W8" s="815"/>
      <c r="X8" s="810"/>
      <c r="Y8" s="767"/>
      <c r="Z8" s="770"/>
      <c r="AA8" s="811"/>
      <c r="AB8" s="810"/>
      <c r="AC8" s="770"/>
      <c r="AD8" s="774"/>
      <c r="AE8" s="807"/>
      <c r="AF8" s="789"/>
      <c r="AG8" s="811"/>
      <c r="AH8" s="810"/>
      <c r="AI8" s="767"/>
      <c r="AJ8" s="826"/>
      <c r="AK8" s="811"/>
      <c r="AL8" s="810"/>
      <c r="AM8" s="770"/>
      <c r="AN8" s="828"/>
      <c r="AO8" s="830"/>
      <c r="AP8" s="796"/>
      <c r="AQ8" s="797"/>
      <c r="AR8" s="797"/>
      <c r="AS8" s="798"/>
      <c r="AT8" s="803"/>
      <c r="AV8" s="806"/>
      <c r="AW8" s="806"/>
      <c r="AX8" s="806"/>
      <c r="AY8" s="832"/>
      <c r="AZ8" s="806"/>
      <c r="BA8" s="806"/>
      <c r="BB8" s="806"/>
      <c r="BC8" s="14"/>
      <c r="BD8" s="804"/>
      <c r="BE8" s="805"/>
      <c r="BF8" s="777"/>
    </row>
    <row r="9" spans="1:58" ht="15.2" customHeight="1">
      <c r="B9" s="742"/>
      <c r="C9" s="782"/>
      <c r="D9" s="783"/>
      <c r="E9" s="767"/>
      <c r="F9" s="770"/>
      <c r="G9" s="763"/>
      <c r="H9" s="763"/>
      <c r="I9" s="770"/>
      <c r="J9" s="774"/>
      <c r="K9" s="787"/>
      <c r="L9" s="789"/>
      <c r="M9" s="762"/>
      <c r="N9" s="763"/>
      <c r="O9" s="767"/>
      <c r="P9" s="770"/>
      <c r="Q9" s="763"/>
      <c r="R9" s="763"/>
      <c r="S9" s="770"/>
      <c r="T9" s="774"/>
      <c r="U9" s="787"/>
      <c r="V9" s="789"/>
      <c r="W9" s="815"/>
      <c r="X9" s="810"/>
      <c r="Y9" s="767"/>
      <c r="Z9" s="770"/>
      <c r="AA9" s="811"/>
      <c r="AB9" s="810"/>
      <c r="AC9" s="770"/>
      <c r="AD9" s="774"/>
      <c r="AE9" s="807"/>
      <c r="AF9" s="789"/>
      <c r="AG9" s="811"/>
      <c r="AH9" s="810"/>
      <c r="AI9" s="767"/>
      <c r="AJ9" s="826"/>
      <c r="AK9" s="811"/>
      <c r="AL9" s="810"/>
      <c r="AM9" s="770"/>
      <c r="AN9" s="828"/>
      <c r="AO9" s="830"/>
      <c r="AP9" s="796"/>
      <c r="AQ9" s="797"/>
      <c r="AR9" s="797"/>
      <c r="AS9" s="798"/>
      <c r="AT9" s="803"/>
      <c r="AV9" s="806"/>
      <c r="AW9" s="806"/>
      <c r="AX9" s="806"/>
      <c r="AY9" s="832"/>
      <c r="AZ9" s="806"/>
      <c r="BA9" s="806"/>
      <c r="BB9" s="806"/>
      <c r="BC9" s="14"/>
      <c r="BD9" s="804"/>
      <c r="BE9" s="805"/>
      <c r="BF9" s="777"/>
    </row>
    <row r="10" spans="1:58" ht="15.2" customHeight="1" thickBot="1">
      <c r="B10" s="743"/>
      <c r="C10" s="784"/>
      <c r="D10" s="785"/>
      <c r="E10" s="768"/>
      <c r="F10" s="771"/>
      <c r="G10" s="765"/>
      <c r="H10" s="765"/>
      <c r="I10" s="771"/>
      <c r="J10" s="775"/>
      <c r="K10" s="788"/>
      <c r="L10" s="790"/>
      <c r="M10" s="764"/>
      <c r="N10" s="765"/>
      <c r="O10" s="768"/>
      <c r="P10" s="771"/>
      <c r="Q10" s="765"/>
      <c r="R10" s="765"/>
      <c r="S10" s="771"/>
      <c r="T10" s="775"/>
      <c r="U10" s="788"/>
      <c r="V10" s="790"/>
      <c r="W10" s="816"/>
      <c r="X10" s="813"/>
      <c r="Y10" s="768"/>
      <c r="Z10" s="771"/>
      <c r="AA10" s="812"/>
      <c r="AB10" s="813"/>
      <c r="AC10" s="771"/>
      <c r="AD10" s="775"/>
      <c r="AE10" s="808"/>
      <c r="AF10" s="790"/>
      <c r="AG10" s="812"/>
      <c r="AH10" s="813"/>
      <c r="AI10" s="768"/>
      <c r="AJ10" s="827"/>
      <c r="AK10" s="812"/>
      <c r="AL10" s="813"/>
      <c r="AM10" s="771"/>
      <c r="AN10" s="829"/>
      <c r="AO10" s="831"/>
      <c r="AP10" s="799"/>
      <c r="AQ10" s="800"/>
      <c r="AR10" s="800"/>
      <c r="AS10" s="801"/>
      <c r="AT10" s="15">
        <v>4</v>
      </c>
      <c r="AV10" s="806"/>
      <c r="AW10" s="806"/>
      <c r="AX10" s="806"/>
      <c r="AY10" s="832"/>
      <c r="AZ10" s="806"/>
      <c r="BA10" s="806"/>
      <c r="BB10" s="806"/>
      <c r="BC10" s="14"/>
      <c r="BD10" s="804"/>
      <c r="BE10" s="805"/>
      <c r="BF10" s="778"/>
    </row>
    <row r="11" spans="1:58" ht="14.1" customHeight="1">
      <c r="A11" s="1">
        <v>1</v>
      </c>
      <c r="B11" s="16" t="str">
        <f>+B73</f>
        <v>Eduardo Segura D.</v>
      </c>
      <c r="C11" s="17">
        <v>7</v>
      </c>
      <c r="D11" s="18">
        <v>16</v>
      </c>
      <c r="E11" s="19">
        <v>1</v>
      </c>
      <c r="F11" s="20">
        <f t="shared" ref="F11:F20" si="0">+D11-C11-E11</f>
        <v>8</v>
      </c>
      <c r="G11" s="21"/>
      <c r="H11" s="22"/>
      <c r="I11" s="20">
        <f t="shared" ref="I11:I20" si="1">+H11-G11</f>
        <v>0</v>
      </c>
      <c r="J11" s="23"/>
      <c r="K11" s="24">
        <f t="shared" ref="K11:K20" si="2">+I11+F11-L11</f>
        <v>8</v>
      </c>
      <c r="L11" s="25">
        <f t="shared" ref="L11:L25" si="3">IF(C11&gt;0,(F11+I11)+IF(K$5&gt;0,F11,-8),0)+IF(U$5&gt;0,I11,0)</f>
        <v>0</v>
      </c>
      <c r="M11" s="26">
        <v>7</v>
      </c>
      <c r="N11" s="21">
        <v>14</v>
      </c>
      <c r="O11" s="23">
        <v>1</v>
      </c>
      <c r="P11" s="20">
        <f t="shared" ref="P11:P20" si="4">+N11-M11-O11</f>
        <v>6</v>
      </c>
      <c r="Q11" s="22"/>
      <c r="R11" s="544">
        <v>2</v>
      </c>
      <c r="S11" s="20">
        <f t="shared" ref="S11:S20" si="5">+R11-Q11</f>
        <v>2</v>
      </c>
      <c r="T11" s="23"/>
      <c r="U11" s="24">
        <f t="shared" ref="U11:U20" si="6">+S11+P11-V11</f>
        <v>8</v>
      </c>
      <c r="V11" s="25">
        <f t="shared" ref="V11:V20" si="7">IF(M11&gt;0,(P11+S11)+IF(U$5&gt;0,P11,-8),0)+IF(AE$5&gt;0,S11,0)</f>
        <v>0</v>
      </c>
      <c r="W11" s="26">
        <v>7</v>
      </c>
      <c r="X11" s="22">
        <v>16</v>
      </c>
      <c r="Y11" s="27">
        <v>1</v>
      </c>
      <c r="Z11" s="20">
        <f t="shared" ref="Z11:Z20" si="8">+X11-W11-Y11</f>
        <v>8</v>
      </c>
      <c r="AA11" s="22"/>
      <c r="AB11" s="28"/>
      <c r="AC11" s="20">
        <f t="shared" ref="AC11:AC20" si="9">+AB11-AA11</f>
        <v>0</v>
      </c>
      <c r="AD11" s="23"/>
      <c r="AE11" s="24">
        <f t="shared" ref="AE11:AE25" si="10">+AC11+Z11-IF(AE$5&gt;0,AF11/2,AF11)</f>
        <v>8</v>
      </c>
      <c r="AF11" s="25">
        <f>IF(W11&gt;0,IF(AE$5&gt;0,(Z11+AC11)*2,(Z11+AC11-8)),0)*IF(Z11&lt;9,IF(AE$5&gt;0,1,2),1)+IF(Z11&gt;8,AC11,0)</f>
        <v>0</v>
      </c>
      <c r="AG11" s="22"/>
      <c r="AH11" s="22"/>
      <c r="AI11" s="27"/>
      <c r="AJ11" s="29">
        <f t="shared" ref="AJ11:AJ25" si="11">+AH11-AG11-AI11</f>
        <v>0</v>
      </c>
      <c r="AK11" s="21"/>
      <c r="AL11" s="21"/>
      <c r="AM11" s="20">
        <f t="shared" ref="AM11:AM20" si="12">+AL11-AK11</f>
        <v>0</v>
      </c>
      <c r="AN11" s="30"/>
      <c r="AO11" s="31">
        <f t="shared" ref="AO11:AO20" si="13">(AJ11*2+AM11)</f>
        <v>0</v>
      </c>
      <c r="AP11" s="817">
        <f t="shared" ref="AP11:AP17" si="14">+L11+V11+AF11+AO11+L33+V33+AF33-AN11</f>
        <v>-1</v>
      </c>
      <c r="AQ11" s="818"/>
      <c r="AR11" s="819">
        <f t="shared" ref="AR11:AR20" si="15">ROUND(BD11*AP11,1)</f>
        <v>-4.5</v>
      </c>
      <c r="AS11" s="820"/>
      <c r="AT11" s="32">
        <f t="shared" ref="AT11:AT17" si="16">IF(AT33&gt;0,AT33*$AT$10,0)</f>
        <v>24</v>
      </c>
      <c r="AV11" s="33">
        <f t="shared" ref="AV11:AV20" si="17">+L11</f>
        <v>0</v>
      </c>
      <c r="AW11" s="33">
        <f t="shared" ref="AW11:AW20" si="18">+V11</f>
        <v>0</v>
      </c>
      <c r="AX11" s="33">
        <f t="shared" ref="AX11:AX20" si="19">+AF11</f>
        <v>0</v>
      </c>
      <c r="AY11" s="34">
        <f t="shared" ref="AY11:AY20" si="20">+AO11</f>
        <v>0</v>
      </c>
      <c r="AZ11" s="33">
        <f t="shared" ref="AZ11:AZ17" si="21">+L33</f>
        <v>0</v>
      </c>
      <c r="BA11" s="33">
        <f t="shared" ref="BA11:BA17" si="22">+V33</f>
        <v>0</v>
      </c>
      <c r="BB11" s="33">
        <f t="shared" ref="BB11:BB17" si="23">+AF33</f>
        <v>-1</v>
      </c>
      <c r="BC11" s="35"/>
      <c r="BD11" s="36">
        <f>+I73</f>
        <v>4.5464285714285708</v>
      </c>
      <c r="BE11" s="37">
        <f t="shared" ref="BE11:BE20" si="24">+BD11*AP11</f>
        <v>-4.5464285714285708</v>
      </c>
      <c r="BF11" s="38">
        <f t="shared" ref="BF11:BF20" si="25">+BD11*AY11</f>
        <v>0</v>
      </c>
    </row>
    <row r="12" spans="1:58" ht="14.1" customHeight="1">
      <c r="A12" s="1">
        <v>2</v>
      </c>
      <c r="B12" s="63" t="str">
        <f>+B74</f>
        <v>Cesar Mendez M.</v>
      </c>
      <c r="C12" s="17">
        <v>7</v>
      </c>
      <c r="D12" s="18">
        <v>17</v>
      </c>
      <c r="E12" s="19">
        <v>1</v>
      </c>
      <c r="F12" s="40">
        <f t="shared" si="0"/>
        <v>9</v>
      </c>
      <c r="G12" s="18"/>
      <c r="H12" s="18"/>
      <c r="I12" s="40">
        <f t="shared" si="1"/>
        <v>0</v>
      </c>
      <c r="J12" s="19"/>
      <c r="K12" s="41">
        <f t="shared" si="2"/>
        <v>8</v>
      </c>
      <c r="L12" s="25">
        <f t="shared" si="3"/>
        <v>1</v>
      </c>
      <c r="M12" s="553">
        <v>7</v>
      </c>
      <c r="N12" s="18">
        <v>17</v>
      </c>
      <c r="O12" s="19">
        <v>1</v>
      </c>
      <c r="P12" s="40">
        <f t="shared" si="4"/>
        <v>9</v>
      </c>
      <c r="Q12" s="43"/>
      <c r="R12" s="43"/>
      <c r="S12" s="40">
        <f t="shared" si="5"/>
        <v>0</v>
      </c>
      <c r="T12" s="19"/>
      <c r="U12" s="41">
        <f t="shared" si="6"/>
        <v>8</v>
      </c>
      <c r="V12" s="25">
        <f t="shared" si="7"/>
        <v>1</v>
      </c>
      <c r="W12" s="18">
        <v>7</v>
      </c>
      <c r="X12" s="18">
        <v>16</v>
      </c>
      <c r="Y12" s="19">
        <v>1</v>
      </c>
      <c r="Z12" s="40">
        <f t="shared" si="8"/>
        <v>8</v>
      </c>
      <c r="AA12" s="44"/>
      <c r="AB12" s="28"/>
      <c r="AC12" s="40">
        <f t="shared" si="9"/>
        <v>0</v>
      </c>
      <c r="AD12" s="19"/>
      <c r="AE12" s="41">
        <f t="shared" si="10"/>
        <v>8</v>
      </c>
      <c r="AF12" s="25">
        <f>IF(W12&gt;0,IF(AE$5&gt;0,(Z12+AC12)*2,(Z12+AC12-8)),0)*IF(Z12&lt;9,IF(AE$5&gt;0,1,2),1)+IF(Z12&gt;8,AC12,0)</f>
        <v>0</v>
      </c>
      <c r="AG12" s="45">
        <v>7</v>
      </c>
      <c r="AH12" s="18">
        <v>17</v>
      </c>
      <c r="AI12" s="19">
        <v>1</v>
      </c>
      <c r="AJ12" s="46">
        <f>+AH12-AG12-AI12</f>
        <v>9</v>
      </c>
      <c r="AK12" s="18"/>
      <c r="AL12" s="18"/>
      <c r="AM12" s="40">
        <f t="shared" si="12"/>
        <v>0</v>
      </c>
      <c r="AN12" s="47"/>
      <c r="AO12" s="48">
        <f t="shared" si="13"/>
        <v>18</v>
      </c>
      <c r="AP12" s="821">
        <f t="shared" si="14"/>
        <v>20</v>
      </c>
      <c r="AQ12" s="822"/>
      <c r="AR12" s="823">
        <f t="shared" si="15"/>
        <v>102.7</v>
      </c>
      <c r="AS12" s="824"/>
      <c r="AT12" s="49">
        <f t="shared" si="16"/>
        <v>28</v>
      </c>
      <c r="AV12" s="33">
        <f t="shared" si="17"/>
        <v>1</v>
      </c>
      <c r="AW12" s="33">
        <f t="shared" si="18"/>
        <v>1</v>
      </c>
      <c r="AX12" s="33">
        <f t="shared" si="19"/>
        <v>0</v>
      </c>
      <c r="AY12" s="34">
        <f t="shared" si="20"/>
        <v>18</v>
      </c>
      <c r="AZ12" s="33">
        <f t="shared" si="21"/>
        <v>0</v>
      </c>
      <c r="BA12" s="33">
        <f t="shared" si="22"/>
        <v>0</v>
      </c>
      <c r="BB12" s="33">
        <f t="shared" si="23"/>
        <v>0</v>
      </c>
      <c r="BC12" s="35"/>
      <c r="BD12" s="36">
        <f>+I74</f>
        <v>5.1339285714285712</v>
      </c>
      <c r="BE12" s="37">
        <f t="shared" si="24"/>
        <v>102.67857142857142</v>
      </c>
      <c r="BF12" s="38">
        <f t="shared" si="25"/>
        <v>92.410714285714278</v>
      </c>
    </row>
    <row r="13" spans="1:58" ht="14.1" customHeight="1">
      <c r="A13" s="1">
        <v>4</v>
      </c>
      <c r="B13" s="559" t="str">
        <f>+B75</f>
        <v>Juan Manrique V.</v>
      </c>
      <c r="C13" s="17">
        <v>8</v>
      </c>
      <c r="D13" s="18">
        <v>18</v>
      </c>
      <c r="E13" s="19">
        <v>1</v>
      </c>
      <c r="F13" s="40">
        <f t="shared" si="0"/>
        <v>9</v>
      </c>
      <c r="G13" s="18"/>
      <c r="H13" s="43"/>
      <c r="I13" s="40">
        <f t="shared" si="1"/>
        <v>0</v>
      </c>
      <c r="J13" s="19"/>
      <c r="K13" s="41">
        <f t="shared" si="2"/>
        <v>8</v>
      </c>
      <c r="L13" s="25">
        <f t="shared" si="3"/>
        <v>1</v>
      </c>
      <c r="M13" s="553">
        <v>7</v>
      </c>
      <c r="N13" s="18">
        <v>17</v>
      </c>
      <c r="O13" s="19">
        <v>1</v>
      </c>
      <c r="P13" s="40">
        <f t="shared" si="4"/>
        <v>9</v>
      </c>
      <c r="Q13" s="43"/>
      <c r="R13" s="43"/>
      <c r="S13" s="40">
        <f t="shared" si="5"/>
        <v>0</v>
      </c>
      <c r="T13" s="19"/>
      <c r="U13" s="41">
        <f t="shared" si="6"/>
        <v>8</v>
      </c>
      <c r="V13" s="25">
        <f t="shared" si="7"/>
        <v>1</v>
      </c>
      <c r="W13" s="18">
        <v>8</v>
      </c>
      <c r="X13" s="18">
        <v>16</v>
      </c>
      <c r="Y13" s="19">
        <v>1</v>
      </c>
      <c r="Z13" s="40">
        <f t="shared" si="8"/>
        <v>7</v>
      </c>
      <c r="AA13" s="43"/>
      <c r="AB13" s="28">
        <v>0.5</v>
      </c>
      <c r="AC13" s="40">
        <f t="shared" si="9"/>
        <v>0.5</v>
      </c>
      <c r="AD13" s="19"/>
      <c r="AE13" s="41">
        <f t="shared" si="10"/>
        <v>8.5</v>
      </c>
      <c r="AF13" s="25">
        <f>IF(W13&gt;0,IF(AE$5&gt;0,(Z13+AC13)*2,(Z13+AC13-8)),0)*IF(Z13&lt;9,IF(AE$5&gt;0,1,2),1)+IF(Z13&gt;8,AC13,0)</f>
        <v>-1</v>
      </c>
      <c r="AG13" s="45"/>
      <c r="AH13" s="18"/>
      <c r="AI13" s="19"/>
      <c r="AJ13" s="46">
        <f t="shared" si="11"/>
        <v>0</v>
      </c>
      <c r="AK13" s="18"/>
      <c r="AL13" s="18"/>
      <c r="AM13" s="40">
        <f t="shared" si="12"/>
        <v>0</v>
      </c>
      <c r="AN13" s="47"/>
      <c r="AO13" s="48">
        <f t="shared" si="13"/>
        <v>0</v>
      </c>
      <c r="AP13" s="845">
        <f t="shared" si="14"/>
        <v>3</v>
      </c>
      <c r="AQ13" s="846"/>
      <c r="AR13" s="823">
        <f t="shared" si="15"/>
        <v>15.4</v>
      </c>
      <c r="AS13" s="824"/>
      <c r="AT13" s="49">
        <f t="shared" si="16"/>
        <v>24</v>
      </c>
      <c r="AV13" s="33">
        <f t="shared" si="17"/>
        <v>1</v>
      </c>
      <c r="AW13" s="33">
        <f t="shared" si="18"/>
        <v>1</v>
      </c>
      <c r="AX13" s="33">
        <f t="shared" si="19"/>
        <v>-1</v>
      </c>
      <c r="AY13" s="34">
        <f t="shared" si="20"/>
        <v>0</v>
      </c>
      <c r="AZ13" s="33">
        <f t="shared" si="21"/>
        <v>0</v>
      </c>
      <c r="BA13" s="33">
        <f t="shared" si="22"/>
        <v>1</v>
      </c>
      <c r="BB13" s="33">
        <f t="shared" si="23"/>
        <v>1</v>
      </c>
      <c r="BC13" s="35"/>
      <c r="BD13" s="36">
        <f>+I75</f>
        <v>5.1339285714285712</v>
      </c>
      <c r="BE13" s="60">
        <f t="shared" si="24"/>
        <v>15.401785714285714</v>
      </c>
      <c r="BF13" s="61">
        <f t="shared" si="25"/>
        <v>0</v>
      </c>
    </row>
    <row r="14" spans="1:58" s="69" customFormat="1" ht="14.1" customHeight="1">
      <c r="A14" s="62">
        <v>5</v>
      </c>
      <c r="B14" s="63" t="str">
        <f>+B76</f>
        <v xml:space="preserve"> Irving Huaringa B.</v>
      </c>
      <c r="C14" s="17">
        <v>8</v>
      </c>
      <c r="D14" s="18">
        <v>16</v>
      </c>
      <c r="E14" s="19">
        <v>1</v>
      </c>
      <c r="F14" s="40">
        <f t="shared" si="0"/>
        <v>7</v>
      </c>
      <c r="G14" s="18"/>
      <c r="H14" s="43"/>
      <c r="I14" s="40">
        <f t="shared" si="1"/>
        <v>0</v>
      </c>
      <c r="J14" s="19"/>
      <c r="K14" s="41">
        <f t="shared" si="2"/>
        <v>8</v>
      </c>
      <c r="L14" s="25">
        <f t="shared" si="3"/>
        <v>-1</v>
      </c>
      <c r="M14" s="18">
        <v>7</v>
      </c>
      <c r="N14" s="18">
        <v>16</v>
      </c>
      <c r="O14" s="19">
        <v>1</v>
      </c>
      <c r="P14" s="40">
        <f t="shared" si="4"/>
        <v>8</v>
      </c>
      <c r="Q14" s="43"/>
      <c r="R14" s="43"/>
      <c r="S14" s="40">
        <f t="shared" si="5"/>
        <v>0</v>
      </c>
      <c r="T14" s="19"/>
      <c r="U14" s="41">
        <f t="shared" si="6"/>
        <v>8</v>
      </c>
      <c r="V14" s="25">
        <f t="shared" si="7"/>
        <v>0</v>
      </c>
      <c r="W14" s="18">
        <v>8</v>
      </c>
      <c r="X14" s="43">
        <v>16</v>
      </c>
      <c r="Y14" s="54">
        <v>1</v>
      </c>
      <c r="Z14" s="53">
        <f t="shared" si="8"/>
        <v>7</v>
      </c>
      <c r="AA14" s="64"/>
      <c r="AB14" s="28"/>
      <c r="AC14" s="40">
        <f t="shared" si="9"/>
        <v>0</v>
      </c>
      <c r="AD14" s="19"/>
      <c r="AE14" s="41">
        <f t="shared" si="10"/>
        <v>5</v>
      </c>
      <c r="AF14" s="25">
        <f>IF(W14&gt;0,IF(AE$5&gt;0,(Z14+AC14)*2,(Z14+AC14-5)),0)*IF(Z14&lt;6,IF(AE$5&gt;0,1,2),1)+IF(Z14&gt;5,AC14,0)</f>
        <v>2</v>
      </c>
      <c r="AG14" s="45"/>
      <c r="AH14" s="18"/>
      <c r="AI14" s="19"/>
      <c r="AJ14" s="46">
        <f>+AH14-AG14-AI14</f>
        <v>0</v>
      </c>
      <c r="AK14" s="18"/>
      <c r="AL14" s="18"/>
      <c r="AM14" s="40">
        <f>+AL14-AK14</f>
        <v>0</v>
      </c>
      <c r="AN14" s="65"/>
      <c r="AO14" s="48">
        <f>(AJ14*2+AM14)</f>
        <v>0</v>
      </c>
      <c r="AP14" s="821">
        <f t="shared" si="14"/>
        <v>1</v>
      </c>
      <c r="AQ14" s="822"/>
      <c r="AR14" s="823">
        <f>ROUND(BD14*AP14,1)</f>
        <v>5.0999999999999996</v>
      </c>
      <c r="AS14" s="824"/>
      <c r="AT14" s="49">
        <f t="shared" si="16"/>
        <v>20</v>
      </c>
      <c r="AU14" s="7"/>
      <c r="AV14" s="33">
        <f>+L14</f>
        <v>-1</v>
      </c>
      <c r="AW14" s="33">
        <f>+V14</f>
        <v>0</v>
      </c>
      <c r="AX14" s="33">
        <f>+AF14</f>
        <v>2</v>
      </c>
      <c r="AY14" s="34">
        <f>+AO14</f>
        <v>0</v>
      </c>
      <c r="AZ14" s="33">
        <f t="shared" si="21"/>
        <v>0</v>
      </c>
      <c r="BA14" s="33">
        <f t="shared" si="22"/>
        <v>0</v>
      </c>
      <c r="BB14" s="33">
        <f t="shared" si="23"/>
        <v>0</v>
      </c>
      <c r="BC14" s="66"/>
      <c r="BD14" s="36">
        <f>+I76</f>
        <v>5.1339285714285712</v>
      </c>
      <c r="BE14" s="67">
        <f>+BD14*AP14</f>
        <v>5.1339285714285712</v>
      </c>
      <c r="BF14" s="68">
        <f>+BD14*AY14</f>
        <v>0</v>
      </c>
    </row>
    <row r="15" spans="1:58" s="84" customFormat="1" ht="14.1" customHeight="1">
      <c r="A15" s="70"/>
      <c r="B15" s="560" t="str">
        <f>+B77</f>
        <v>Eduardo Marmoles</v>
      </c>
      <c r="C15" s="72">
        <v>7</v>
      </c>
      <c r="D15" s="73">
        <v>17</v>
      </c>
      <c r="E15" s="74">
        <v>1</v>
      </c>
      <c r="F15" s="75">
        <f t="shared" si="0"/>
        <v>9</v>
      </c>
      <c r="G15" s="73"/>
      <c r="H15" s="43"/>
      <c r="I15" s="75">
        <f t="shared" si="1"/>
        <v>0</v>
      </c>
      <c r="J15" s="74"/>
      <c r="K15" s="76">
        <f t="shared" si="2"/>
        <v>8</v>
      </c>
      <c r="L15" s="77">
        <f t="shared" si="3"/>
        <v>1</v>
      </c>
      <c r="M15" s="72">
        <v>7</v>
      </c>
      <c r="N15" s="73">
        <v>17</v>
      </c>
      <c r="O15" s="74">
        <v>1</v>
      </c>
      <c r="P15" s="75">
        <f t="shared" si="4"/>
        <v>9</v>
      </c>
      <c r="Q15" s="78"/>
      <c r="R15" s="78"/>
      <c r="S15" s="75">
        <f t="shared" si="5"/>
        <v>0</v>
      </c>
      <c r="T15" s="74"/>
      <c r="U15" s="76">
        <f t="shared" si="6"/>
        <v>8</v>
      </c>
      <c r="V15" s="77">
        <f t="shared" si="7"/>
        <v>1</v>
      </c>
      <c r="W15" s="73">
        <v>7</v>
      </c>
      <c r="X15" s="73">
        <v>16</v>
      </c>
      <c r="Y15" s="74">
        <v>1</v>
      </c>
      <c r="Z15" s="79">
        <f t="shared" si="8"/>
        <v>8</v>
      </c>
      <c r="AA15" s="78"/>
      <c r="AB15" s="80"/>
      <c r="AC15" s="75">
        <f t="shared" si="9"/>
        <v>0</v>
      </c>
      <c r="AD15" s="74"/>
      <c r="AE15" s="76">
        <f t="shared" si="10"/>
        <v>8</v>
      </c>
      <c r="AF15" s="77">
        <f t="shared" ref="AF15:AF20" si="26">IF(W15&gt;0,IF(AE$5&gt;0,(Z15+AC15)*2,(Z15+AC15-8)),0)*IF(Z15&lt;9,IF(AE$5&gt;0,1,2),1)+IF(Z15&gt;8,AC15,0)</f>
        <v>0</v>
      </c>
      <c r="AG15" s="73"/>
      <c r="AH15" s="73"/>
      <c r="AI15" s="74"/>
      <c r="AJ15" s="46">
        <f t="shared" si="11"/>
        <v>0</v>
      </c>
      <c r="AK15" s="73"/>
      <c r="AL15" s="73"/>
      <c r="AM15" s="75">
        <f t="shared" si="12"/>
        <v>0</v>
      </c>
      <c r="AN15" s="81"/>
      <c r="AO15" s="82">
        <f t="shared" si="13"/>
        <v>0</v>
      </c>
      <c r="AP15" s="1186">
        <f t="shared" si="14"/>
        <v>5</v>
      </c>
      <c r="AQ15" s="1187"/>
      <c r="AR15" s="1188">
        <f t="shared" si="15"/>
        <v>19.399999999999999</v>
      </c>
      <c r="AS15" s="1189"/>
      <c r="AT15" s="83">
        <f t="shared" si="16"/>
        <v>0</v>
      </c>
      <c r="AV15" s="85">
        <f t="shared" si="17"/>
        <v>1</v>
      </c>
      <c r="AW15" s="85">
        <f t="shared" si="18"/>
        <v>1</v>
      </c>
      <c r="AX15" s="85">
        <f t="shared" si="19"/>
        <v>0</v>
      </c>
      <c r="AY15" s="86">
        <f t="shared" si="20"/>
        <v>0</v>
      </c>
      <c r="AZ15" s="85">
        <f t="shared" si="21"/>
        <v>1</v>
      </c>
      <c r="BA15" s="85">
        <f t="shared" si="22"/>
        <v>1</v>
      </c>
      <c r="BB15" s="85">
        <f t="shared" si="23"/>
        <v>1</v>
      </c>
      <c r="BC15" s="87"/>
      <c r="BD15" s="88">
        <f>+I77</f>
        <v>3.875</v>
      </c>
      <c r="BE15" s="89">
        <f t="shared" si="24"/>
        <v>19.375</v>
      </c>
      <c r="BF15" s="90">
        <f t="shared" si="25"/>
        <v>0</v>
      </c>
    </row>
    <row r="16" spans="1:58" s="69" customFormat="1" ht="14.1" customHeight="1">
      <c r="A16" s="62">
        <v>6</v>
      </c>
      <c r="B16" s="91" t="str">
        <f>+B79</f>
        <v>Jose Cortez P.</v>
      </c>
      <c r="C16" s="92">
        <v>7</v>
      </c>
      <c r="D16" s="92">
        <v>16</v>
      </c>
      <c r="E16" s="92">
        <v>1</v>
      </c>
      <c r="F16" s="93">
        <f>+D16-C16-E16</f>
        <v>8</v>
      </c>
      <c r="G16" s="43"/>
      <c r="H16" s="43"/>
      <c r="I16" s="93">
        <f>+H16-G16</f>
        <v>0</v>
      </c>
      <c r="J16" s="92"/>
      <c r="K16" s="41">
        <f>+I16+F16-L16</f>
        <v>8</v>
      </c>
      <c r="L16" s="94">
        <f>IF(C16&gt;0,(F16+I16)+IF(K$5&gt;0,F16,-8),0)+IF(U$5&gt;0,I16,0)</f>
        <v>0</v>
      </c>
      <c r="M16" s="552">
        <v>7</v>
      </c>
      <c r="N16" s="92">
        <v>18</v>
      </c>
      <c r="O16" s="92">
        <v>1</v>
      </c>
      <c r="P16" s="93">
        <f>+N16-M16-O16</f>
        <v>10</v>
      </c>
      <c r="Q16" s="43"/>
      <c r="R16" s="43"/>
      <c r="S16" s="93">
        <f>+R16-Q16</f>
        <v>0</v>
      </c>
      <c r="T16" s="19"/>
      <c r="U16" s="41">
        <f>+S16+P16-V16</f>
        <v>8</v>
      </c>
      <c r="V16" s="94">
        <f>IF(M16&gt;0,(P16+S16)+IF(U$5&gt;0,P16,-8),0)+IF(AE$5&gt;0,S16,0)</f>
        <v>2</v>
      </c>
      <c r="W16" s="92"/>
      <c r="X16" s="92"/>
      <c r="Y16" s="92"/>
      <c r="Z16" s="93">
        <f>+X16-W16-Y16</f>
        <v>0</v>
      </c>
      <c r="AA16" s="92"/>
      <c r="AB16" s="80"/>
      <c r="AC16" s="93">
        <f>+AB16-AA16</f>
        <v>0</v>
      </c>
      <c r="AD16" s="92"/>
      <c r="AE16" s="41">
        <f t="shared" si="10"/>
        <v>0</v>
      </c>
      <c r="AF16" s="94">
        <f t="shared" si="26"/>
        <v>0</v>
      </c>
      <c r="AG16" s="92"/>
      <c r="AH16" s="92"/>
      <c r="AI16" s="92"/>
      <c r="AJ16" s="46">
        <f>+AH16-AG16-AI16</f>
        <v>0</v>
      </c>
      <c r="AK16" s="92"/>
      <c r="AL16" s="92"/>
      <c r="AM16" s="93">
        <f>+AL16-AK16</f>
        <v>0</v>
      </c>
      <c r="AN16" s="96"/>
      <c r="AO16" s="97">
        <f>(AJ16*2+AM16)</f>
        <v>0</v>
      </c>
      <c r="AP16" s="833">
        <f t="shared" si="14"/>
        <v>4</v>
      </c>
      <c r="AQ16" s="834"/>
      <c r="AR16" s="835">
        <f>ROUND(BD16*AP16,1)</f>
        <v>15.5</v>
      </c>
      <c r="AS16" s="836"/>
      <c r="AT16" s="99">
        <f t="shared" si="16"/>
        <v>16</v>
      </c>
      <c r="AV16" s="100">
        <f>+L16</f>
        <v>0</v>
      </c>
      <c r="AW16" s="100">
        <f>+V16</f>
        <v>2</v>
      </c>
      <c r="AX16" s="100">
        <f>+AF16</f>
        <v>0</v>
      </c>
      <c r="AY16" s="101">
        <f>+AO16</f>
        <v>0</v>
      </c>
      <c r="AZ16" s="100">
        <f t="shared" si="21"/>
        <v>2</v>
      </c>
      <c r="BA16" s="100">
        <f t="shared" si="22"/>
        <v>0</v>
      </c>
      <c r="BB16" s="100">
        <f t="shared" si="23"/>
        <v>0</v>
      </c>
      <c r="BC16" s="35"/>
      <c r="BD16" s="36">
        <f>+I79</f>
        <v>3.8750035714285715</v>
      </c>
      <c r="BE16" s="67">
        <f>+BD16*AP16</f>
        <v>15.500014285714286</v>
      </c>
      <c r="BF16" s="68">
        <f>+BD16*AY16</f>
        <v>0</v>
      </c>
    </row>
    <row r="17" spans="1:60" s="69" customFormat="1" ht="14.1" customHeight="1">
      <c r="A17" s="62">
        <v>7</v>
      </c>
      <c r="B17" s="91" t="str">
        <f>+B80</f>
        <v>Rafael Armas R.</v>
      </c>
      <c r="C17" s="102">
        <v>7</v>
      </c>
      <c r="D17" s="102">
        <v>18</v>
      </c>
      <c r="E17" s="102">
        <v>1</v>
      </c>
      <c r="F17" s="93">
        <f>+D17-C17-E17</f>
        <v>10</v>
      </c>
      <c r="G17" s="43"/>
      <c r="H17" s="43"/>
      <c r="I17" s="93">
        <f>+H17-G17</f>
        <v>0</v>
      </c>
      <c r="J17" s="92"/>
      <c r="K17" s="41">
        <f>+I17+F17-L17</f>
        <v>8</v>
      </c>
      <c r="L17" s="94">
        <f>IF(C17&gt;0,(F17+I17)+IF(K$5&gt;0,F17,-8),0)+IF(U$5&gt;0,I17,0)</f>
        <v>2</v>
      </c>
      <c r="M17" s="552">
        <v>7</v>
      </c>
      <c r="N17" s="92">
        <v>16</v>
      </c>
      <c r="O17" s="92">
        <v>1</v>
      </c>
      <c r="P17" s="93">
        <f>+N17-M17-O17</f>
        <v>8</v>
      </c>
      <c r="Q17" s="43"/>
      <c r="R17" s="43"/>
      <c r="S17" s="93">
        <f>+R17-Q17</f>
        <v>0</v>
      </c>
      <c r="T17" s="92"/>
      <c r="U17" s="41">
        <f>+S17+P17-V17</f>
        <v>8</v>
      </c>
      <c r="V17" s="94">
        <f>IF(M17&gt;0,(P17+S17)+IF(U$5&gt;0,P17,-8),0)+IF(AE$5&gt;0,S17,0)</f>
        <v>0</v>
      </c>
      <c r="W17" s="92">
        <v>7</v>
      </c>
      <c r="X17" s="92">
        <v>16</v>
      </c>
      <c r="Y17" s="92">
        <v>1</v>
      </c>
      <c r="Z17" s="93">
        <f>+X17-W17-Y17</f>
        <v>8</v>
      </c>
      <c r="AA17" s="92"/>
      <c r="AB17" s="28"/>
      <c r="AC17" s="93">
        <f>+AB17-AA17</f>
        <v>0</v>
      </c>
      <c r="AD17" s="92"/>
      <c r="AE17" s="41">
        <f t="shared" si="10"/>
        <v>8</v>
      </c>
      <c r="AF17" s="94">
        <f t="shared" si="26"/>
        <v>0</v>
      </c>
      <c r="AG17" s="92">
        <v>7</v>
      </c>
      <c r="AH17" s="92">
        <v>17</v>
      </c>
      <c r="AI17" s="92">
        <v>1</v>
      </c>
      <c r="AJ17" s="46">
        <f>+AH17-AG17-AI17</f>
        <v>9</v>
      </c>
      <c r="AK17" s="92"/>
      <c r="AL17" s="92"/>
      <c r="AM17" s="93">
        <f>+AL17-AK17</f>
        <v>0</v>
      </c>
      <c r="AN17" s="96"/>
      <c r="AO17" s="97">
        <f>(AJ17*2+AM17)</f>
        <v>18</v>
      </c>
      <c r="AP17" s="837">
        <f t="shared" si="14"/>
        <v>24</v>
      </c>
      <c r="AQ17" s="838"/>
      <c r="AR17" s="839">
        <f>ROUND(BD17*AP17,1)</f>
        <v>93</v>
      </c>
      <c r="AS17" s="840"/>
      <c r="AT17" s="103">
        <f t="shared" si="16"/>
        <v>28</v>
      </c>
      <c r="AV17" s="100">
        <f>+L17</f>
        <v>2</v>
      </c>
      <c r="AW17" s="100">
        <f>+V17</f>
        <v>0</v>
      </c>
      <c r="AX17" s="100">
        <f>+AF17</f>
        <v>0</v>
      </c>
      <c r="AY17" s="101">
        <f>+AO17</f>
        <v>18</v>
      </c>
      <c r="AZ17" s="100">
        <f t="shared" si="21"/>
        <v>1</v>
      </c>
      <c r="BA17" s="100">
        <f t="shared" si="22"/>
        <v>2</v>
      </c>
      <c r="BB17" s="100">
        <f t="shared" si="23"/>
        <v>1</v>
      </c>
      <c r="BC17" s="66"/>
      <c r="BD17" s="36">
        <f>+I80</f>
        <v>3.8750035714285715</v>
      </c>
      <c r="BE17" s="67">
        <f>+BD17*AP17</f>
        <v>93.000085714285717</v>
      </c>
      <c r="BF17" s="68">
        <f>+BD17*AY17</f>
        <v>69.750064285714288</v>
      </c>
    </row>
    <row r="18" spans="1:60" s="116" customFormat="1" ht="14.1" customHeight="1">
      <c r="A18" s="62">
        <v>8</v>
      </c>
      <c r="B18" s="91" t="str">
        <f>+B81</f>
        <v>Jose Ochoa I.</v>
      </c>
      <c r="C18" s="102">
        <v>7</v>
      </c>
      <c r="D18" s="102">
        <v>16</v>
      </c>
      <c r="E18" s="102">
        <v>1</v>
      </c>
      <c r="F18" s="104">
        <f>+D18-C18-E18</f>
        <v>8</v>
      </c>
      <c r="G18" s="51"/>
      <c r="H18" s="43"/>
      <c r="I18" s="104">
        <f>+H18-G18</f>
        <v>0</v>
      </c>
      <c r="J18" s="105"/>
      <c r="K18" s="106">
        <f>+I18+F18-L18</f>
        <v>8</v>
      </c>
      <c r="L18" s="107">
        <f>IF(C18&gt;0,(F18+I18)+IF(K$5&gt;0,F18,-8),0)+IF(U$5&gt;0,I18,0)</f>
        <v>0</v>
      </c>
      <c r="M18" s="108">
        <v>7</v>
      </c>
      <c r="N18" s="105">
        <v>18</v>
      </c>
      <c r="O18" s="105">
        <v>1</v>
      </c>
      <c r="P18" s="104">
        <f>+N18-M18-O18</f>
        <v>10</v>
      </c>
      <c r="Q18" s="43"/>
      <c r="R18" s="43"/>
      <c r="S18" s="104">
        <f>+R18-Q18</f>
        <v>0</v>
      </c>
      <c r="T18" s="105"/>
      <c r="U18" s="106">
        <f>+S18+P18-V18</f>
        <v>8</v>
      </c>
      <c r="V18" s="107">
        <f>IF(M18&gt;0,(P18+S18)+IF(U$5&gt;0,P18,-8),0)+IF(AE$5&gt;0,S18,0)</f>
        <v>2</v>
      </c>
      <c r="W18" s="105">
        <v>7</v>
      </c>
      <c r="X18" s="105">
        <v>12</v>
      </c>
      <c r="Y18" s="105">
        <v>1</v>
      </c>
      <c r="Z18" s="104">
        <f>+X18-W18-Y18</f>
        <v>4</v>
      </c>
      <c r="AA18" s="105"/>
      <c r="AB18" s="109">
        <v>4</v>
      </c>
      <c r="AC18" s="104">
        <f>+AB18-AA18</f>
        <v>4</v>
      </c>
      <c r="AD18" s="105"/>
      <c r="AE18" s="106">
        <f t="shared" si="10"/>
        <v>8</v>
      </c>
      <c r="AF18" s="107">
        <f t="shared" si="26"/>
        <v>0</v>
      </c>
      <c r="AG18" s="105"/>
      <c r="AH18" s="105"/>
      <c r="AI18" s="105"/>
      <c r="AJ18" s="110">
        <f>+AH18-AG18-AI18</f>
        <v>0</v>
      </c>
      <c r="AK18" s="105"/>
      <c r="AL18" s="105"/>
      <c r="AM18" s="104">
        <f>+AL18-AK18</f>
        <v>0</v>
      </c>
      <c r="AN18" s="111"/>
      <c r="AO18" s="112">
        <f>(AJ18*2+AM18)</f>
        <v>0</v>
      </c>
      <c r="AP18" s="841">
        <f>+L18+V18+AF18+AO18+L41+V41+AF40-AN18</f>
        <v>2</v>
      </c>
      <c r="AQ18" s="842"/>
      <c r="AR18" s="843">
        <f>ROUND(BD18*AP18,1)</f>
        <v>7.8</v>
      </c>
      <c r="AS18" s="844"/>
      <c r="AT18" s="113">
        <f>IF(AT40&gt;0,AT41*$AT$10,0)</f>
        <v>24</v>
      </c>
      <c r="AU18" s="69"/>
      <c r="AV18" s="114">
        <f>+L18</f>
        <v>0</v>
      </c>
      <c r="AW18" s="114">
        <f>+V18</f>
        <v>2</v>
      </c>
      <c r="AX18" s="114">
        <f>+AF18</f>
        <v>0</v>
      </c>
      <c r="AY18" s="114">
        <f>+AO18</f>
        <v>0</v>
      </c>
      <c r="AZ18" s="114">
        <f>+L41</f>
        <v>0</v>
      </c>
      <c r="BA18" s="114">
        <f>+V41</f>
        <v>0</v>
      </c>
      <c r="BB18" s="114">
        <f>+AF41</f>
        <v>0</v>
      </c>
      <c r="BC18" s="35"/>
      <c r="BD18" s="115">
        <f>+I81</f>
        <v>3.8750035714285715</v>
      </c>
      <c r="BE18" s="115">
        <f>+BD18*AP18</f>
        <v>7.7500071428571431</v>
      </c>
      <c r="BF18" s="115">
        <f>+BD18*AY18</f>
        <v>0</v>
      </c>
    </row>
    <row r="19" spans="1:60" s="116" customFormat="1" ht="14.1" customHeight="1">
      <c r="A19" s="62">
        <v>9</v>
      </c>
      <c r="B19" s="91" t="str">
        <f>+B82</f>
        <v>Jairo Mirabal</v>
      </c>
      <c r="C19" s="102">
        <v>7</v>
      </c>
      <c r="D19" s="102">
        <v>16</v>
      </c>
      <c r="E19" s="102">
        <v>1</v>
      </c>
      <c r="F19" s="104">
        <f>+D19-C19-E19</f>
        <v>8</v>
      </c>
      <c r="G19" s="51"/>
      <c r="H19" s="43"/>
      <c r="I19" s="104">
        <f>+H19-G19</f>
        <v>0</v>
      </c>
      <c r="J19" s="105"/>
      <c r="K19" s="106">
        <f>+I19+F19-L19</f>
        <v>8</v>
      </c>
      <c r="L19" s="107">
        <f>IF(C19&gt;0,(F19+I19)+IF(K$5&gt;0,F19,-8),0)+IF(U$5&gt;0,I19,0)</f>
        <v>0</v>
      </c>
      <c r="M19" s="108">
        <v>7</v>
      </c>
      <c r="N19" s="105">
        <v>16</v>
      </c>
      <c r="O19" s="105">
        <v>1</v>
      </c>
      <c r="P19" s="104">
        <f>+N19-M19-O19</f>
        <v>8</v>
      </c>
      <c r="Q19" s="43"/>
      <c r="R19" s="117"/>
      <c r="S19" s="104">
        <f>+R19-Q19</f>
        <v>0</v>
      </c>
      <c r="T19" s="105"/>
      <c r="U19" s="106">
        <f>+S19+P19-V19</f>
        <v>8</v>
      </c>
      <c r="V19" s="107">
        <f>IF(M19&gt;0,(P19+S19)+IF(U$5&gt;0,P19,-8),0)+IF(AE$5&gt;0,S19,0)</f>
        <v>0</v>
      </c>
      <c r="W19" s="105">
        <v>7</v>
      </c>
      <c r="X19" s="105">
        <v>16</v>
      </c>
      <c r="Y19" s="105">
        <v>1</v>
      </c>
      <c r="Z19" s="104">
        <f>+X19-W19-Y19</f>
        <v>8</v>
      </c>
      <c r="AA19" s="105"/>
      <c r="AB19" s="28"/>
      <c r="AC19" s="104">
        <f>+AB19-AA19</f>
        <v>0</v>
      </c>
      <c r="AD19" s="105"/>
      <c r="AE19" s="106">
        <f t="shared" si="10"/>
        <v>8</v>
      </c>
      <c r="AF19" s="107">
        <f t="shared" si="26"/>
        <v>0</v>
      </c>
      <c r="AG19" s="105"/>
      <c r="AH19" s="105"/>
      <c r="AI19" s="105"/>
      <c r="AJ19" s="110">
        <f>+AH19-AG19-AI19</f>
        <v>0</v>
      </c>
      <c r="AK19" s="105"/>
      <c r="AL19" s="105"/>
      <c r="AM19" s="104">
        <f>+AL19-AK19</f>
        <v>0</v>
      </c>
      <c r="AN19" s="111"/>
      <c r="AO19" s="112">
        <f>(AJ19*2+AM19)</f>
        <v>0</v>
      </c>
      <c r="AP19" s="841">
        <f>+L19+V19+AF19+AO19+L41+V41+AF41-AN19</f>
        <v>0</v>
      </c>
      <c r="AQ19" s="842"/>
      <c r="AR19" s="843">
        <f>ROUND(BD19*AP19,1)</f>
        <v>0</v>
      </c>
      <c r="AS19" s="844"/>
      <c r="AT19" s="113">
        <f t="shared" ref="AT19:AT24" si="27">IF(AT41&gt;0,AT41*$AT$10,0)</f>
        <v>24</v>
      </c>
      <c r="AU19" s="69"/>
      <c r="AV19" s="114">
        <f>+L19</f>
        <v>0</v>
      </c>
      <c r="AW19" s="114">
        <f>+V19</f>
        <v>0</v>
      </c>
      <c r="AX19" s="114">
        <f>+AF19</f>
        <v>0</v>
      </c>
      <c r="AY19" s="114">
        <f>+AO19</f>
        <v>0</v>
      </c>
      <c r="AZ19" s="114">
        <f>+L41</f>
        <v>0</v>
      </c>
      <c r="BA19" s="114">
        <f>+V41</f>
        <v>0</v>
      </c>
      <c r="BB19" s="114">
        <f>+AF41</f>
        <v>0</v>
      </c>
      <c r="BC19" s="35"/>
      <c r="BD19" s="115">
        <f>+I82</f>
        <v>3.8750035714285715</v>
      </c>
      <c r="BE19" s="115">
        <f>+BD19*AP19</f>
        <v>0</v>
      </c>
      <c r="BF19" s="115">
        <f>+BD19*AY19</f>
        <v>0</v>
      </c>
    </row>
    <row r="20" spans="1:60" s="69" customFormat="1" ht="14.1" customHeight="1" thickBot="1">
      <c r="A20" s="62">
        <v>10</v>
      </c>
      <c r="B20" s="118" t="str">
        <f>+B83</f>
        <v>Pedro Hostos S.</v>
      </c>
      <c r="C20" s="119">
        <v>7</v>
      </c>
      <c r="D20" s="119">
        <v>16</v>
      </c>
      <c r="E20" s="119">
        <v>1</v>
      </c>
      <c r="F20" s="120">
        <f t="shared" si="0"/>
        <v>8</v>
      </c>
      <c r="G20" s="121"/>
      <c r="H20" s="121"/>
      <c r="I20" s="120">
        <f t="shared" si="1"/>
        <v>0</v>
      </c>
      <c r="J20" s="119"/>
      <c r="K20" s="120">
        <f t="shared" si="2"/>
        <v>8</v>
      </c>
      <c r="L20" s="122">
        <f t="shared" si="3"/>
        <v>0</v>
      </c>
      <c r="M20" s="554">
        <v>7</v>
      </c>
      <c r="N20" s="119">
        <v>16</v>
      </c>
      <c r="O20" s="119">
        <v>1</v>
      </c>
      <c r="P20" s="120">
        <f t="shared" si="4"/>
        <v>8</v>
      </c>
      <c r="Q20" s="121"/>
      <c r="R20" s="121"/>
      <c r="S20" s="120">
        <f t="shared" si="5"/>
        <v>0</v>
      </c>
      <c r="T20" s="119"/>
      <c r="U20" s="120">
        <f t="shared" si="6"/>
        <v>8</v>
      </c>
      <c r="V20" s="122">
        <f t="shared" si="7"/>
        <v>0</v>
      </c>
      <c r="W20" s="119">
        <v>7</v>
      </c>
      <c r="X20" s="119">
        <v>16</v>
      </c>
      <c r="Y20" s="119">
        <v>1</v>
      </c>
      <c r="Z20" s="120">
        <f t="shared" si="8"/>
        <v>8</v>
      </c>
      <c r="AA20" s="119"/>
      <c r="AB20" s="121"/>
      <c r="AC20" s="120">
        <f t="shared" si="9"/>
        <v>0</v>
      </c>
      <c r="AD20" s="119"/>
      <c r="AE20" s="125">
        <f t="shared" si="10"/>
        <v>8</v>
      </c>
      <c r="AF20" s="122">
        <f t="shared" si="26"/>
        <v>0</v>
      </c>
      <c r="AG20" s="119"/>
      <c r="AH20" s="119"/>
      <c r="AI20" s="119"/>
      <c r="AJ20" s="126">
        <f t="shared" si="11"/>
        <v>0</v>
      </c>
      <c r="AK20" s="119"/>
      <c r="AL20" s="119"/>
      <c r="AM20" s="120">
        <f t="shared" si="12"/>
        <v>0</v>
      </c>
      <c r="AN20" s="127"/>
      <c r="AO20" s="128">
        <f t="shared" si="13"/>
        <v>0</v>
      </c>
      <c r="AP20" s="847">
        <f>+L20+V20+AF20+AO20+L42+V42+AF42-AN20</f>
        <v>1</v>
      </c>
      <c r="AQ20" s="848"/>
      <c r="AR20" s="849">
        <f t="shared" si="15"/>
        <v>3.9</v>
      </c>
      <c r="AS20" s="850"/>
      <c r="AT20" s="130">
        <f t="shared" si="27"/>
        <v>20</v>
      </c>
      <c r="AV20" s="131">
        <f t="shared" si="17"/>
        <v>0</v>
      </c>
      <c r="AW20" s="131">
        <f t="shared" si="18"/>
        <v>0</v>
      </c>
      <c r="AX20" s="131">
        <f t="shared" si="19"/>
        <v>0</v>
      </c>
      <c r="AY20" s="132">
        <f t="shared" si="20"/>
        <v>0</v>
      </c>
      <c r="AZ20" s="131">
        <f>+L42</f>
        <v>0</v>
      </c>
      <c r="BA20" s="131">
        <f>+V42</f>
        <v>1</v>
      </c>
      <c r="BB20" s="131">
        <f>+AF42</f>
        <v>0</v>
      </c>
      <c r="BC20" s="35"/>
      <c r="BD20" s="115">
        <f>+I83</f>
        <v>3.8750035714285715</v>
      </c>
      <c r="BE20" s="133">
        <f t="shared" si="24"/>
        <v>3.8750035714285715</v>
      </c>
      <c r="BF20" s="134">
        <f t="shared" si="25"/>
        <v>0</v>
      </c>
    </row>
    <row r="21" spans="1:60" ht="14.1" customHeight="1" thickTop="1">
      <c r="A21" s="1">
        <v>11</v>
      </c>
      <c r="B21" s="39" t="str">
        <f>+B85</f>
        <v>Miguel Tejada Ll.</v>
      </c>
      <c r="C21" s="56">
        <v>8</v>
      </c>
      <c r="D21" s="43">
        <v>16</v>
      </c>
      <c r="E21" s="54">
        <v>1</v>
      </c>
      <c r="F21" s="53">
        <f>+D21-C21-E21</f>
        <v>7</v>
      </c>
      <c r="G21" s="43"/>
      <c r="H21" s="117"/>
      <c r="I21" s="53">
        <f>+H21-G21</f>
        <v>0</v>
      </c>
      <c r="J21" s="54"/>
      <c r="K21" s="55">
        <f>+I21+F21-L21</f>
        <v>8</v>
      </c>
      <c r="L21" s="135">
        <f>IF(C21&gt;0,(F21+I21)+IF(K$5&gt;0,F21,-8),0)+IF(U$5&gt;0,I21,0)</f>
        <v>-1</v>
      </c>
      <c r="M21" s="136">
        <v>7</v>
      </c>
      <c r="N21" s="43">
        <v>17</v>
      </c>
      <c r="O21" s="54">
        <v>1</v>
      </c>
      <c r="P21" s="53">
        <f>+N21-M21-O21</f>
        <v>9</v>
      </c>
      <c r="Q21" s="43"/>
      <c r="R21" s="43"/>
      <c r="S21" s="53">
        <f>+R21-Q21</f>
        <v>0</v>
      </c>
      <c r="T21" s="54"/>
      <c r="U21" s="55">
        <f>+S21+P21-V21</f>
        <v>8</v>
      </c>
      <c r="V21" s="135">
        <f>IF(M21&gt;0,(P21+S21)+IF(U$5&gt;0,P21,-8),0)+IF(AE$5&gt;0,S21,0)</f>
        <v>1</v>
      </c>
      <c r="W21" s="43">
        <v>8</v>
      </c>
      <c r="X21" s="43">
        <v>16</v>
      </c>
      <c r="Y21" s="54">
        <v>1</v>
      </c>
      <c r="Z21" s="53">
        <f>+X21-W21-Y21</f>
        <v>7</v>
      </c>
      <c r="AA21" s="44"/>
      <c r="AB21" s="28">
        <v>0.5</v>
      </c>
      <c r="AC21" s="53">
        <f>+AB21-AA21</f>
        <v>0.5</v>
      </c>
      <c r="AD21" s="54"/>
      <c r="AE21" s="137">
        <f t="shared" si="10"/>
        <v>8.5</v>
      </c>
      <c r="AF21" s="135">
        <f>IF(W21&gt;0,IF(AE$5&gt;0,(Z21+AC21)*2,(Z21+AC21-8)),0)*IF(Z21&lt;9,IF(AE$5&gt;0,1,2),1)+IF(Z21&gt;8,AC21,0)</f>
        <v>-1</v>
      </c>
      <c r="AG21" s="138"/>
      <c r="AH21" s="43"/>
      <c r="AI21" s="54"/>
      <c r="AJ21" s="139">
        <f>+AH21-AG21-AI21</f>
        <v>0</v>
      </c>
      <c r="AK21" s="43"/>
      <c r="AL21" s="43"/>
      <c r="AM21" s="53">
        <f>+AL21-AK21</f>
        <v>0</v>
      </c>
      <c r="AN21" s="57"/>
      <c r="AO21" s="140">
        <f>(AJ21*2+AM21)</f>
        <v>0</v>
      </c>
      <c r="AP21" s="821">
        <f>+L21+V21+AF21+AO21+L43+V43+AF43-AN21</f>
        <v>-1</v>
      </c>
      <c r="AQ21" s="822"/>
      <c r="AR21" s="823">
        <f>ROUND(BD21*AP21,1)</f>
        <v>-5.4</v>
      </c>
      <c r="AS21" s="824"/>
      <c r="AT21" s="49">
        <f t="shared" si="27"/>
        <v>12</v>
      </c>
      <c r="AV21" s="33">
        <f>+L21</f>
        <v>-1</v>
      </c>
      <c r="AW21" s="33">
        <f>+V21</f>
        <v>1</v>
      </c>
      <c r="AX21" s="33">
        <f>+AF21</f>
        <v>-1</v>
      </c>
      <c r="AY21" s="34">
        <f>+AO21</f>
        <v>0</v>
      </c>
      <c r="AZ21" s="33">
        <f>+L43</f>
        <v>0</v>
      </c>
      <c r="BA21" s="33">
        <f>+V43</f>
        <v>0</v>
      </c>
      <c r="BB21" s="33">
        <f>+AF43</f>
        <v>0</v>
      </c>
      <c r="BC21" s="35"/>
      <c r="BD21" s="36">
        <f>+I85</f>
        <v>5.4333333333333327</v>
      </c>
      <c r="BE21" s="37">
        <f>+BD21*AP21</f>
        <v>-5.4333333333333327</v>
      </c>
      <c r="BF21" s="38">
        <f>+BD21*AY21</f>
        <v>0</v>
      </c>
      <c r="BH21" s="141"/>
    </row>
    <row r="22" spans="1:60" ht="14.1" customHeight="1">
      <c r="A22" s="1">
        <v>12</v>
      </c>
      <c r="B22" s="39" t="str">
        <f>+B86</f>
        <v>Pier Alejos A.</v>
      </c>
      <c r="C22" s="56">
        <v>7</v>
      </c>
      <c r="D22" s="43">
        <v>18</v>
      </c>
      <c r="E22" s="54">
        <v>1</v>
      </c>
      <c r="F22" s="53">
        <f>+D22-C22-E22</f>
        <v>10</v>
      </c>
      <c r="G22" s="43"/>
      <c r="H22" s="117"/>
      <c r="I22" s="53">
        <f>+H22-G22</f>
        <v>0</v>
      </c>
      <c r="J22" s="54"/>
      <c r="K22" s="55">
        <f>+I22+F22-L22</f>
        <v>8</v>
      </c>
      <c r="L22" s="135">
        <f>IF(C22&gt;0,(F22+I22)+IF(K$5&gt;0,F22,-8),0)+IF(U$5&gt;0,I22,0)</f>
        <v>2</v>
      </c>
      <c r="M22" s="136">
        <v>7</v>
      </c>
      <c r="N22" s="43">
        <v>16</v>
      </c>
      <c r="O22" s="54">
        <v>1</v>
      </c>
      <c r="P22" s="53">
        <f>+N22-M22-O22</f>
        <v>8</v>
      </c>
      <c r="Q22" s="43"/>
      <c r="R22" s="43"/>
      <c r="S22" s="53">
        <f>+R22-Q22</f>
        <v>0</v>
      </c>
      <c r="T22" s="54"/>
      <c r="U22" s="55">
        <f>+S22+P22-V22</f>
        <v>8</v>
      </c>
      <c r="V22" s="135">
        <f>IF(M22&gt;0,(P22+S22)+IF(U$5&gt;0,P22,-8),0)+IF(AE$5&gt;0,S22,0)</f>
        <v>0</v>
      </c>
      <c r="W22" s="43">
        <v>7</v>
      </c>
      <c r="X22" s="43">
        <v>16</v>
      </c>
      <c r="Y22" s="54">
        <v>1</v>
      </c>
      <c r="Z22" s="53">
        <f>+X22-W22-Y22</f>
        <v>8</v>
      </c>
      <c r="AA22" s="44"/>
      <c r="AB22" s="28"/>
      <c r="AC22" s="53">
        <f>+AB22-AA22</f>
        <v>0</v>
      </c>
      <c r="AD22" s="54"/>
      <c r="AE22" s="137">
        <f t="shared" si="10"/>
        <v>8</v>
      </c>
      <c r="AF22" s="135">
        <f>IF(W22&gt;0,IF(AE$5&gt;0,(Z22+AC22)*2,(Z22+AC22-8)),0)*IF(Z22&lt;9,IF(AE$5&gt;0,1,2),1)+IF(Z22&gt;8,AC22,0)</f>
        <v>0</v>
      </c>
      <c r="AG22" s="138"/>
      <c r="AH22" s="43"/>
      <c r="AI22" s="54"/>
      <c r="AJ22" s="139">
        <f>+AH22-AG22-AI22</f>
        <v>0</v>
      </c>
      <c r="AK22" s="43"/>
      <c r="AL22" s="43"/>
      <c r="AM22" s="53">
        <f>+AL22-AK22</f>
        <v>0</v>
      </c>
      <c r="AN22" s="57"/>
      <c r="AO22" s="140">
        <f>(AJ22*2+AM22)</f>
        <v>0</v>
      </c>
      <c r="AP22" s="821">
        <f>+L22+V22+AF22+AO22+L44+V44+AF44-AN22</f>
        <v>6</v>
      </c>
      <c r="AQ22" s="822"/>
      <c r="AR22" s="823">
        <f>ROUND(BD22*AP22,1)</f>
        <v>23.3</v>
      </c>
      <c r="AS22" s="824"/>
      <c r="AT22" s="49">
        <f t="shared" si="27"/>
        <v>24</v>
      </c>
      <c r="AV22" s="33">
        <f>+L22</f>
        <v>2</v>
      </c>
      <c r="AW22" s="33">
        <f>+V22</f>
        <v>0</v>
      </c>
      <c r="AX22" s="33">
        <f>+AF22</f>
        <v>0</v>
      </c>
      <c r="AY22" s="34">
        <f>+AO22</f>
        <v>0</v>
      </c>
      <c r="AZ22" s="33">
        <f>+L44</f>
        <v>1</v>
      </c>
      <c r="BA22" s="33">
        <f>+V44</f>
        <v>3</v>
      </c>
      <c r="BB22" s="33">
        <f>+AF44</f>
        <v>0</v>
      </c>
      <c r="BC22" s="35"/>
      <c r="BD22" s="36">
        <f>+I86</f>
        <v>3.8750035714285715</v>
      </c>
      <c r="BE22" s="37">
        <f>+BD22*AP22</f>
        <v>23.250021428571429</v>
      </c>
      <c r="BF22" s="38">
        <f>+BD22*AY22</f>
        <v>0</v>
      </c>
      <c r="BH22" s="141"/>
    </row>
    <row r="23" spans="1:60" s="116" customFormat="1" ht="14.1" customHeight="1">
      <c r="A23" s="62">
        <v>13</v>
      </c>
      <c r="B23" s="142" t="str">
        <f>+B87</f>
        <v>Angel Colina N.</v>
      </c>
      <c r="C23" s="102">
        <v>7</v>
      </c>
      <c r="D23" s="102">
        <v>16</v>
      </c>
      <c r="E23" s="102">
        <v>1</v>
      </c>
      <c r="F23" s="143">
        <f>+D23-C23-E23</f>
        <v>8</v>
      </c>
      <c r="G23" s="144"/>
      <c r="H23" s="145"/>
      <c r="I23" s="143">
        <f>+H23-G23</f>
        <v>0</v>
      </c>
      <c r="J23" s="102"/>
      <c r="K23" s="146">
        <f>+I23+F23-L23</f>
        <v>8</v>
      </c>
      <c r="L23" s="147">
        <f>IF(C23&gt;0,(F23+I23)+IF(K$5&gt;0,F23,-8),0)+IF(U$5&gt;0,I23,0)</f>
        <v>0</v>
      </c>
      <c r="M23" s="148">
        <v>7</v>
      </c>
      <c r="N23" s="102">
        <v>16</v>
      </c>
      <c r="O23" s="102">
        <v>1</v>
      </c>
      <c r="P23" s="143">
        <f>+N23-M23-O23</f>
        <v>8</v>
      </c>
      <c r="Q23" s="43"/>
      <c r="R23" s="43"/>
      <c r="S23" s="143">
        <f>+R23-Q23</f>
        <v>0</v>
      </c>
      <c r="T23" s="102"/>
      <c r="U23" s="146">
        <f>+S23+P23-V23</f>
        <v>8</v>
      </c>
      <c r="V23" s="147">
        <f>IF(M23&gt;0,(P23+S23)+IF(U$5&gt;0,P23,-8),0)+IF(AE$5&gt;0,S23,0)</f>
        <v>0</v>
      </c>
      <c r="W23" s="102">
        <v>7</v>
      </c>
      <c r="X23" s="102">
        <v>16</v>
      </c>
      <c r="Y23" s="102">
        <v>1</v>
      </c>
      <c r="Z23" s="143">
        <f>+X23-W23-Y23</f>
        <v>8</v>
      </c>
      <c r="AA23" s="102"/>
      <c r="AB23" s="28"/>
      <c r="AC23" s="143">
        <f>+AB23-AA23</f>
        <v>0</v>
      </c>
      <c r="AD23" s="102"/>
      <c r="AE23" s="146">
        <f t="shared" si="10"/>
        <v>8</v>
      </c>
      <c r="AF23" s="147">
        <f>IF(W23&gt;0,IF(AE$5&gt;0,(Z23+AC23)*2,(Z23+AC23-8)),0)*IF(Z23&lt;9,IF(AE$5&gt;0,1,2),1)+IF(Z23&gt;8,AC23,0)</f>
        <v>0</v>
      </c>
      <c r="AG23" s="102">
        <v>7</v>
      </c>
      <c r="AH23" s="102">
        <v>17</v>
      </c>
      <c r="AI23" s="102">
        <v>1</v>
      </c>
      <c r="AJ23" s="149">
        <f>+AH23-AG23-AI23</f>
        <v>9</v>
      </c>
      <c r="AK23" s="102"/>
      <c r="AL23" s="102"/>
      <c r="AM23" s="143">
        <f>+AL23-AK23</f>
        <v>0</v>
      </c>
      <c r="AN23" s="150"/>
      <c r="AO23" s="151">
        <f>(AJ23*2+AM23)</f>
        <v>18</v>
      </c>
      <c r="AP23" s="841">
        <f>+L23+V23+AF23+AO23+L45+V45+AF45-AN23</f>
        <v>20</v>
      </c>
      <c r="AQ23" s="842"/>
      <c r="AR23" s="843">
        <f>ROUND(BD23*AP23,1)</f>
        <v>77.5</v>
      </c>
      <c r="AS23" s="844"/>
      <c r="AT23" s="113">
        <f t="shared" si="27"/>
        <v>28</v>
      </c>
      <c r="AU23" s="69"/>
      <c r="AV23" s="114">
        <f>+L23</f>
        <v>0</v>
      </c>
      <c r="AW23" s="114">
        <f>+V23</f>
        <v>0</v>
      </c>
      <c r="AX23" s="114">
        <f>+AF23</f>
        <v>0</v>
      </c>
      <c r="AY23" s="114">
        <f>+AO23</f>
        <v>18</v>
      </c>
      <c r="AZ23" s="114">
        <f>+L45</f>
        <v>2</v>
      </c>
      <c r="BA23" s="114">
        <f>+V45</f>
        <v>0</v>
      </c>
      <c r="BB23" s="114">
        <f>+AF45</f>
        <v>0</v>
      </c>
      <c r="BC23" s="35"/>
      <c r="BD23" s="115">
        <f>+I87</f>
        <v>3.8750035714285715</v>
      </c>
      <c r="BE23" s="115">
        <f>+BD23*AP23</f>
        <v>77.500071428571431</v>
      </c>
      <c r="BF23" s="115">
        <f>+BD23*AY23</f>
        <v>69.750064285714288</v>
      </c>
    </row>
    <row r="24" spans="1:60" s="116" customFormat="1" ht="14.1" customHeight="1">
      <c r="A24" s="62">
        <v>13</v>
      </c>
      <c r="B24" s="142" t="str">
        <f>+B88</f>
        <v>Jose Lares P.</v>
      </c>
      <c r="C24" s="102">
        <v>7</v>
      </c>
      <c r="D24" s="102">
        <v>16</v>
      </c>
      <c r="E24" s="102">
        <v>1</v>
      </c>
      <c r="F24" s="143">
        <f>+D24-C24-E24</f>
        <v>8</v>
      </c>
      <c r="G24" s="144"/>
      <c r="H24" s="145"/>
      <c r="I24" s="143">
        <f>+H24-G24</f>
        <v>0</v>
      </c>
      <c r="J24" s="102"/>
      <c r="K24" s="146">
        <f>+I24+F24-L24</f>
        <v>8</v>
      </c>
      <c r="L24" s="147">
        <f>IF(C24&gt;0,(F24+I24)+IF(K$5&gt;0,F24,-8),0)+IF(U$5&gt;0,I24,0)</f>
        <v>0</v>
      </c>
      <c r="M24" s="148">
        <v>7</v>
      </c>
      <c r="N24" s="102">
        <v>16</v>
      </c>
      <c r="O24" s="102">
        <v>1</v>
      </c>
      <c r="P24" s="143">
        <f>+N24-M24-O24</f>
        <v>8</v>
      </c>
      <c r="Q24" s="43"/>
      <c r="R24" s="43"/>
      <c r="S24" s="143">
        <f>+R24-Q24</f>
        <v>0</v>
      </c>
      <c r="T24" s="102"/>
      <c r="U24" s="146">
        <f>+S24+P24-V24</f>
        <v>8</v>
      </c>
      <c r="V24" s="147">
        <f>IF(M24&gt;0,(P24+S24)+IF(U$5&gt;0,P24,-8),0)+IF(AE$5&gt;0,S24,0)</f>
        <v>0</v>
      </c>
      <c r="W24" s="102">
        <v>7</v>
      </c>
      <c r="X24" s="102">
        <v>16</v>
      </c>
      <c r="Y24" s="102">
        <v>1</v>
      </c>
      <c r="Z24" s="143">
        <f>+X24-W24-Y24</f>
        <v>8</v>
      </c>
      <c r="AA24" s="102"/>
      <c r="AB24" s="28"/>
      <c r="AC24" s="143">
        <f>+AB24-AA24</f>
        <v>0</v>
      </c>
      <c r="AD24" s="102"/>
      <c r="AE24" s="146">
        <f t="shared" ref="AE24" si="28">+AC24+Z24-IF(AE$5&gt;0,AF24/2,AF24)</f>
        <v>8</v>
      </c>
      <c r="AF24" s="147">
        <f>IF(W24&gt;0,IF(AE$5&gt;0,(Z24+AC24)*2,(Z24+AC24-8)),0)*IF(Z24&lt;9,IF(AE$5&gt;0,1,2),1)+IF(Z24&gt;8,AC24,0)</f>
        <v>0</v>
      </c>
      <c r="AG24" s="102"/>
      <c r="AH24" s="102"/>
      <c r="AI24" s="102"/>
      <c r="AJ24" s="149">
        <f>+AH24-AG24-AI24</f>
        <v>0</v>
      </c>
      <c r="AK24" s="102"/>
      <c r="AL24" s="102"/>
      <c r="AM24" s="143">
        <f>+AL24-AK24</f>
        <v>0</v>
      </c>
      <c r="AN24" s="150"/>
      <c r="AO24" s="151">
        <f>(AJ24*2+AM24)</f>
        <v>0</v>
      </c>
      <c r="AP24" s="841">
        <f>+L24+V24+AF24+AO24+L47+V47+AF47-AN24</f>
        <v>0</v>
      </c>
      <c r="AQ24" s="842"/>
      <c r="AR24" s="843">
        <f>ROUND(BD24*AP24,1)</f>
        <v>0</v>
      </c>
      <c r="AS24" s="844"/>
      <c r="AT24" s="113">
        <f t="shared" si="27"/>
        <v>20</v>
      </c>
      <c r="AU24" s="69"/>
      <c r="AV24" s="114">
        <f>+L24</f>
        <v>0</v>
      </c>
      <c r="AW24" s="114">
        <f>+V24</f>
        <v>0</v>
      </c>
      <c r="AX24" s="114">
        <f>+AF24</f>
        <v>0</v>
      </c>
      <c r="AY24" s="114">
        <f>+AO24</f>
        <v>0</v>
      </c>
      <c r="AZ24" s="114">
        <f>+L47</f>
        <v>0</v>
      </c>
      <c r="BA24" s="114">
        <f>+V47</f>
        <v>0</v>
      </c>
      <c r="BB24" s="114">
        <f>+AF47</f>
        <v>0</v>
      </c>
      <c r="BC24" s="35"/>
      <c r="BD24" s="115">
        <f>+I88</f>
        <v>3.8750035714285715</v>
      </c>
      <c r="BE24" s="115">
        <f>+BD24*AP24</f>
        <v>0</v>
      </c>
      <c r="BF24" s="115">
        <f>+BD24*AY24</f>
        <v>0</v>
      </c>
    </row>
    <row r="25" spans="1:60" ht="14.1" customHeight="1" thickBot="1">
      <c r="A25" s="1">
        <v>14</v>
      </c>
      <c r="B25" s="152" t="str">
        <f t="shared" ref="B25" si="29">+B89</f>
        <v>Jeeimy Davila C.</v>
      </c>
      <c r="C25" s="577"/>
      <c r="D25" s="578"/>
      <c r="E25" s="579"/>
      <c r="F25" s="580">
        <f>+D25-C25-E25</f>
        <v>0</v>
      </c>
      <c r="G25" s="578"/>
      <c r="H25" s="578"/>
      <c r="I25" s="580">
        <f>+H25-G25</f>
        <v>0</v>
      </c>
      <c r="J25" s="579"/>
      <c r="K25" s="581">
        <f>+I25+F25-L25</f>
        <v>0</v>
      </c>
      <c r="L25" s="582">
        <f t="shared" si="3"/>
        <v>0</v>
      </c>
      <c r="M25" s="583"/>
      <c r="N25" s="578"/>
      <c r="O25" s="579"/>
      <c r="P25" s="580">
        <f>+N25-M25-O25</f>
        <v>0</v>
      </c>
      <c r="Q25" s="578"/>
      <c r="R25" s="578"/>
      <c r="S25" s="580">
        <f>+R25-Q25</f>
        <v>0</v>
      </c>
      <c r="T25" s="579"/>
      <c r="U25" s="581">
        <f>+S25+P25-V25</f>
        <v>0</v>
      </c>
      <c r="V25" s="582">
        <f>IF(M25&gt;0,(P25+S25)+IF(U$5&gt;0,P25,-8),0)+IF(AE$5&gt;0,S25,0)</f>
        <v>0</v>
      </c>
      <c r="W25" s="578"/>
      <c r="X25" s="578"/>
      <c r="Y25" s="579"/>
      <c r="Z25" s="580">
        <f>+X25-W25-Y25</f>
        <v>0</v>
      </c>
      <c r="AA25" s="578"/>
      <c r="AB25" s="584"/>
      <c r="AC25" s="580">
        <f>+AB25-AA25</f>
        <v>0</v>
      </c>
      <c r="AD25" s="579"/>
      <c r="AE25" s="581">
        <f t="shared" si="10"/>
        <v>0</v>
      </c>
      <c r="AF25" s="582">
        <f>IF(W25&gt;0,IF(AE$5&gt;0,(Z25+AC25)*2,(Z25+AC25-8)),0)*IF(Z25&lt;9,IF(AE$5&gt;0,1,2),1)+IF(Z25&gt;8,AC25,0)</f>
        <v>0</v>
      </c>
      <c r="AG25" s="585"/>
      <c r="AH25" s="578"/>
      <c r="AI25" s="579"/>
      <c r="AJ25" s="586">
        <f t="shared" si="11"/>
        <v>0</v>
      </c>
      <c r="AK25" s="578"/>
      <c r="AL25" s="578"/>
      <c r="AM25" s="580">
        <f>+AL25-AK25</f>
        <v>0</v>
      </c>
      <c r="AN25" s="587"/>
      <c r="AO25" s="588">
        <f>(AJ25*2+AM25)</f>
        <v>0</v>
      </c>
      <c r="AP25" s="1190">
        <f>+L25+V25+AF25+AO25+L47+V47+AF47-AN25</f>
        <v>0</v>
      </c>
      <c r="AQ25" s="1191"/>
      <c r="AR25" s="1192">
        <f>ROUND(BD25*AP25,1)</f>
        <v>0</v>
      </c>
      <c r="AS25" s="1193"/>
      <c r="AT25" s="166">
        <f t="shared" ref="AT25" si="30">IF(AT47&gt;0,AT47*$AT$10,0)</f>
        <v>8</v>
      </c>
      <c r="AV25" s="114">
        <f>+L25</f>
        <v>0</v>
      </c>
      <c r="AW25" s="114">
        <f>+V25</f>
        <v>0</v>
      </c>
      <c r="AX25" s="114">
        <f>+AF25</f>
        <v>0</v>
      </c>
      <c r="AY25" s="114">
        <f>+AO25</f>
        <v>0</v>
      </c>
      <c r="AZ25" s="114">
        <f t="shared" ref="AZ25" si="31">+L47</f>
        <v>0</v>
      </c>
      <c r="BA25" s="114">
        <f t="shared" ref="BA25" si="32">+V47</f>
        <v>0</v>
      </c>
      <c r="BB25" s="114">
        <f t="shared" ref="BB25" si="33">+AF47</f>
        <v>0</v>
      </c>
      <c r="BC25" s="35"/>
      <c r="BD25" s="36">
        <f t="shared" ref="BD25" si="34">+I89</f>
        <v>4.125</v>
      </c>
      <c r="BE25" s="37">
        <f>+BD25*AP25</f>
        <v>0</v>
      </c>
      <c r="BF25" s="38">
        <f>+BD25*AY25</f>
        <v>0</v>
      </c>
    </row>
    <row r="26" spans="1:60" ht="5.0999999999999996" customHeight="1" thickBot="1">
      <c r="BC26" s="167"/>
      <c r="BD26" s="168"/>
      <c r="BE26" s="855">
        <f>SUM(BE11:BE25)</f>
        <v>353.48472738095234</v>
      </c>
      <c r="BF26" s="856">
        <f>SUM(BF11:BF25)</f>
        <v>231.91084285714288</v>
      </c>
    </row>
    <row r="27" spans="1:60" ht="9.9499999999999993" customHeight="1">
      <c r="B27" s="741" t="s">
        <v>1</v>
      </c>
      <c r="C27" s="858">
        <f>1+AG5</f>
        <v>43850</v>
      </c>
      <c r="D27" s="858"/>
      <c r="E27" s="858"/>
      <c r="F27" s="858"/>
      <c r="G27" s="858"/>
      <c r="H27" s="858"/>
      <c r="I27" s="858"/>
      <c r="J27" s="858"/>
      <c r="K27" s="860"/>
      <c r="L27" s="861"/>
      <c r="M27" s="864">
        <f>1+C27</f>
        <v>43851</v>
      </c>
      <c r="N27" s="865"/>
      <c r="O27" s="865"/>
      <c r="P27" s="865"/>
      <c r="Q27" s="865"/>
      <c r="R27" s="865"/>
      <c r="S27" s="865"/>
      <c r="T27" s="866"/>
      <c r="U27" s="870"/>
      <c r="V27" s="871"/>
      <c r="W27" s="864">
        <f>1+M27</f>
        <v>43852</v>
      </c>
      <c r="X27" s="865"/>
      <c r="Y27" s="865"/>
      <c r="Z27" s="865"/>
      <c r="AA27" s="865"/>
      <c r="AB27" s="865"/>
      <c r="AC27" s="865"/>
      <c r="AD27" s="866"/>
      <c r="AE27" s="880"/>
      <c r="AF27" s="881"/>
      <c r="AH27" s="884" t="s">
        <v>18</v>
      </c>
      <c r="AI27" s="879">
        <f>+C5</f>
        <v>43846</v>
      </c>
      <c r="AJ27" s="885">
        <f t="shared" ref="AJ27:AO27" si="35">1+AI27</f>
        <v>43847</v>
      </c>
      <c r="AK27" s="885">
        <f t="shared" si="35"/>
        <v>43848</v>
      </c>
      <c r="AL27" s="878">
        <f t="shared" si="35"/>
        <v>43849</v>
      </c>
      <c r="AM27" s="878">
        <f t="shared" si="35"/>
        <v>43850</v>
      </c>
      <c r="AN27" s="879">
        <f t="shared" si="35"/>
        <v>43851</v>
      </c>
      <c r="AO27" s="879">
        <f t="shared" si="35"/>
        <v>43852</v>
      </c>
      <c r="AP27" s="911" t="s">
        <v>19</v>
      </c>
      <c r="AQ27" s="912"/>
      <c r="AR27" s="913" t="s">
        <v>20</v>
      </c>
      <c r="AS27" s="914"/>
      <c r="AT27" s="898" t="s">
        <v>21</v>
      </c>
      <c r="AW27" s="901">
        <f>+AL27</f>
        <v>43849</v>
      </c>
      <c r="AX27" s="902"/>
      <c r="AZ27" s="907" t="s">
        <v>22</v>
      </c>
      <c r="BA27" s="907"/>
      <c r="BB27" s="907"/>
      <c r="BC27" s="907"/>
      <c r="BD27" s="168"/>
      <c r="BE27" s="855"/>
      <c r="BF27" s="857"/>
    </row>
    <row r="28" spans="1:60" ht="9.9499999999999993" customHeight="1">
      <c r="B28" s="742"/>
      <c r="C28" s="859"/>
      <c r="D28" s="859"/>
      <c r="E28" s="859"/>
      <c r="F28" s="859"/>
      <c r="G28" s="859"/>
      <c r="H28" s="859"/>
      <c r="I28" s="859"/>
      <c r="J28" s="859"/>
      <c r="K28" s="862"/>
      <c r="L28" s="863"/>
      <c r="M28" s="867"/>
      <c r="N28" s="868"/>
      <c r="O28" s="868"/>
      <c r="P28" s="868"/>
      <c r="Q28" s="868"/>
      <c r="R28" s="868"/>
      <c r="S28" s="868"/>
      <c r="T28" s="869"/>
      <c r="U28" s="872"/>
      <c r="V28" s="873"/>
      <c r="W28" s="867"/>
      <c r="X28" s="868"/>
      <c r="Y28" s="868"/>
      <c r="Z28" s="868"/>
      <c r="AA28" s="868"/>
      <c r="AB28" s="868"/>
      <c r="AC28" s="868"/>
      <c r="AD28" s="869"/>
      <c r="AE28" s="882"/>
      <c r="AF28" s="883"/>
      <c r="AH28" s="884"/>
      <c r="AI28" s="879"/>
      <c r="AJ28" s="885"/>
      <c r="AK28" s="885"/>
      <c r="AL28" s="878"/>
      <c r="AM28" s="878"/>
      <c r="AN28" s="879"/>
      <c r="AO28" s="879"/>
      <c r="AP28" s="911"/>
      <c r="AQ28" s="912"/>
      <c r="AR28" s="915"/>
      <c r="AS28" s="916"/>
      <c r="AT28" s="899"/>
      <c r="AW28" s="903"/>
      <c r="AX28" s="904"/>
      <c r="AZ28" s="908">
        <f>SUM(AV11:BB25)</f>
        <v>84</v>
      </c>
      <c r="BA28" s="909"/>
      <c r="BB28" s="909"/>
      <c r="BC28" s="169"/>
      <c r="BD28" s="168"/>
      <c r="BE28" s="170"/>
    </row>
    <row r="29" spans="1:60" ht="15.2" customHeight="1">
      <c r="B29" s="742"/>
      <c r="C29" s="780" t="s">
        <v>10</v>
      </c>
      <c r="D29" s="874"/>
      <c r="E29" s="766" t="s">
        <v>11</v>
      </c>
      <c r="F29" s="769" t="s">
        <v>12</v>
      </c>
      <c r="G29" s="877" t="s">
        <v>10</v>
      </c>
      <c r="H29" s="874"/>
      <c r="I29" s="769" t="s">
        <v>12</v>
      </c>
      <c r="J29" s="773" t="s">
        <v>13</v>
      </c>
      <c r="K29" s="786" t="s">
        <v>14</v>
      </c>
      <c r="L29" s="886" t="s">
        <v>15</v>
      </c>
      <c r="M29" s="780" t="s">
        <v>10</v>
      </c>
      <c r="N29" s="888"/>
      <c r="O29" s="767" t="s">
        <v>11</v>
      </c>
      <c r="P29" s="770" t="s">
        <v>12</v>
      </c>
      <c r="Q29" s="877" t="s">
        <v>10</v>
      </c>
      <c r="R29" s="893"/>
      <c r="S29" s="770" t="s">
        <v>12</v>
      </c>
      <c r="T29" s="774" t="s">
        <v>13</v>
      </c>
      <c r="U29" s="787" t="s">
        <v>14</v>
      </c>
      <c r="V29" s="886" t="s">
        <v>15</v>
      </c>
      <c r="W29" s="780" t="s">
        <v>10</v>
      </c>
      <c r="X29" s="888"/>
      <c r="Y29" s="767" t="s">
        <v>11</v>
      </c>
      <c r="Z29" s="770" t="s">
        <v>12</v>
      </c>
      <c r="AA29" s="877" t="s">
        <v>10</v>
      </c>
      <c r="AB29" s="893"/>
      <c r="AC29" s="770" t="s">
        <v>12</v>
      </c>
      <c r="AD29" s="774" t="s">
        <v>13</v>
      </c>
      <c r="AE29" s="787" t="s">
        <v>14</v>
      </c>
      <c r="AF29" s="886"/>
      <c r="AH29" s="884"/>
      <c r="AI29" s="879"/>
      <c r="AJ29" s="885"/>
      <c r="AK29" s="885"/>
      <c r="AL29" s="878"/>
      <c r="AM29" s="878"/>
      <c r="AN29" s="879"/>
      <c r="AO29" s="879"/>
      <c r="AP29" s="911"/>
      <c r="AQ29" s="912"/>
      <c r="AR29" s="915"/>
      <c r="AS29" s="916"/>
      <c r="AT29" s="899"/>
      <c r="AW29" s="903"/>
      <c r="AX29" s="904"/>
      <c r="AZ29" s="910"/>
      <c r="BA29" s="910"/>
      <c r="BB29" s="910"/>
      <c r="BC29" s="169"/>
      <c r="BD29" s="168"/>
      <c r="BE29" s="168"/>
    </row>
    <row r="30" spans="1:60" ht="15.2" customHeight="1">
      <c r="B30" s="742"/>
      <c r="C30" s="875"/>
      <c r="D30" s="810"/>
      <c r="E30" s="767"/>
      <c r="F30" s="770"/>
      <c r="G30" s="811"/>
      <c r="H30" s="810"/>
      <c r="I30" s="770"/>
      <c r="J30" s="774"/>
      <c r="K30" s="787"/>
      <c r="L30" s="886"/>
      <c r="M30" s="889"/>
      <c r="N30" s="890"/>
      <c r="O30" s="767"/>
      <c r="P30" s="770"/>
      <c r="Q30" s="894"/>
      <c r="R30" s="895"/>
      <c r="S30" s="770"/>
      <c r="T30" s="774"/>
      <c r="U30" s="787"/>
      <c r="V30" s="886"/>
      <c r="W30" s="889"/>
      <c r="X30" s="890"/>
      <c r="Y30" s="767"/>
      <c r="Z30" s="770"/>
      <c r="AA30" s="894"/>
      <c r="AB30" s="895"/>
      <c r="AC30" s="770"/>
      <c r="AD30" s="774"/>
      <c r="AE30" s="787"/>
      <c r="AF30" s="886"/>
      <c r="AH30" s="884"/>
      <c r="AI30" s="879"/>
      <c r="AJ30" s="885"/>
      <c r="AK30" s="885"/>
      <c r="AL30" s="878"/>
      <c r="AM30" s="878"/>
      <c r="AN30" s="879"/>
      <c r="AO30" s="879"/>
      <c r="AP30" s="911"/>
      <c r="AQ30" s="912"/>
      <c r="AR30" s="915"/>
      <c r="AS30" s="916"/>
      <c r="AT30" s="899"/>
      <c r="AW30" s="903"/>
      <c r="AX30" s="904"/>
      <c r="AY30" s="7" t="s">
        <v>23</v>
      </c>
      <c r="BD30" s="171">
        <f>+AZ28-AW49</f>
        <v>30</v>
      </c>
      <c r="BE30" s="172" t="s">
        <v>24</v>
      </c>
    </row>
    <row r="31" spans="1:60" ht="15.2" customHeight="1">
      <c r="B31" s="742"/>
      <c r="C31" s="875"/>
      <c r="D31" s="810"/>
      <c r="E31" s="767"/>
      <c r="F31" s="770"/>
      <c r="G31" s="811"/>
      <c r="H31" s="810"/>
      <c r="I31" s="770"/>
      <c r="J31" s="774"/>
      <c r="K31" s="787"/>
      <c r="L31" s="886"/>
      <c r="M31" s="889"/>
      <c r="N31" s="890"/>
      <c r="O31" s="767"/>
      <c r="P31" s="770"/>
      <c r="Q31" s="894"/>
      <c r="R31" s="895"/>
      <c r="S31" s="770"/>
      <c r="T31" s="774"/>
      <c r="U31" s="787"/>
      <c r="V31" s="886"/>
      <c r="W31" s="889"/>
      <c r="X31" s="890"/>
      <c r="Y31" s="767"/>
      <c r="Z31" s="770"/>
      <c r="AA31" s="894"/>
      <c r="AB31" s="895"/>
      <c r="AC31" s="770"/>
      <c r="AD31" s="774"/>
      <c r="AE31" s="787"/>
      <c r="AF31" s="886"/>
      <c r="AH31" s="884"/>
      <c r="AI31" s="879"/>
      <c r="AJ31" s="885"/>
      <c r="AK31" s="885"/>
      <c r="AL31" s="878"/>
      <c r="AM31" s="878"/>
      <c r="AN31" s="879"/>
      <c r="AO31" s="879"/>
      <c r="AP31" s="911"/>
      <c r="AQ31" s="912"/>
      <c r="AR31" s="915"/>
      <c r="AS31" s="916"/>
      <c r="AT31" s="899"/>
      <c r="AW31" s="903"/>
      <c r="AX31" s="904"/>
    </row>
    <row r="32" spans="1:60" ht="15.2" customHeight="1" thickBot="1">
      <c r="B32" s="743"/>
      <c r="C32" s="876"/>
      <c r="D32" s="813"/>
      <c r="E32" s="768"/>
      <c r="F32" s="771"/>
      <c r="G32" s="812"/>
      <c r="H32" s="813"/>
      <c r="I32" s="771"/>
      <c r="J32" s="775"/>
      <c r="K32" s="788"/>
      <c r="L32" s="887"/>
      <c r="M32" s="891"/>
      <c r="N32" s="892"/>
      <c r="O32" s="768"/>
      <c r="P32" s="771"/>
      <c r="Q32" s="896"/>
      <c r="R32" s="897"/>
      <c r="S32" s="771"/>
      <c r="T32" s="775"/>
      <c r="U32" s="788"/>
      <c r="V32" s="887"/>
      <c r="W32" s="891"/>
      <c r="X32" s="892"/>
      <c r="Y32" s="768"/>
      <c r="Z32" s="771"/>
      <c r="AA32" s="896"/>
      <c r="AB32" s="897"/>
      <c r="AC32" s="771"/>
      <c r="AD32" s="775"/>
      <c r="AE32" s="788"/>
      <c r="AF32" s="887"/>
      <c r="AH32" s="884"/>
      <c r="AI32" s="879"/>
      <c r="AJ32" s="885"/>
      <c r="AK32" s="885"/>
      <c r="AL32" s="878"/>
      <c r="AM32" s="878"/>
      <c r="AN32" s="879"/>
      <c r="AO32" s="879"/>
      <c r="AP32" s="911"/>
      <c r="AQ32" s="912"/>
      <c r="AR32" s="917"/>
      <c r="AS32" s="918"/>
      <c r="AT32" s="900"/>
      <c r="AW32" s="905"/>
      <c r="AX32" s="906"/>
      <c r="BE32" s="173"/>
    </row>
    <row r="33" spans="1:57" ht="14.1" customHeight="1">
      <c r="B33" s="16" t="str">
        <f t="shared" ref="B33:B45" si="36">+B11</f>
        <v>Eduardo Segura D.</v>
      </c>
      <c r="C33" s="17">
        <v>7</v>
      </c>
      <c r="D33" s="18">
        <v>14</v>
      </c>
      <c r="E33" s="19">
        <v>1</v>
      </c>
      <c r="F33" s="40">
        <f t="shared" ref="F33:F47" si="37">+D33-C33-E33</f>
        <v>6</v>
      </c>
      <c r="G33" s="43"/>
      <c r="H33" s="544">
        <v>2</v>
      </c>
      <c r="I33" s="40">
        <f t="shared" ref="I33:I47" si="38">+H33-G33</f>
        <v>2</v>
      </c>
      <c r="J33" s="19"/>
      <c r="K33" s="41">
        <f t="shared" ref="K33:K47" si="39">+I33+F33-L33</f>
        <v>8</v>
      </c>
      <c r="L33" s="25">
        <f t="shared" ref="L33:L47" si="40">IF(C33&gt;0,(F33+I33)+IF(K$27&gt;0,F33,-8),0)+IF(U$27&gt;0,I33,0)</f>
        <v>0</v>
      </c>
      <c r="M33" s="43">
        <v>7</v>
      </c>
      <c r="N33" s="18">
        <v>16</v>
      </c>
      <c r="O33" s="19">
        <v>1</v>
      </c>
      <c r="P33" s="40">
        <f t="shared" ref="P33:P47" si="41">+N33-M33-O33</f>
        <v>8</v>
      </c>
      <c r="Q33" s="138"/>
      <c r="R33" s="174"/>
      <c r="S33" s="40">
        <f t="shared" ref="S33:S47" si="42">+R33-Q33</f>
        <v>0</v>
      </c>
      <c r="T33" s="19"/>
      <c r="U33" s="41">
        <f t="shared" ref="U33:U47" si="43">+S33+P33-V33</f>
        <v>8</v>
      </c>
      <c r="V33" s="25">
        <f t="shared" ref="V33:V47" si="44">IF(M33&gt;0,(P33+S33)+IF(U$27&gt;0,P33,-8),0)+IF(AE$27&gt;0,S33,0)</f>
        <v>0</v>
      </c>
      <c r="W33" s="18">
        <v>8</v>
      </c>
      <c r="X33" s="18">
        <v>14</v>
      </c>
      <c r="Y33" s="175">
        <v>1</v>
      </c>
      <c r="Z33" s="176">
        <f t="shared" ref="Z33:Z47" si="45">+X33-W33-Y33</f>
        <v>5</v>
      </c>
      <c r="AA33" s="138"/>
      <c r="AB33" s="544">
        <v>2</v>
      </c>
      <c r="AC33" s="176">
        <f t="shared" ref="AC33:AC47" si="46">+AB33-AA33</f>
        <v>2</v>
      </c>
      <c r="AD33" s="175"/>
      <c r="AE33" s="177">
        <f t="shared" ref="AE33:AE47" si="47">+AC33+Z33-AF33</f>
        <v>8</v>
      </c>
      <c r="AF33" s="25">
        <f t="shared" ref="AF33:AF47" si="48">IF(W33&gt;0,(Z33+AC33)+IF(AE$27&gt;0,0+Z33,-8),0)</f>
        <v>-1</v>
      </c>
      <c r="AG33" s="69"/>
      <c r="AH33" s="178">
        <v>0</v>
      </c>
      <c r="AI33" s="179">
        <f>+K11+(IF(ISBLANK($K$5),-8,0))</f>
        <v>0</v>
      </c>
      <c r="AJ33" s="179">
        <f>IF(ISBLANK($U$5),-8,0)+U11</f>
        <v>0</v>
      </c>
      <c r="AK33" s="179">
        <f>IF(ISBLANK($AE$5),-8,0)+AE11</f>
        <v>0</v>
      </c>
      <c r="AL33" s="179">
        <f t="shared" ref="AL33:AL47" si="49">IF(ISBLANK($AO$5),-8,0)+AO11+AW33</f>
        <v>0</v>
      </c>
      <c r="AM33" s="179">
        <f t="shared" ref="AM33:AM47" si="50">IF(ISBLANK($K$27),-8,0)+K33</f>
        <v>0</v>
      </c>
      <c r="AN33" s="179">
        <f t="shared" ref="AN33:AN47" si="51">IF(ISBLANK($U$27),-8,0)+U33</f>
        <v>0</v>
      </c>
      <c r="AO33" s="179">
        <f t="shared" ref="AO33:AO47" si="52">IF(ISBLANK($AE$27),-8,0)+AE33</f>
        <v>0</v>
      </c>
      <c r="AP33" s="180">
        <f t="shared" ref="AP33:AP47" si="53">SUM(AH33:AO33)</f>
        <v>0</v>
      </c>
      <c r="AQ33" s="69"/>
      <c r="AR33" s="919">
        <f>+X73*Q73</f>
        <v>0</v>
      </c>
      <c r="AS33" s="925"/>
      <c r="AT33" s="181">
        <f>IF(K11+L11&gt;0,1,0)+IF(U11+V11&gt;0,1,0)+IF(AE11+AF11&gt;0,1,0)+IF(AO11&gt;3,1,0)+IF(K33+L33&gt;0,1,0)+IF(U33+V33&gt;0,1,0)+IF(AE33+AF33&gt;0,1,0)</f>
        <v>6</v>
      </c>
      <c r="AU33" s="69"/>
      <c r="AV33" s="69"/>
      <c r="AW33" s="921"/>
      <c r="AX33" s="922"/>
      <c r="BD33" s="182"/>
      <c r="BE33" s="183"/>
    </row>
    <row r="34" spans="1:57" ht="14.1" customHeight="1">
      <c r="B34" s="190" t="str">
        <f t="shared" si="36"/>
        <v>Cesar Mendez M.</v>
      </c>
      <c r="C34" s="17">
        <v>8</v>
      </c>
      <c r="D34" s="18">
        <v>17</v>
      </c>
      <c r="E34" s="19">
        <v>1</v>
      </c>
      <c r="F34" s="40">
        <f t="shared" si="37"/>
        <v>8</v>
      </c>
      <c r="G34" s="43"/>
      <c r="H34" s="43"/>
      <c r="I34" s="40">
        <f t="shared" si="38"/>
        <v>0</v>
      </c>
      <c r="J34" s="19"/>
      <c r="K34" s="41">
        <f t="shared" si="39"/>
        <v>8</v>
      </c>
      <c r="L34" s="25">
        <f t="shared" si="40"/>
        <v>0</v>
      </c>
      <c r="M34" s="43">
        <v>7</v>
      </c>
      <c r="N34" s="18">
        <v>16</v>
      </c>
      <c r="O34" s="19">
        <v>1</v>
      </c>
      <c r="P34" s="40">
        <f t="shared" si="41"/>
        <v>8</v>
      </c>
      <c r="Q34" s="43"/>
      <c r="R34" s="184"/>
      <c r="S34" s="40">
        <f t="shared" si="42"/>
        <v>0</v>
      </c>
      <c r="T34" s="19"/>
      <c r="U34" s="41">
        <f t="shared" si="43"/>
        <v>8</v>
      </c>
      <c r="V34" s="25">
        <f t="shared" si="44"/>
        <v>0</v>
      </c>
      <c r="W34" s="18">
        <v>7</v>
      </c>
      <c r="X34" s="18">
        <v>16</v>
      </c>
      <c r="Y34" s="19">
        <v>1</v>
      </c>
      <c r="Z34" s="40">
        <f t="shared" si="45"/>
        <v>8</v>
      </c>
      <c r="AA34" s="18"/>
      <c r="AB34" s="43"/>
      <c r="AC34" s="40">
        <f t="shared" si="46"/>
        <v>0</v>
      </c>
      <c r="AD34" s="19"/>
      <c r="AE34" s="41">
        <f t="shared" si="47"/>
        <v>8</v>
      </c>
      <c r="AF34" s="25">
        <f t="shared" si="48"/>
        <v>0</v>
      </c>
      <c r="AG34" s="69"/>
      <c r="AH34" s="178">
        <v>0</v>
      </c>
      <c r="AI34" s="179">
        <f>+K12+(IF(ISBLANK($K$5),-8,0))</f>
        <v>0</v>
      </c>
      <c r="AJ34" s="179">
        <f>IF(ISBLANK($U$5),-8,0)+U12</f>
        <v>0</v>
      </c>
      <c r="AK34" s="179">
        <f>IF(ISBLANK($AE$5),-8,0)+AE12</f>
        <v>0</v>
      </c>
      <c r="AL34" s="179">
        <f t="shared" si="49"/>
        <v>0</v>
      </c>
      <c r="AM34" s="179">
        <f t="shared" si="50"/>
        <v>0</v>
      </c>
      <c r="AN34" s="179">
        <f t="shared" si="51"/>
        <v>0</v>
      </c>
      <c r="AO34" s="179">
        <f t="shared" si="52"/>
        <v>0</v>
      </c>
      <c r="AP34" s="180">
        <f t="shared" si="53"/>
        <v>0</v>
      </c>
      <c r="AQ34" s="69"/>
      <c r="AR34" s="919">
        <f>+X74*Q74</f>
        <v>0</v>
      </c>
      <c r="AS34" s="920"/>
      <c r="AT34" s="181">
        <f>IF(K12+L12&gt;0,1,0)+IF(U12+V12&gt;0,1,0)+IF(AE12+AF12&gt;0,1,0)+IF(AO12&gt;3,1,0)+IF(K34+L34&gt;0,1,0)+IF(U34+V34&gt;0,1,0)+IF(AE34+AF34&gt;0,1,0)</f>
        <v>7</v>
      </c>
      <c r="AU34" s="69"/>
      <c r="AV34" s="69"/>
      <c r="AW34" s="921">
        <v>-18</v>
      </c>
      <c r="AX34" s="922"/>
    </row>
    <row r="35" spans="1:57" ht="14.1" customHeight="1">
      <c r="B35" s="559" t="str">
        <f t="shared" si="36"/>
        <v>Juan Manrique V.</v>
      </c>
      <c r="C35" s="17">
        <v>7</v>
      </c>
      <c r="D35" s="18">
        <v>16</v>
      </c>
      <c r="E35" s="19">
        <v>1</v>
      </c>
      <c r="F35" s="40">
        <f t="shared" si="37"/>
        <v>8</v>
      </c>
      <c r="G35" s="43"/>
      <c r="H35" s="43"/>
      <c r="I35" s="40">
        <f t="shared" si="38"/>
        <v>0</v>
      </c>
      <c r="J35" s="19"/>
      <c r="K35" s="41">
        <f t="shared" si="39"/>
        <v>8</v>
      </c>
      <c r="L35" s="25">
        <f t="shared" si="40"/>
        <v>0</v>
      </c>
      <c r="M35" s="43">
        <v>7</v>
      </c>
      <c r="N35" s="18">
        <v>17</v>
      </c>
      <c r="O35" s="19">
        <v>1</v>
      </c>
      <c r="P35" s="40">
        <f t="shared" si="41"/>
        <v>9</v>
      </c>
      <c r="Q35" s="117"/>
      <c r="R35" s="189"/>
      <c r="S35" s="40">
        <f t="shared" si="42"/>
        <v>0</v>
      </c>
      <c r="T35" s="19"/>
      <c r="U35" s="41">
        <f t="shared" si="43"/>
        <v>8</v>
      </c>
      <c r="V35" s="25">
        <f t="shared" si="44"/>
        <v>1</v>
      </c>
      <c r="W35" s="18">
        <v>8</v>
      </c>
      <c r="X35" s="18">
        <v>18</v>
      </c>
      <c r="Y35" s="19">
        <v>1</v>
      </c>
      <c r="Z35" s="40">
        <f t="shared" si="45"/>
        <v>9</v>
      </c>
      <c r="AA35" s="18"/>
      <c r="AB35" s="18"/>
      <c r="AC35" s="40">
        <f t="shared" si="46"/>
        <v>0</v>
      </c>
      <c r="AD35" s="19"/>
      <c r="AE35" s="41">
        <f t="shared" si="47"/>
        <v>8</v>
      </c>
      <c r="AF35" s="25">
        <f t="shared" si="48"/>
        <v>1</v>
      </c>
      <c r="AG35" s="69"/>
      <c r="AH35" s="178">
        <v>0</v>
      </c>
      <c r="AI35" s="179">
        <f t="shared" ref="AI35:AI39" si="54">+K13+(IF(ISBLANK($K$5),-8,0))</f>
        <v>0</v>
      </c>
      <c r="AJ35" s="179">
        <f t="shared" ref="AJ35:AJ39" si="55">IF(ISBLANK($U$5),-8,0)+U13</f>
        <v>0</v>
      </c>
      <c r="AK35" s="179">
        <f>IF(ISBLANK($AE$5),-8,0)+AE13</f>
        <v>0.5</v>
      </c>
      <c r="AL35" s="179">
        <f t="shared" si="49"/>
        <v>0</v>
      </c>
      <c r="AM35" s="179">
        <f t="shared" si="50"/>
        <v>0</v>
      </c>
      <c r="AN35" s="179">
        <f t="shared" si="51"/>
        <v>0</v>
      </c>
      <c r="AO35" s="179">
        <f t="shared" si="52"/>
        <v>0</v>
      </c>
      <c r="AP35" s="180">
        <f t="shared" si="53"/>
        <v>0.5</v>
      </c>
      <c r="AQ35" s="69"/>
      <c r="AR35" s="919">
        <f>+X75*Q75</f>
        <v>0</v>
      </c>
      <c r="AS35" s="920"/>
      <c r="AT35" s="187">
        <f>IF(K13+L13&gt;0,1,0)+IF(U13+V13&gt;0,1,0)+IF(AE13+AF13&gt;0,1,0)+IF(AO13&gt;3,1,0)+IF(K35+L35&gt;0,1,0)+IF(U35+V35&gt;0,1,0)+IF(AE35+AF35&gt;0,1,0)</f>
        <v>6</v>
      </c>
      <c r="AU35" s="69"/>
      <c r="AV35" s="69"/>
      <c r="AW35" s="926"/>
      <c r="AX35" s="927"/>
      <c r="AZ35" s="182"/>
      <c r="BD35" s="182"/>
    </row>
    <row r="36" spans="1:57" ht="14.1" customHeight="1">
      <c r="B36" s="190" t="str">
        <f t="shared" si="36"/>
        <v xml:space="preserve"> Irving Huaringa B.</v>
      </c>
      <c r="C36" s="17"/>
      <c r="D36" s="18"/>
      <c r="E36" s="19"/>
      <c r="F36" s="40">
        <f>+D36-C36-E36</f>
        <v>0</v>
      </c>
      <c r="G36" s="43"/>
      <c r="H36" s="43"/>
      <c r="I36" s="40">
        <f>+H36-G36</f>
        <v>0</v>
      </c>
      <c r="J36" s="19"/>
      <c r="K36" s="41">
        <f>+I36+F36-L36</f>
        <v>0</v>
      </c>
      <c r="L36" s="25">
        <f t="shared" si="40"/>
        <v>0</v>
      </c>
      <c r="M36" s="43">
        <v>7</v>
      </c>
      <c r="N36" s="18">
        <v>16</v>
      </c>
      <c r="O36" s="19">
        <v>1</v>
      </c>
      <c r="P36" s="40">
        <f>+N36-M36-O36</f>
        <v>8</v>
      </c>
      <c r="Q36" s="117"/>
      <c r="R36" s="189"/>
      <c r="S36" s="40">
        <f>+R36-Q36</f>
        <v>0</v>
      </c>
      <c r="T36" s="19"/>
      <c r="U36" s="41">
        <f>+S36+P36-V36</f>
        <v>8</v>
      </c>
      <c r="V36" s="25">
        <f t="shared" si="44"/>
        <v>0</v>
      </c>
      <c r="W36" s="18">
        <v>7</v>
      </c>
      <c r="X36" s="18">
        <v>16</v>
      </c>
      <c r="Y36" s="19">
        <v>1</v>
      </c>
      <c r="Z36" s="40">
        <f>+X36-W36-Y36</f>
        <v>8</v>
      </c>
      <c r="AA36" s="18"/>
      <c r="AB36" s="18"/>
      <c r="AC36" s="40">
        <f t="shared" si="46"/>
        <v>0</v>
      </c>
      <c r="AD36" s="19"/>
      <c r="AE36" s="41">
        <f>+AC36+Z36-AF36</f>
        <v>8</v>
      </c>
      <c r="AF36" s="25">
        <f t="shared" si="48"/>
        <v>0</v>
      </c>
      <c r="AG36" s="69"/>
      <c r="AH36" s="178">
        <v>0</v>
      </c>
      <c r="AI36" s="179">
        <f t="shared" si="54"/>
        <v>0</v>
      </c>
      <c r="AJ36" s="179">
        <f t="shared" si="55"/>
        <v>0</v>
      </c>
      <c r="AK36" s="191">
        <f>IF(ISBLANK($AE$5),-5,0)+AE14</f>
        <v>0</v>
      </c>
      <c r="AL36" s="179">
        <f t="shared" si="49"/>
        <v>0</v>
      </c>
      <c r="AM36" s="192">
        <f t="shared" si="50"/>
        <v>-8</v>
      </c>
      <c r="AN36" s="192">
        <f t="shared" si="51"/>
        <v>0</v>
      </c>
      <c r="AO36" s="192">
        <f t="shared" si="52"/>
        <v>0</v>
      </c>
      <c r="AP36" s="180">
        <f>SUM(AH36:AO36)</f>
        <v>-8</v>
      </c>
      <c r="AQ36" s="69"/>
      <c r="AR36" s="919">
        <f>+X76*Q76</f>
        <v>0</v>
      </c>
      <c r="AS36" s="920"/>
      <c r="AT36" s="187">
        <f>IF(K14+L14&gt;0,1,0)+IF(U14+V14&gt;0,1,0)+IF(AE14+AF14&gt;0,1,0)+IF(AO14&gt;3,1,0)+IF(K36+L36&gt;0,1,0)+IF(U36+V36&gt;0,1,0)+IF(AE36+AF36&gt;0,1,0)</f>
        <v>5</v>
      </c>
      <c r="AU36" s="69"/>
      <c r="AV36" s="69"/>
      <c r="AW36" s="921"/>
      <c r="AX36" s="922"/>
    </row>
    <row r="37" spans="1:57" s="84" customFormat="1" ht="14.1" customHeight="1">
      <c r="A37" s="70"/>
      <c r="B37" s="560" t="str">
        <f t="shared" si="36"/>
        <v>Eduardo Marmoles</v>
      </c>
      <c r="C37" s="72">
        <v>7</v>
      </c>
      <c r="D37" s="73">
        <v>17</v>
      </c>
      <c r="E37" s="74">
        <v>1</v>
      </c>
      <c r="F37" s="75">
        <f t="shared" si="37"/>
        <v>9</v>
      </c>
      <c r="G37" s="78"/>
      <c r="H37" s="43"/>
      <c r="I37" s="75">
        <f t="shared" si="38"/>
        <v>0</v>
      </c>
      <c r="J37" s="74"/>
      <c r="K37" s="76">
        <f t="shared" si="39"/>
        <v>8</v>
      </c>
      <c r="L37" s="77">
        <f t="shared" si="40"/>
        <v>1</v>
      </c>
      <c r="M37" s="78">
        <v>7</v>
      </c>
      <c r="N37" s="73">
        <v>17</v>
      </c>
      <c r="O37" s="74">
        <v>1</v>
      </c>
      <c r="P37" s="75">
        <f t="shared" si="41"/>
        <v>9</v>
      </c>
      <c r="Q37" s="193"/>
      <c r="R37" s="186"/>
      <c r="S37" s="75">
        <f t="shared" si="42"/>
        <v>0</v>
      </c>
      <c r="T37" s="74"/>
      <c r="U37" s="76">
        <f t="shared" si="43"/>
        <v>8</v>
      </c>
      <c r="V37" s="77">
        <f t="shared" si="44"/>
        <v>1</v>
      </c>
      <c r="W37" s="73">
        <v>7</v>
      </c>
      <c r="X37" s="73">
        <v>17</v>
      </c>
      <c r="Y37" s="74">
        <v>1</v>
      </c>
      <c r="Z37" s="75">
        <f t="shared" si="45"/>
        <v>9</v>
      </c>
      <c r="AA37" s="73"/>
      <c r="AB37" s="78"/>
      <c r="AC37" s="75">
        <f t="shared" si="46"/>
        <v>0</v>
      </c>
      <c r="AD37" s="74"/>
      <c r="AE37" s="76">
        <f t="shared" si="47"/>
        <v>8</v>
      </c>
      <c r="AF37" s="77">
        <f t="shared" si="48"/>
        <v>1</v>
      </c>
      <c r="AG37" s="194"/>
      <c r="AH37" s="195">
        <v>0</v>
      </c>
      <c r="AI37" s="196">
        <f t="shared" si="54"/>
        <v>0</v>
      </c>
      <c r="AJ37" s="196">
        <f t="shared" si="55"/>
        <v>0</v>
      </c>
      <c r="AK37" s="196">
        <f>IF(ISBLANK($AE$5),-8,0)+AE15</f>
        <v>0</v>
      </c>
      <c r="AL37" s="196">
        <f t="shared" si="49"/>
        <v>0</v>
      </c>
      <c r="AM37" s="196">
        <f t="shared" si="50"/>
        <v>0</v>
      </c>
      <c r="AN37" s="196">
        <f t="shared" si="51"/>
        <v>0</v>
      </c>
      <c r="AO37" s="196">
        <f t="shared" si="52"/>
        <v>0</v>
      </c>
      <c r="AP37" s="197">
        <f t="shared" si="53"/>
        <v>0</v>
      </c>
      <c r="AQ37" s="194"/>
      <c r="AR37" s="1194">
        <f>+X77*Q77</f>
        <v>0</v>
      </c>
      <c r="AS37" s="1195"/>
      <c r="AT37" s="562">
        <v>0</v>
      </c>
      <c r="AU37" s="194"/>
      <c r="AV37" s="194"/>
      <c r="AW37" s="1196"/>
      <c r="AX37" s="1197"/>
      <c r="AZ37" s="199"/>
    </row>
    <row r="38" spans="1:57" ht="14.1" customHeight="1">
      <c r="B38" s="91" t="str">
        <f t="shared" si="36"/>
        <v>Jose Cortez P.</v>
      </c>
      <c r="C38" s="92">
        <v>7</v>
      </c>
      <c r="D38" s="92">
        <v>18</v>
      </c>
      <c r="E38" s="92">
        <v>1</v>
      </c>
      <c r="F38" s="93">
        <f>+D38-C38-E38</f>
        <v>10</v>
      </c>
      <c r="G38" s="43"/>
      <c r="H38" s="43"/>
      <c r="I38" s="93">
        <f>+H38-G38</f>
        <v>0</v>
      </c>
      <c r="J38" s="92"/>
      <c r="K38" s="41">
        <f>+I38+F38-L38</f>
        <v>8</v>
      </c>
      <c r="L38" s="94">
        <f t="shared" si="40"/>
        <v>2</v>
      </c>
      <c r="M38" s="92"/>
      <c r="N38" s="92"/>
      <c r="O38" s="92"/>
      <c r="P38" s="93">
        <f>+N38-M38-O38</f>
        <v>0</v>
      </c>
      <c r="Q38" s="200"/>
      <c r="R38" s="189"/>
      <c r="S38" s="93">
        <f>+R38-Q38</f>
        <v>0</v>
      </c>
      <c r="T38" s="92"/>
      <c r="U38" s="41">
        <f>+S38+P38-V38</f>
        <v>0</v>
      </c>
      <c r="V38" s="94">
        <f t="shared" si="44"/>
        <v>0</v>
      </c>
      <c r="W38" s="92">
        <v>7</v>
      </c>
      <c r="X38" s="92">
        <v>16</v>
      </c>
      <c r="Y38" s="201">
        <v>1</v>
      </c>
      <c r="Z38" s="202">
        <f>+X38-W38-Y38</f>
        <v>8</v>
      </c>
      <c r="AA38" s="18"/>
      <c r="AB38" s="43"/>
      <c r="AC38" s="53">
        <f t="shared" si="46"/>
        <v>0</v>
      </c>
      <c r="AD38" s="19"/>
      <c r="AE38" s="41">
        <f>+AC38+Z38-AF38</f>
        <v>8</v>
      </c>
      <c r="AF38" s="25">
        <f t="shared" si="48"/>
        <v>0</v>
      </c>
      <c r="AG38" s="69"/>
      <c r="AH38" s="203">
        <v>0</v>
      </c>
      <c r="AI38" s="204">
        <f t="shared" si="54"/>
        <v>0</v>
      </c>
      <c r="AJ38" s="205">
        <f t="shared" si="55"/>
        <v>0</v>
      </c>
      <c r="AK38" s="205">
        <f>IF(ISBLANK($AE$5),-8,0)+AE16</f>
        <v>-8</v>
      </c>
      <c r="AL38" s="179">
        <f t="shared" si="49"/>
        <v>0</v>
      </c>
      <c r="AM38" s="205">
        <f t="shared" si="50"/>
        <v>0</v>
      </c>
      <c r="AN38" s="205">
        <f t="shared" si="51"/>
        <v>-8</v>
      </c>
      <c r="AO38" s="205">
        <f t="shared" si="52"/>
        <v>0</v>
      </c>
      <c r="AP38" s="206">
        <f>SUM(AH38:AO38)</f>
        <v>-16</v>
      </c>
      <c r="AQ38" s="69"/>
      <c r="AR38" s="919">
        <f>+X79*Q79</f>
        <v>0</v>
      </c>
      <c r="AS38" s="920"/>
      <c r="AT38" s="561">
        <f t="shared" ref="AT38:AT47" si="56">IF(K16+L16&gt;0,1,0)+IF(U16+V16&gt;0,1,0)+IF(AE16+AF16&gt;0,1,0)+IF(AO16&gt;3,1,0)+IF(K38+L38&gt;0,1,0)+IF(U38+V38&gt;0,1,0)+IF(AE38+AF38&gt;0,1,0)</f>
        <v>4</v>
      </c>
      <c r="AU38" s="69"/>
      <c r="AV38" s="69"/>
      <c r="AW38" s="923"/>
      <c r="AX38" s="924"/>
    </row>
    <row r="39" spans="1:57" ht="14.1" customHeight="1">
      <c r="B39" s="91" t="str">
        <f t="shared" si="36"/>
        <v>Rafael Armas R.</v>
      </c>
      <c r="C39" s="102">
        <v>8</v>
      </c>
      <c r="D39" s="102">
        <v>18</v>
      </c>
      <c r="E39" s="102">
        <v>1</v>
      </c>
      <c r="F39" s="143">
        <f>+D39-C39-E39</f>
        <v>9</v>
      </c>
      <c r="G39" s="144"/>
      <c r="H39" s="43"/>
      <c r="I39" s="143">
        <f>+H39-G39</f>
        <v>0</v>
      </c>
      <c r="J39" s="102"/>
      <c r="K39" s="41">
        <f>+I39+F39-L39</f>
        <v>8</v>
      </c>
      <c r="L39" s="147">
        <f t="shared" si="40"/>
        <v>1</v>
      </c>
      <c r="M39" s="92">
        <v>7</v>
      </c>
      <c r="N39" s="92">
        <v>18</v>
      </c>
      <c r="O39" s="201">
        <v>1</v>
      </c>
      <c r="P39" s="202">
        <f>+N39-M39-O39</f>
        <v>10</v>
      </c>
      <c r="Q39" s="201"/>
      <c r="R39" s="174"/>
      <c r="S39" s="202">
        <f>+R39-Q39</f>
        <v>0</v>
      </c>
      <c r="T39" s="201"/>
      <c r="U39" s="41">
        <f>+S39+P39-V39</f>
        <v>8</v>
      </c>
      <c r="V39" s="209">
        <f t="shared" si="44"/>
        <v>2</v>
      </c>
      <c r="W39" s="201">
        <v>7</v>
      </c>
      <c r="X39" s="201">
        <v>17</v>
      </c>
      <c r="Y39" s="201">
        <v>1</v>
      </c>
      <c r="Z39" s="202">
        <f>+X39-W39-Y39</f>
        <v>9</v>
      </c>
      <c r="AA39" s="201"/>
      <c r="AB39" s="43"/>
      <c r="AC39" s="202">
        <f t="shared" si="46"/>
        <v>0</v>
      </c>
      <c r="AD39" s="201"/>
      <c r="AE39" s="41">
        <f>+AC39+Z39-AF39</f>
        <v>8</v>
      </c>
      <c r="AF39" s="209">
        <f t="shared" si="48"/>
        <v>1</v>
      </c>
      <c r="AG39" s="69"/>
      <c r="AH39" s="210">
        <v>0</v>
      </c>
      <c r="AI39" s="179">
        <f t="shared" si="54"/>
        <v>0</v>
      </c>
      <c r="AJ39" s="179">
        <f t="shared" si="55"/>
        <v>0</v>
      </c>
      <c r="AK39" s="211">
        <f>IF(ISBLANK($AE$5),-8,0)+AE17</f>
        <v>0</v>
      </c>
      <c r="AL39" s="179">
        <f t="shared" si="49"/>
        <v>0</v>
      </c>
      <c r="AM39" s="179">
        <f t="shared" si="50"/>
        <v>0</v>
      </c>
      <c r="AN39" s="179">
        <f t="shared" si="51"/>
        <v>0</v>
      </c>
      <c r="AO39" s="179">
        <f t="shared" si="52"/>
        <v>0</v>
      </c>
      <c r="AP39" s="180">
        <f>SUM(AH39:AO39)</f>
        <v>0</v>
      </c>
      <c r="AQ39" s="69"/>
      <c r="AR39" s="919">
        <f>+X80*Q80</f>
        <v>0</v>
      </c>
      <c r="AS39" s="920"/>
      <c r="AT39" s="207">
        <f t="shared" si="56"/>
        <v>7</v>
      </c>
      <c r="AU39" s="69"/>
      <c r="AV39" s="69"/>
      <c r="AW39" s="921">
        <v>-18</v>
      </c>
      <c r="AX39" s="922"/>
    </row>
    <row r="40" spans="1:57" s="116" customFormat="1" ht="14.1" customHeight="1">
      <c r="A40" s="212"/>
      <c r="B40" s="91" t="str">
        <f t="shared" si="36"/>
        <v>Jose Ochoa I.</v>
      </c>
      <c r="C40" s="102">
        <v>7</v>
      </c>
      <c r="D40" s="102">
        <v>18</v>
      </c>
      <c r="E40" s="102">
        <v>1</v>
      </c>
      <c r="F40" s="143">
        <f>+D40-C40-E40</f>
        <v>10</v>
      </c>
      <c r="G40" s="144"/>
      <c r="H40" s="43"/>
      <c r="I40" s="143">
        <f>+H40-G40</f>
        <v>0</v>
      </c>
      <c r="J40" s="102"/>
      <c r="K40" s="41">
        <f>+I40+F40-L40</f>
        <v>8</v>
      </c>
      <c r="L40" s="147">
        <f t="shared" si="40"/>
        <v>2</v>
      </c>
      <c r="M40" s="213">
        <v>7</v>
      </c>
      <c r="N40" s="201">
        <v>17</v>
      </c>
      <c r="O40" s="201">
        <v>1</v>
      </c>
      <c r="P40" s="202">
        <f>+N40-M40-O40</f>
        <v>9</v>
      </c>
      <c r="Q40" s="214"/>
      <c r="R40" s="189"/>
      <c r="S40" s="202">
        <f>+R40-Q40</f>
        <v>0</v>
      </c>
      <c r="T40" s="201"/>
      <c r="U40" s="41">
        <f>+S40+P40-V40</f>
        <v>8</v>
      </c>
      <c r="V40" s="209">
        <f t="shared" si="44"/>
        <v>1</v>
      </c>
      <c r="W40" s="201">
        <v>7</v>
      </c>
      <c r="X40" s="201">
        <v>16</v>
      </c>
      <c r="Y40" s="201">
        <v>1</v>
      </c>
      <c r="Z40" s="202">
        <f>+X40-W40-Y40</f>
        <v>8</v>
      </c>
      <c r="AA40" s="201"/>
      <c r="AB40" s="215"/>
      <c r="AC40" s="202">
        <f t="shared" si="46"/>
        <v>0</v>
      </c>
      <c r="AD40" s="201"/>
      <c r="AE40" s="41">
        <f>+AC40+Z40-AF40</f>
        <v>8</v>
      </c>
      <c r="AF40" s="209">
        <f t="shared" si="48"/>
        <v>0</v>
      </c>
      <c r="AG40" s="69"/>
      <c r="AH40" s="216">
        <v>0</v>
      </c>
      <c r="AI40" s="217">
        <f>+K21+(IF(ISBLANK($K$5),-8,0))</f>
        <v>0</v>
      </c>
      <c r="AJ40" s="217">
        <f>IF(ISBLANK($U$5),-8,0)+U21</f>
        <v>0</v>
      </c>
      <c r="AK40" s="217">
        <f>IF(ISBLANK($AE$5),-8,0)+AE21</f>
        <v>0.5</v>
      </c>
      <c r="AL40" s="217">
        <f t="shared" si="49"/>
        <v>0</v>
      </c>
      <c r="AM40" s="217">
        <f t="shared" si="50"/>
        <v>0</v>
      </c>
      <c r="AN40" s="217">
        <f t="shared" si="51"/>
        <v>0</v>
      </c>
      <c r="AO40" s="217">
        <f t="shared" si="52"/>
        <v>0</v>
      </c>
      <c r="AP40" s="218">
        <f>SUM(AH40:AO40)</f>
        <v>0.5</v>
      </c>
      <c r="AQ40" s="69"/>
      <c r="AR40" s="919">
        <f>+X81*Q81</f>
        <v>0</v>
      </c>
      <c r="AS40" s="920"/>
      <c r="AT40" s="207">
        <f t="shared" si="56"/>
        <v>6</v>
      </c>
      <c r="AU40" s="69"/>
      <c r="AV40" s="69"/>
      <c r="AW40" s="930"/>
      <c r="AX40" s="931"/>
    </row>
    <row r="41" spans="1:57" s="116" customFormat="1" ht="14.1" customHeight="1">
      <c r="A41" s="212"/>
      <c r="B41" s="91" t="str">
        <f t="shared" si="36"/>
        <v>Jairo Mirabal</v>
      </c>
      <c r="C41" s="102">
        <v>7</v>
      </c>
      <c r="D41" s="102">
        <v>16</v>
      </c>
      <c r="E41" s="102">
        <v>1</v>
      </c>
      <c r="F41" s="143">
        <f>+D41-C41-E41</f>
        <v>8</v>
      </c>
      <c r="G41" s="144"/>
      <c r="H41" s="43"/>
      <c r="I41" s="143">
        <f>+H41-G41</f>
        <v>0</v>
      </c>
      <c r="J41" s="102"/>
      <c r="K41" s="41">
        <f>+I41+F41-L41</f>
        <v>8</v>
      </c>
      <c r="L41" s="147">
        <f t="shared" si="40"/>
        <v>0</v>
      </c>
      <c r="M41" s="213">
        <v>7</v>
      </c>
      <c r="N41" s="201">
        <v>16</v>
      </c>
      <c r="O41" s="201">
        <v>1</v>
      </c>
      <c r="P41" s="202">
        <f>+N41-M41-O41</f>
        <v>8</v>
      </c>
      <c r="Q41" s="214"/>
      <c r="R41" s="189"/>
      <c r="S41" s="202">
        <f>+R41-Q41</f>
        <v>0</v>
      </c>
      <c r="T41" s="201"/>
      <c r="U41" s="41">
        <f>+S41+P41-V41</f>
        <v>8</v>
      </c>
      <c r="V41" s="209">
        <f t="shared" si="44"/>
        <v>0</v>
      </c>
      <c r="W41" s="201">
        <v>7</v>
      </c>
      <c r="X41" s="201">
        <v>16</v>
      </c>
      <c r="Y41" s="201">
        <v>1</v>
      </c>
      <c r="Z41" s="202">
        <f>+X41-W41-Y41</f>
        <v>8</v>
      </c>
      <c r="AA41" s="201"/>
      <c r="AB41" s="219"/>
      <c r="AC41" s="202">
        <f t="shared" si="46"/>
        <v>0</v>
      </c>
      <c r="AD41" s="201"/>
      <c r="AE41" s="41">
        <f>+AC41+Z41-AF41</f>
        <v>8</v>
      </c>
      <c r="AF41" s="209">
        <f t="shared" si="48"/>
        <v>0</v>
      </c>
      <c r="AG41" s="69"/>
      <c r="AH41" s="216">
        <v>0</v>
      </c>
      <c r="AI41" s="217">
        <f>+K18+(IF(ISBLANK($K$5),-8,0))</f>
        <v>0</v>
      </c>
      <c r="AJ41" s="217">
        <f>IF(ISBLANK($U$5),-8,0)+U18</f>
        <v>0</v>
      </c>
      <c r="AK41" s="217">
        <f>IF(ISBLANK($AE$5),-8,0)+AE18</f>
        <v>0</v>
      </c>
      <c r="AL41" s="217">
        <f t="shared" si="49"/>
        <v>0</v>
      </c>
      <c r="AM41" s="217">
        <f t="shared" si="50"/>
        <v>0</v>
      </c>
      <c r="AN41" s="217">
        <f t="shared" si="51"/>
        <v>0</v>
      </c>
      <c r="AO41" s="217">
        <f t="shared" si="52"/>
        <v>0</v>
      </c>
      <c r="AP41" s="218">
        <f>SUM(AH41:AO41)</f>
        <v>0</v>
      </c>
      <c r="AQ41" s="69"/>
      <c r="AR41" s="928">
        <f>+X82*Q82</f>
        <v>0</v>
      </c>
      <c r="AS41" s="929"/>
      <c r="AT41" s="207">
        <f t="shared" si="56"/>
        <v>6</v>
      </c>
      <c r="AU41" s="69"/>
      <c r="AV41" s="69"/>
      <c r="AW41" s="930"/>
      <c r="AX41" s="931"/>
    </row>
    <row r="42" spans="1:57" ht="14.1" customHeight="1" thickBot="1">
      <c r="B42" s="118" t="str">
        <f t="shared" si="36"/>
        <v>Pedro Hostos S.</v>
      </c>
      <c r="C42" s="119"/>
      <c r="D42" s="119"/>
      <c r="E42" s="119"/>
      <c r="F42" s="120">
        <f t="shared" si="37"/>
        <v>0</v>
      </c>
      <c r="G42" s="121"/>
      <c r="H42" s="121"/>
      <c r="I42" s="120">
        <f t="shared" si="38"/>
        <v>0</v>
      </c>
      <c r="J42" s="119"/>
      <c r="K42" s="120">
        <f t="shared" si="39"/>
        <v>0</v>
      </c>
      <c r="L42" s="122">
        <f t="shared" si="40"/>
        <v>0</v>
      </c>
      <c r="M42" s="119">
        <v>7</v>
      </c>
      <c r="N42" s="119">
        <v>17</v>
      </c>
      <c r="O42" s="119">
        <v>1</v>
      </c>
      <c r="P42" s="120">
        <f t="shared" si="41"/>
        <v>9</v>
      </c>
      <c r="Q42" s="121"/>
      <c r="R42" s="220"/>
      <c r="S42" s="120">
        <f t="shared" si="42"/>
        <v>0</v>
      </c>
      <c r="T42" s="119"/>
      <c r="U42" s="120">
        <f t="shared" si="43"/>
        <v>8</v>
      </c>
      <c r="V42" s="122">
        <f t="shared" si="44"/>
        <v>1</v>
      </c>
      <c r="W42" s="119">
        <v>7</v>
      </c>
      <c r="X42" s="119">
        <v>16</v>
      </c>
      <c r="Y42" s="119">
        <v>1</v>
      </c>
      <c r="Z42" s="120">
        <f t="shared" si="45"/>
        <v>8</v>
      </c>
      <c r="AA42" s="121"/>
      <c r="AB42" s="121"/>
      <c r="AC42" s="120">
        <f t="shared" si="46"/>
        <v>0</v>
      </c>
      <c r="AD42" s="119"/>
      <c r="AE42" s="120">
        <f t="shared" si="47"/>
        <v>8</v>
      </c>
      <c r="AF42" s="122">
        <f t="shared" si="48"/>
        <v>0</v>
      </c>
      <c r="AG42" s="221"/>
      <c r="AH42" s="222">
        <v>0</v>
      </c>
      <c r="AI42" s="223">
        <f>+K20+(IF(ISBLANK($K$5),-8,0))</f>
        <v>0</v>
      </c>
      <c r="AJ42" s="223">
        <f>IF(ISBLANK($U$5),-8,0)+U20</f>
        <v>0</v>
      </c>
      <c r="AK42" s="223">
        <f>IF(ISBLANK($AE$5),-8,0)+AE20</f>
        <v>0</v>
      </c>
      <c r="AL42" s="223">
        <f t="shared" si="49"/>
        <v>0</v>
      </c>
      <c r="AM42" s="223">
        <f t="shared" si="50"/>
        <v>-8</v>
      </c>
      <c r="AN42" s="223">
        <f t="shared" si="51"/>
        <v>0</v>
      </c>
      <c r="AO42" s="223">
        <f t="shared" si="52"/>
        <v>0</v>
      </c>
      <c r="AP42" s="224">
        <f t="shared" si="53"/>
        <v>-8</v>
      </c>
      <c r="AQ42" s="69"/>
      <c r="AR42" s="932">
        <f>+X84*Q84</f>
        <v>0</v>
      </c>
      <c r="AS42" s="933"/>
      <c r="AT42" s="225">
        <f t="shared" si="56"/>
        <v>5</v>
      </c>
      <c r="AU42" s="69"/>
      <c r="AV42" s="69"/>
      <c r="AW42" s="934"/>
      <c r="AX42" s="935"/>
    </row>
    <row r="43" spans="1:57" ht="14.1" customHeight="1" thickTop="1">
      <c r="B43" s="39" t="str">
        <f t="shared" si="36"/>
        <v>Miguel Tejada Ll.</v>
      </c>
      <c r="C43" s="56"/>
      <c r="D43" s="43"/>
      <c r="E43" s="54"/>
      <c r="F43" s="53">
        <f>+D43-C43-E43</f>
        <v>0</v>
      </c>
      <c r="G43" s="43"/>
      <c r="H43" s="22"/>
      <c r="I43" s="53">
        <f>+H43-G43</f>
        <v>0</v>
      </c>
      <c r="J43" s="54"/>
      <c r="K43" s="55">
        <f>+I43+F43-L43</f>
        <v>0</v>
      </c>
      <c r="L43" s="135">
        <f t="shared" si="40"/>
        <v>0</v>
      </c>
      <c r="M43" s="56"/>
      <c r="N43" s="43"/>
      <c r="O43" s="54"/>
      <c r="P43" s="53">
        <f>+N43-M43-O43</f>
        <v>0</v>
      </c>
      <c r="Q43" s="117"/>
      <c r="R43" s="226"/>
      <c r="S43" s="53">
        <f>+R43-Q43</f>
        <v>0</v>
      </c>
      <c r="T43" s="54"/>
      <c r="U43" s="55">
        <f>+S43+P43-V43</f>
        <v>0</v>
      </c>
      <c r="V43" s="135">
        <f t="shared" si="44"/>
        <v>0</v>
      </c>
      <c r="W43" s="56"/>
      <c r="X43" s="43"/>
      <c r="Y43" s="54"/>
      <c r="Z43" s="53">
        <f>+X43-W43-Y43</f>
        <v>0</v>
      </c>
      <c r="AA43" s="43"/>
      <c r="AB43" s="64"/>
      <c r="AC43" s="53">
        <f>+AB43-AA43</f>
        <v>0</v>
      </c>
      <c r="AD43" s="54"/>
      <c r="AE43" s="55">
        <f>+AC43+Z43-AF43</f>
        <v>0</v>
      </c>
      <c r="AF43" s="135">
        <f t="shared" si="48"/>
        <v>0</v>
      </c>
      <c r="AG43" s="69"/>
      <c r="AH43" s="178">
        <v>0</v>
      </c>
      <c r="AI43" s="179">
        <f>+K21+(IF(ISBLANK($K$5),-8,0))</f>
        <v>0</v>
      </c>
      <c r="AJ43" s="179">
        <f>IF(ISBLANK($U$5),-8,0)+U21</f>
        <v>0</v>
      </c>
      <c r="AK43" s="179">
        <f>IF(ISBLANK($AE$5),-8,0)+AE21</f>
        <v>0.5</v>
      </c>
      <c r="AL43" s="179">
        <f t="shared" si="49"/>
        <v>0</v>
      </c>
      <c r="AM43" s="179">
        <f t="shared" si="50"/>
        <v>-8</v>
      </c>
      <c r="AN43" s="179">
        <f t="shared" si="51"/>
        <v>-8</v>
      </c>
      <c r="AO43" s="179">
        <f t="shared" si="52"/>
        <v>-8</v>
      </c>
      <c r="AP43" s="180">
        <f t="shared" si="53"/>
        <v>-23.5</v>
      </c>
      <c r="AQ43" s="69"/>
      <c r="AR43" s="919">
        <f>+X86*Q86</f>
        <v>0</v>
      </c>
      <c r="AS43" s="920"/>
      <c r="AT43" s="227">
        <f t="shared" si="56"/>
        <v>3</v>
      </c>
      <c r="AU43" s="69"/>
      <c r="AV43" s="69"/>
      <c r="AW43" s="921"/>
      <c r="AX43" s="922"/>
    </row>
    <row r="44" spans="1:57" ht="14.1" customHeight="1">
      <c r="B44" s="39" t="str">
        <f t="shared" si="36"/>
        <v>Pier Alejos A.</v>
      </c>
      <c r="C44" s="56">
        <v>7</v>
      </c>
      <c r="D44" s="43">
        <v>17</v>
      </c>
      <c r="E44" s="54">
        <v>1</v>
      </c>
      <c r="F44" s="53">
        <f>+D44-C44-E44</f>
        <v>9</v>
      </c>
      <c r="G44" s="43"/>
      <c r="H44" s="228"/>
      <c r="I44" s="53">
        <f>+H44-G44</f>
        <v>0</v>
      </c>
      <c r="J44" s="54"/>
      <c r="K44" s="55">
        <f>+I44+F44-L44</f>
        <v>8</v>
      </c>
      <c r="L44" s="135">
        <f t="shared" si="40"/>
        <v>1</v>
      </c>
      <c r="M44" s="56">
        <v>7</v>
      </c>
      <c r="N44" s="201">
        <v>19</v>
      </c>
      <c r="O44" s="54">
        <v>1</v>
      </c>
      <c r="P44" s="53">
        <f>+N44-M44-O44</f>
        <v>11</v>
      </c>
      <c r="Q44" s="117"/>
      <c r="R44" s="226"/>
      <c r="S44" s="53">
        <f>+R44-Q44</f>
        <v>0</v>
      </c>
      <c r="T44" s="54"/>
      <c r="U44" s="55">
        <f>+S44+P44-V44</f>
        <v>8</v>
      </c>
      <c r="V44" s="135">
        <f t="shared" si="44"/>
        <v>3</v>
      </c>
      <c r="W44" s="56">
        <v>7</v>
      </c>
      <c r="X44" s="43">
        <v>16</v>
      </c>
      <c r="Y44" s="54">
        <v>1</v>
      </c>
      <c r="Z44" s="53">
        <f>+X44-W44-Y44</f>
        <v>8</v>
      </c>
      <c r="AA44" s="43"/>
      <c r="AB44" s="64"/>
      <c r="AC44" s="53">
        <f>+AB44-AA44</f>
        <v>0</v>
      </c>
      <c r="AD44" s="54"/>
      <c r="AE44" s="55">
        <f>+AC44+Z44-AF44</f>
        <v>8</v>
      </c>
      <c r="AF44" s="135">
        <f t="shared" si="48"/>
        <v>0</v>
      </c>
      <c r="AG44" s="69"/>
      <c r="AH44" s="178">
        <v>0</v>
      </c>
      <c r="AI44" s="179">
        <f>+K22+(IF(ISBLANK($K$5),-8,0))</f>
        <v>0</v>
      </c>
      <c r="AJ44" s="179">
        <f>IF(ISBLANK($U$5),-8,0)+U22</f>
        <v>0</v>
      </c>
      <c r="AK44" s="179">
        <f>IF(ISBLANK($AE$5),-8,0)+AE22</f>
        <v>0</v>
      </c>
      <c r="AL44" s="179">
        <f t="shared" si="49"/>
        <v>0</v>
      </c>
      <c r="AM44" s="179">
        <f t="shared" si="50"/>
        <v>0</v>
      </c>
      <c r="AN44" s="179">
        <f t="shared" si="51"/>
        <v>0</v>
      </c>
      <c r="AO44" s="179">
        <f t="shared" si="52"/>
        <v>0</v>
      </c>
      <c r="AP44" s="180">
        <f t="shared" si="53"/>
        <v>0</v>
      </c>
      <c r="AQ44" s="69"/>
      <c r="AR44" s="919">
        <f>+X87*Q87</f>
        <v>0</v>
      </c>
      <c r="AS44" s="920"/>
      <c r="AT44" s="230">
        <f t="shared" si="56"/>
        <v>6</v>
      </c>
      <c r="AU44" s="69"/>
      <c r="AV44" s="69"/>
      <c r="AW44" s="921"/>
      <c r="AX44" s="922"/>
    </row>
    <row r="45" spans="1:57" s="116" customFormat="1" ht="14.1" customHeight="1">
      <c r="A45" s="212"/>
      <c r="B45" s="142" t="str">
        <f t="shared" si="36"/>
        <v>Angel Colina N.</v>
      </c>
      <c r="C45" s="102">
        <v>7</v>
      </c>
      <c r="D45" s="102">
        <v>18</v>
      </c>
      <c r="E45" s="102">
        <v>1</v>
      </c>
      <c r="F45" s="143">
        <f>+D45-C45-E45</f>
        <v>10</v>
      </c>
      <c r="G45" s="144"/>
      <c r="H45" s="144"/>
      <c r="I45" s="143">
        <f>+H45-G45</f>
        <v>0</v>
      </c>
      <c r="J45" s="102"/>
      <c r="K45" s="41">
        <f>+I45+F45-L45</f>
        <v>8</v>
      </c>
      <c r="L45" s="147">
        <f t="shared" si="40"/>
        <v>2</v>
      </c>
      <c r="M45" s="201">
        <v>7</v>
      </c>
      <c r="N45" s="201">
        <v>16</v>
      </c>
      <c r="O45" s="201">
        <v>1</v>
      </c>
      <c r="P45" s="202">
        <f>+N45-M45-O45</f>
        <v>8</v>
      </c>
      <c r="Q45" s="214"/>
      <c r="R45" s="189"/>
      <c r="S45" s="202">
        <f>+R45-Q45</f>
        <v>0</v>
      </c>
      <c r="T45" s="201"/>
      <c r="U45" s="41">
        <f>+S45+P45-V45</f>
        <v>8</v>
      </c>
      <c r="V45" s="209">
        <f t="shared" si="44"/>
        <v>0</v>
      </c>
      <c r="W45" s="201">
        <v>7</v>
      </c>
      <c r="X45" s="201">
        <v>16</v>
      </c>
      <c r="Y45" s="201">
        <v>1</v>
      </c>
      <c r="Z45" s="202">
        <f>+X45-W45-Y45</f>
        <v>8</v>
      </c>
      <c r="AA45" s="201"/>
      <c r="AB45" s="219"/>
      <c r="AC45" s="202">
        <f>+AB45-AA45</f>
        <v>0</v>
      </c>
      <c r="AD45" s="201"/>
      <c r="AE45" s="41">
        <f>+AC45+Z45-AF45</f>
        <v>8</v>
      </c>
      <c r="AF45" s="209">
        <f t="shared" si="48"/>
        <v>0</v>
      </c>
      <c r="AG45" s="69"/>
      <c r="AH45" s="216">
        <v>0</v>
      </c>
      <c r="AI45" s="217">
        <f>+K23+(IF(ISBLANK($K$5),-8,0))</f>
        <v>0</v>
      </c>
      <c r="AJ45" s="217">
        <f>IF(ISBLANK($U$5),-8,0)+U23</f>
        <v>0</v>
      </c>
      <c r="AK45" s="217">
        <f>IF(ISBLANK($AE$5),-8,0)+AE23</f>
        <v>0</v>
      </c>
      <c r="AL45" s="217">
        <f t="shared" si="49"/>
        <v>0</v>
      </c>
      <c r="AM45" s="217">
        <f t="shared" si="50"/>
        <v>0</v>
      </c>
      <c r="AN45" s="217">
        <f t="shared" si="51"/>
        <v>0</v>
      </c>
      <c r="AO45" s="217">
        <f t="shared" si="52"/>
        <v>0</v>
      </c>
      <c r="AP45" s="218">
        <f t="shared" si="53"/>
        <v>0</v>
      </c>
      <c r="AQ45" s="69"/>
      <c r="AR45" s="928">
        <f>+X87*Q87</f>
        <v>0</v>
      </c>
      <c r="AS45" s="929"/>
      <c r="AT45" s="207">
        <f t="shared" si="56"/>
        <v>7</v>
      </c>
      <c r="AU45" s="69"/>
      <c r="AV45" s="69"/>
      <c r="AW45" s="930">
        <v>-18</v>
      </c>
      <c r="AX45" s="931"/>
    </row>
    <row r="46" spans="1:57" ht="14.1" customHeight="1">
      <c r="B46" s="142" t="str">
        <f t="shared" ref="B46:B47" si="57">+B24</f>
        <v>Jose Lares P.</v>
      </c>
      <c r="C46" s="50"/>
      <c r="D46" s="51"/>
      <c r="E46" s="52"/>
      <c r="F46" s="185">
        <f t="shared" ref="F46" si="58">+D46-C46-E46</f>
        <v>0</v>
      </c>
      <c r="G46" s="51"/>
      <c r="H46" s="51"/>
      <c r="I46" s="185">
        <f t="shared" ref="I46" si="59">+H46-G46</f>
        <v>0</v>
      </c>
      <c r="J46" s="52"/>
      <c r="K46" s="106">
        <f t="shared" ref="K46" si="60">+I46+F46-L46</f>
        <v>0</v>
      </c>
      <c r="L46" s="575">
        <f t="shared" si="40"/>
        <v>0</v>
      </c>
      <c r="M46" s="51">
        <v>7</v>
      </c>
      <c r="N46" s="51">
        <v>16</v>
      </c>
      <c r="O46" s="52">
        <v>1</v>
      </c>
      <c r="P46" s="185">
        <f t="shared" ref="P46" si="61">+N46-M46-O46</f>
        <v>8</v>
      </c>
      <c r="Q46" s="576"/>
      <c r="R46" s="174"/>
      <c r="S46" s="185">
        <f t="shared" ref="S46" si="62">+R46-Q46</f>
        <v>0</v>
      </c>
      <c r="T46" s="52"/>
      <c r="U46" s="106">
        <f t="shared" ref="U46" si="63">+S46+P46-V46</f>
        <v>8</v>
      </c>
      <c r="V46" s="575">
        <f t="shared" si="44"/>
        <v>0</v>
      </c>
      <c r="W46" s="50">
        <v>7</v>
      </c>
      <c r="X46" s="51">
        <v>16</v>
      </c>
      <c r="Y46" s="52">
        <v>1</v>
      </c>
      <c r="Z46" s="185">
        <f t="shared" ref="Z46" si="64">+X46-W46-Y46</f>
        <v>8</v>
      </c>
      <c r="AA46" s="51"/>
      <c r="AB46" s="51"/>
      <c r="AC46" s="185">
        <f t="shared" ref="AC46" si="65">+AB46-AA46</f>
        <v>0</v>
      </c>
      <c r="AD46" s="52"/>
      <c r="AE46" s="106">
        <f t="shared" ref="AE46" si="66">+AC46+Z46-AF46</f>
        <v>8</v>
      </c>
      <c r="AF46" s="575">
        <f t="shared" si="48"/>
        <v>0</v>
      </c>
      <c r="AG46" s="69"/>
      <c r="AH46" s="178">
        <v>0</v>
      </c>
      <c r="AI46" s="179">
        <f t="shared" ref="AI46" si="67">+K24+(IF(ISBLANK($K$5),-8,0))</f>
        <v>0</v>
      </c>
      <c r="AJ46" s="179">
        <f t="shared" ref="AJ46" si="68">IF(ISBLANK($U$5),-8,0)+U24</f>
        <v>0</v>
      </c>
      <c r="AK46" s="179">
        <f t="shared" ref="AK46" si="69">IF(ISBLANK($AE$5),-8,0)+AE24</f>
        <v>0</v>
      </c>
      <c r="AL46" s="179">
        <f t="shared" si="49"/>
        <v>0</v>
      </c>
      <c r="AM46" s="179">
        <f t="shared" si="50"/>
        <v>-8</v>
      </c>
      <c r="AN46" s="179">
        <f t="shared" si="51"/>
        <v>0</v>
      </c>
      <c r="AO46" s="179">
        <f t="shared" si="52"/>
        <v>0</v>
      </c>
      <c r="AP46" s="180">
        <f t="shared" ref="AP46" si="70">SUM(AH46:AO46)</f>
        <v>-8</v>
      </c>
      <c r="AQ46" s="69"/>
      <c r="AR46" s="919">
        <f t="shared" ref="AR46" si="71">+X87*Q87</f>
        <v>0</v>
      </c>
      <c r="AS46" s="920"/>
      <c r="AT46" s="187">
        <f t="shared" si="56"/>
        <v>5</v>
      </c>
      <c r="AU46" s="69"/>
      <c r="AV46" s="69"/>
      <c r="AW46" s="921"/>
      <c r="AX46" s="922"/>
    </row>
    <row r="47" spans="1:57" ht="14.1" customHeight="1" thickBot="1">
      <c r="B47" s="566" t="str">
        <f t="shared" si="57"/>
        <v>Jeeimy Davila C.</v>
      </c>
      <c r="C47" s="589"/>
      <c r="D47" s="590"/>
      <c r="E47" s="591"/>
      <c r="F47" s="592">
        <f t="shared" si="37"/>
        <v>0</v>
      </c>
      <c r="G47" s="590"/>
      <c r="H47" s="590"/>
      <c r="I47" s="592">
        <f t="shared" si="38"/>
        <v>0</v>
      </c>
      <c r="J47" s="591"/>
      <c r="K47" s="593">
        <f t="shared" si="39"/>
        <v>0</v>
      </c>
      <c r="L47" s="594">
        <f t="shared" si="40"/>
        <v>0</v>
      </c>
      <c r="M47" s="568">
        <v>8</v>
      </c>
      <c r="N47" s="568">
        <v>17</v>
      </c>
      <c r="O47" s="569">
        <v>1</v>
      </c>
      <c r="P47" s="570">
        <f t="shared" si="41"/>
        <v>8</v>
      </c>
      <c r="Q47" s="573"/>
      <c r="R47" s="574"/>
      <c r="S47" s="570">
        <f t="shared" si="42"/>
        <v>0</v>
      </c>
      <c r="T47" s="569"/>
      <c r="U47" s="571">
        <f t="shared" si="43"/>
        <v>8</v>
      </c>
      <c r="V47" s="572">
        <f t="shared" si="44"/>
        <v>0</v>
      </c>
      <c r="W47" s="567">
        <v>7</v>
      </c>
      <c r="X47" s="568">
        <v>16</v>
      </c>
      <c r="Y47" s="569">
        <v>1</v>
      </c>
      <c r="Z47" s="570">
        <f t="shared" si="45"/>
        <v>8</v>
      </c>
      <c r="AA47" s="568"/>
      <c r="AB47" s="568"/>
      <c r="AC47" s="570">
        <f t="shared" si="46"/>
        <v>0</v>
      </c>
      <c r="AD47" s="569"/>
      <c r="AE47" s="571">
        <f t="shared" si="47"/>
        <v>8</v>
      </c>
      <c r="AF47" s="572">
        <f t="shared" si="48"/>
        <v>0</v>
      </c>
      <c r="AG47" s="69"/>
      <c r="AH47" s="178">
        <v>0</v>
      </c>
      <c r="AI47" s="179">
        <f t="shared" ref="AI47" si="72">+K25+(IF(ISBLANK($K$5),-8,0))</f>
        <v>-8</v>
      </c>
      <c r="AJ47" s="179">
        <f t="shared" ref="AJ47" si="73">IF(ISBLANK($U$5),-8,0)+U25</f>
        <v>-8</v>
      </c>
      <c r="AK47" s="179">
        <f t="shared" ref="AK47" si="74">IF(ISBLANK($AE$5),-8,0)+AE25</f>
        <v>-8</v>
      </c>
      <c r="AL47" s="179">
        <f t="shared" si="49"/>
        <v>0</v>
      </c>
      <c r="AM47" s="179">
        <f t="shared" si="50"/>
        <v>-8</v>
      </c>
      <c r="AN47" s="179">
        <f t="shared" si="51"/>
        <v>0</v>
      </c>
      <c r="AO47" s="179">
        <f t="shared" si="52"/>
        <v>0</v>
      </c>
      <c r="AP47" s="180">
        <f t="shared" si="53"/>
        <v>-32</v>
      </c>
      <c r="AQ47" s="69"/>
      <c r="AR47" s="919">
        <f t="shared" ref="AR47" si="75">+X89*Q89</f>
        <v>0</v>
      </c>
      <c r="AS47" s="920"/>
      <c r="AT47" s="187">
        <f t="shared" si="56"/>
        <v>2</v>
      </c>
      <c r="AU47" s="69"/>
      <c r="AV47" s="69"/>
      <c r="AW47" s="921"/>
      <c r="AX47" s="922"/>
    </row>
    <row r="48" spans="1:57" ht="14.1" customHeight="1">
      <c r="B48" s="239"/>
      <c r="C48" s="240"/>
      <c r="O48" s="241"/>
      <c r="P48" s="242"/>
      <c r="Q48" s="243"/>
      <c r="R48" s="243"/>
      <c r="S48" s="242"/>
      <c r="T48" s="241"/>
      <c r="U48" s="244"/>
      <c r="V48" s="245"/>
      <c r="W48" s="69"/>
      <c r="X48" s="246"/>
      <c r="Y48" s="247"/>
      <c r="Z48" s="248"/>
      <c r="AA48" s="249"/>
      <c r="AH48" s="250"/>
      <c r="AP48" s="250"/>
      <c r="AR48" s="936">
        <f>SUM(AP11:AQ25)</f>
        <v>84</v>
      </c>
      <c r="AS48" s="937"/>
      <c r="AT48" s="251">
        <f>SUM(AT33:AT47)</f>
        <v>75</v>
      </c>
    </row>
    <row r="49" spans="1:58" ht="10.15" customHeight="1">
      <c r="B49" s="239"/>
      <c r="O49" s="241"/>
      <c r="P49" s="242"/>
      <c r="Q49" s="243"/>
      <c r="R49" s="243"/>
      <c r="S49" s="242"/>
      <c r="T49" s="241"/>
      <c r="U49" s="244"/>
      <c r="V49" s="244"/>
      <c r="W49" s="69"/>
      <c r="X49" s="246"/>
      <c r="Y49" s="247"/>
      <c r="Z49" s="248"/>
      <c r="AA49" s="249"/>
      <c r="AW49" s="938">
        <f>SUM(AW33:AX47)*-1</f>
        <v>54</v>
      </c>
      <c r="AX49" s="939"/>
    </row>
    <row r="50" spans="1:58" ht="14.1" customHeight="1">
      <c r="C50" s="240" t="s">
        <v>25</v>
      </c>
      <c r="E50" s="252"/>
      <c r="O50" s="241"/>
      <c r="P50" s="242"/>
      <c r="Q50" s="243"/>
      <c r="R50" s="243"/>
      <c r="S50" s="242"/>
      <c r="T50" s="241"/>
      <c r="U50" s="244"/>
      <c r="V50" s="244"/>
      <c r="W50" s="69"/>
      <c r="X50" s="246"/>
      <c r="Y50" s="247"/>
      <c r="Z50" s="248"/>
      <c r="AA50" s="249"/>
      <c r="AC50" s="253" t="s">
        <v>26</v>
      </c>
      <c r="AD50" s="254"/>
      <c r="AE50" s="254"/>
      <c r="AF50" s="254"/>
      <c r="AG50" s="254"/>
      <c r="AH50" s="254"/>
      <c r="AI50" s="254"/>
      <c r="AJ50" s="254"/>
      <c r="AK50" s="254"/>
      <c r="AL50" s="254"/>
      <c r="AM50" s="253" t="s">
        <v>27</v>
      </c>
      <c r="AO50" s="255"/>
      <c r="AW50" s="940"/>
      <c r="AX50" s="941"/>
    </row>
    <row r="51" spans="1:58" ht="14.1" customHeight="1">
      <c r="C51" s="240"/>
      <c r="D51" s="256"/>
      <c r="E51" s="252"/>
      <c r="O51" s="241"/>
      <c r="P51" s="242"/>
      <c r="Q51" s="243"/>
      <c r="R51" s="243"/>
      <c r="S51" s="242"/>
      <c r="T51" s="241"/>
      <c r="U51" s="244"/>
      <c r="V51" s="244"/>
      <c r="W51" s="69"/>
      <c r="X51" s="246"/>
      <c r="Y51" s="247"/>
      <c r="Z51" s="248"/>
      <c r="AA51" s="249"/>
      <c r="AC51" s="253"/>
      <c r="AD51" s="254"/>
      <c r="AE51" s="254"/>
      <c r="AF51" s="254"/>
      <c r="AG51" s="254"/>
      <c r="AH51" s="254"/>
      <c r="AI51" s="254"/>
      <c r="AJ51" s="254"/>
      <c r="AK51" s="254"/>
      <c r="AL51" s="254"/>
      <c r="AM51" s="253"/>
      <c r="AO51" s="255"/>
      <c r="AW51" s="257"/>
      <c r="AX51" s="257"/>
    </row>
    <row r="52" spans="1:58" ht="14.1" customHeight="1">
      <c r="D52" s="258">
        <v>915</v>
      </c>
      <c r="E52" s="259">
        <v>1545</v>
      </c>
      <c r="F52" s="260"/>
      <c r="G52" s="258"/>
      <c r="H52" s="258"/>
      <c r="I52" s="260"/>
      <c r="J52" s="258"/>
      <c r="K52" s="261"/>
      <c r="L52" s="261"/>
      <c r="M52" s="258">
        <v>847</v>
      </c>
      <c r="N52" s="258">
        <v>1520</v>
      </c>
      <c r="O52" s="262"/>
      <c r="P52" s="263"/>
      <c r="Q52" s="264"/>
      <c r="R52" s="264"/>
      <c r="S52" s="263"/>
      <c r="T52" s="262"/>
      <c r="U52" s="265"/>
      <c r="V52" s="265"/>
      <c r="W52" s="266">
        <v>720</v>
      </c>
      <c r="X52" s="266">
        <v>1615</v>
      </c>
      <c r="Y52" s="247"/>
      <c r="Z52" s="248"/>
      <c r="AA52" s="249"/>
      <c r="AC52" s="253"/>
      <c r="AD52" s="254"/>
      <c r="AE52" s="254"/>
      <c r="AF52" s="254"/>
      <c r="AG52" s="254"/>
      <c r="AH52" s="254"/>
      <c r="AI52" s="254"/>
      <c r="AJ52" s="254"/>
      <c r="AK52" s="254"/>
      <c r="AL52" s="254"/>
      <c r="AM52" s="253"/>
      <c r="AO52" s="255"/>
      <c r="AW52" s="257"/>
      <c r="AX52" s="257"/>
    </row>
    <row r="53" spans="1:58" ht="14.1" customHeight="1">
      <c r="O53" s="241"/>
      <c r="P53" s="242"/>
      <c r="Q53" s="243"/>
      <c r="R53" s="243"/>
      <c r="S53" s="242"/>
      <c r="T53" s="241"/>
      <c r="U53" s="244"/>
      <c r="V53" s="244"/>
      <c r="W53" s="69"/>
      <c r="X53" s="246"/>
      <c r="Y53" s="247"/>
      <c r="Z53" s="248"/>
      <c r="AA53" s="249"/>
      <c r="AC53" s="253"/>
      <c r="AD53" s="254"/>
      <c r="AE53" s="254"/>
      <c r="AF53" s="254"/>
      <c r="AG53" s="254"/>
      <c r="AH53" s="254"/>
      <c r="AI53" s="254"/>
      <c r="AJ53" s="254"/>
      <c r="AK53" s="254"/>
      <c r="AL53" s="254"/>
      <c r="AM53" s="253"/>
      <c r="AO53" s="255"/>
      <c r="AW53" s="257"/>
      <c r="AX53" s="257"/>
    </row>
    <row r="54" spans="1:58" ht="14.1" customHeight="1">
      <c r="O54" s="241"/>
      <c r="P54" s="242"/>
      <c r="Q54" s="243"/>
      <c r="R54" s="243"/>
      <c r="S54" s="242"/>
      <c r="T54" s="241"/>
      <c r="U54" s="244"/>
      <c r="V54" s="244"/>
      <c r="W54" s="69"/>
      <c r="X54" s="246"/>
      <c r="Y54" s="247"/>
      <c r="Z54" s="248"/>
      <c r="AA54" s="249"/>
      <c r="AC54" s="253"/>
      <c r="AD54" s="254"/>
      <c r="AE54" s="254"/>
      <c r="AF54" s="254"/>
      <c r="AG54" s="254"/>
      <c r="AH54" s="254"/>
      <c r="AI54" s="254"/>
      <c r="AJ54" s="254"/>
      <c r="AK54" s="254"/>
      <c r="AL54" s="254"/>
      <c r="AM54" s="253"/>
      <c r="AO54" s="255"/>
      <c r="AW54" s="257"/>
      <c r="AX54" s="257"/>
    </row>
    <row r="55" spans="1:58" ht="14.1" customHeight="1" thickBot="1">
      <c r="O55" s="241"/>
      <c r="P55" s="242"/>
      <c r="Q55" s="243"/>
      <c r="R55" s="243"/>
      <c r="S55" s="242"/>
      <c r="T55" s="241"/>
      <c r="U55" s="244"/>
      <c r="V55" s="244"/>
      <c r="W55" s="69"/>
      <c r="X55" s="246"/>
      <c r="Y55" s="247"/>
      <c r="Z55" s="248"/>
      <c r="AA55" s="249"/>
      <c r="AC55" s="253"/>
      <c r="AD55" s="254"/>
      <c r="AE55" s="254"/>
      <c r="AF55" s="254"/>
      <c r="AG55" s="254"/>
      <c r="AH55" s="254"/>
      <c r="AI55" s="254"/>
      <c r="AJ55" s="254"/>
      <c r="AK55" s="254"/>
      <c r="AL55" s="254"/>
      <c r="AM55" s="253"/>
      <c r="AO55" s="255"/>
      <c r="AW55" s="257"/>
      <c r="AX55" s="257"/>
    </row>
    <row r="56" spans="1:58" ht="6.95" customHeight="1">
      <c r="C56" s="955">
        <f>+C5</f>
        <v>43846</v>
      </c>
      <c r="D56" s="744"/>
      <c r="E56" s="744"/>
      <c r="F56" s="744"/>
      <c r="G56" s="744"/>
      <c r="H56" s="744"/>
      <c r="I56" s="744"/>
      <c r="J56" s="744"/>
      <c r="K56" s="971"/>
      <c r="L56" s="972"/>
      <c r="M56" s="744">
        <f>1+C56</f>
        <v>43847</v>
      </c>
      <c r="N56" s="744"/>
      <c r="O56" s="744"/>
      <c r="P56" s="744"/>
      <c r="Q56" s="744"/>
      <c r="R56" s="744"/>
      <c r="S56" s="744"/>
      <c r="T56" s="744"/>
      <c r="U56" s="967"/>
      <c r="V56" s="968"/>
      <c r="W56" s="975">
        <f>1+M56</f>
        <v>43848</v>
      </c>
      <c r="X56" s="976"/>
      <c r="Y56" s="976"/>
      <c r="Z56" s="976"/>
      <c r="AA56" s="976"/>
      <c r="AB56" s="976"/>
      <c r="AC56" s="976"/>
      <c r="AD56" s="976"/>
      <c r="AE56" s="979"/>
      <c r="AF56" s="980"/>
      <c r="AG56" s="948">
        <f>1+W56</f>
        <v>43849</v>
      </c>
      <c r="AH56" s="949"/>
      <c r="AI56" s="949"/>
      <c r="AJ56" s="949"/>
      <c r="AK56" s="949"/>
      <c r="AL56" s="949"/>
      <c r="AM56" s="949"/>
      <c r="AN56" s="949"/>
      <c r="AO56" s="791" t="s">
        <v>2</v>
      </c>
      <c r="AW56" s="257"/>
      <c r="AX56" s="257"/>
    </row>
    <row r="57" spans="1:58" s="267" customFormat="1" ht="6.95" customHeight="1" thickBot="1">
      <c r="A57" s="1"/>
      <c r="C57" s="956"/>
      <c r="D57" s="745"/>
      <c r="E57" s="745"/>
      <c r="F57" s="745"/>
      <c r="G57" s="745"/>
      <c r="H57" s="745"/>
      <c r="I57" s="745"/>
      <c r="J57" s="745"/>
      <c r="K57" s="973"/>
      <c r="L57" s="974"/>
      <c r="M57" s="745"/>
      <c r="N57" s="745"/>
      <c r="O57" s="745"/>
      <c r="P57" s="745"/>
      <c r="Q57" s="745"/>
      <c r="R57" s="745"/>
      <c r="S57" s="745"/>
      <c r="T57" s="745"/>
      <c r="U57" s="969"/>
      <c r="V57" s="970"/>
      <c r="W57" s="977"/>
      <c r="X57" s="978"/>
      <c r="Y57" s="978"/>
      <c r="Z57" s="978"/>
      <c r="AA57" s="978"/>
      <c r="AB57" s="978"/>
      <c r="AC57" s="978"/>
      <c r="AD57" s="978"/>
      <c r="AE57" s="981"/>
      <c r="AF57" s="982"/>
      <c r="AG57" s="950"/>
      <c r="AH57" s="951"/>
      <c r="AI57" s="951"/>
      <c r="AJ57" s="951"/>
      <c r="AK57" s="951"/>
      <c r="AL57" s="951"/>
      <c r="AM57" s="951"/>
      <c r="AN57" s="951"/>
      <c r="AO57" s="792"/>
      <c r="AW57" s="257"/>
      <c r="AX57" s="257"/>
    </row>
    <row r="58" spans="1:58" ht="14.1" customHeight="1" thickBot="1">
      <c r="B58" s="268" t="str">
        <f>+B90</f>
        <v>CEQR</v>
      </c>
      <c r="C58" s="231"/>
      <c r="D58" s="232"/>
      <c r="E58" s="233"/>
      <c r="F58" s="234">
        <f>+D58-C58-E58</f>
        <v>0</v>
      </c>
      <c r="G58" s="232"/>
      <c r="H58" s="232"/>
      <c r="I58" s="234">
        <f>+H58-G58</f>
        <v>0</v>
      </c>
      <c r="J58" s="233"/>
      <c r="K58" s="235">
        <f>+I58+F58-L58</f>
        <v>0</v>
      </c>
      <c r="L58" s="269">
        <f>IF(C58&gt;0,(F58+I58)+IF(K$5&gt;0,0+F58,-8),0)</f>
        <v>0</v>
      </c>
      <c r="M58" s="270"/>
      <c r="N58" s="232"/>
      <c r="O58" s="233"/>
      <c r="P58" s="234">
        <f>+N58-M58-O58</f>
        <v>0</v>
      </c>
      <c r="Q58" s="271"/>
      <c r="R58" s="160"/>
      <c r="S58" s="234">
        <f>+R58-Q58</f>
        <v>0</v>
      </c>
      <c r="T58" s="233"/>
      <c r="U58" s="235">
        <f>+S58+P58-V58</f>
        <v>0</v>
      </c>
      <c r="V58" s="269">
        <f>IF(M58&gt;0,(P58+S58)+IF(U$5&gt;0,0+P58,-8),0)</f>
        <v>0</v>
      </c>
      <c r="W58" s="232"/>
      <c r="X58" s="232"/>
      <c r="Y58" s="233"/>
      <c r="Z58" s="234">
        <f>+X58-W58-Y58</f>
        <v>0</v>
      </c>
      <c r="AA58" s="232"/>
      <c r="AB58" s="272"/>
      <c r="AC58" s="234">
        <f>+AB58-AA58</f>
        <v>0</v>
      </c>
      <c r="AD58" s="233"/>
      <c r="AE58" s="235">
        <f>+AC58+Z58-IF(AE$5&gt;0,AF58/2,AF58)</f>
        <v>0</v>
      </c>
      <c r="AF58" s="269">
        <f>IF(W58&gt;0,IF(AE$5&gt;0,(Z58+AC58)*2,(Z58+AC58-8)),0)*IF(Z58&lt;9,IF(AE$5&gt;0,1,2),1)+IF(Z58&gt;8,AC58,0)</f>
        <v>0</v>
      </c>
      <c r="AG58" s="273"/>
      <c r="AH58" s="273"/>
      <c r="AI58" s="274"/>
      <c r="AJ58" s="275">
        <f>+AH58-AG58-AI58</f>
        <v>0</v>
      </c>
      <c r="AK58" s="276"/>
      <c r="AL58" s="276"/>
      <c r="AM58" s="277">
        <f>+AL58-AK58</f>
        <v>0</v>
      </c>
      <c r="AN58" s="274">
        <v>-3</v>
      </c>
      <c r="AO58" s="278">
        <f>(AJ58*2+AM58)</f>
        <v>0</v>
      </c>
      <c r="AP58" s="952">
        <f>+L58+V58+AF58+AO58+L62+V62+AF62-AN58</f>
        <v>3</v>
      </c>
      <c r="AQ58" s="953"/>
      <c r="AR58" s="954">
        <f>ROUND(BD58*AP58,1)</f>
        <v>29.4</v>
      </c>
      <c r="AS58" s="954"/>
      <c r="AT58" s="279" t="e">
        <f>IF(AT62&gt;0,AT62*$AT$10,0)</f>
        <v>#REF!</v>
      </c>
      <c r="AU58" s="69"/>
      <c r="AV58" s="100">
        <f>+L58</f>
        <v>0</v>
      </c>
      <c r="AW58" s="100">
        <f>+V58</f>
        <v>0</v>
      </c>
      <c r="AX58" s="100">
        <f>+AF58</f>
        <v>0</v>
      </c>
      <c r="AY58" s="101">
        <f>+AO58</f>
        <v>0</v>
      </c>
      <c r="AZ58" s="100">
        <f>+L62</f>
        <v>0</v>
      </c>
      <c r="BA58" s="100">
        <f>+V62</f>
        <v>0</v>
      </c>
      <c r="BB58" s="100">
        <f>+AF62</f>
        <v>0</v>
      </c>
      <c r="BC58" s="66"/>
      <c r="BD58" s="36">
        <f>+I90</f>
        <v>9.7916660714285708</v>
      </c>
      <c r="BE58" s="67">
        <f>+BD58*AP58</f>
        <v>29.374998214285711</v>
      </c>
      <c r="BF58" s="68">
        <f>+BD58*AY58</f>
        <v>0</v>
      </c>
    </row>
    <row r="59" spans="1:58" ht="14.1" customHeight="1" thickBot="1">
      <c r="C59" s="280"/>
      <c r="D59" s="280"/>
      <c r="E59" s="281"/>
      <c r="F59" s="282"/>
      <c r="G59" s="280"/>
      <c r="H59" s="280"/>
      <c r="I59" s="282"/>
      <c r="J59" s="281"/>
      <c r="K59" s="283"/>
      <c r="L59" s="284"/>
      <c r="M59" s="280"/>
      <c r="N59" s="280"/>
      <c r="O59" s="281"/>
      <c r="P59" s="282"/>
      <c r="Q59" s="285"/>
      <c r="R59" s="286"/>
      <c r="S59" s="282"/>
      <c r="T59" s="281"/>
      <c r="U59" s="283"/>
      <c r="V59" s="284"/>
      <c r="W59" s="280"/>
      <c r="X59" s="280"/>
      <c r="Y59" s="281"/>
      <c r="Z59" s="282"/>
      <c r="AA59" s="280"/>
      <c r="AB59" s="287"/>
      <c r="AC59" s="282"/>
      <c r="AD59" s="281"/>
      <c r="AE59" s="283"/>
      <c r="AF59" s="284"/>
      <c r="AG59" s="243"/>
      <c r="AH59" s="243"/>
      <c r="AI59" s="241"/>
      <c r="AJ59" s="288"/>
      <c r="AK59" s="289"/>
      <c r="AL59" s="289"/>
      <c r="AM59" s="242"/>
      <c r="AN59" s="241"/>
      <c r="AO59" s="244"/>
      <c r="AP59" s="243"/>
      <c r="AQ59" s="243"/>
      <c r="AR59" s="290"/>
      <c r="AS59" s="290"/>
      <c r="AT59" s="291"/>
      <c r="AU59" s="69"/>
      <c r="AV59" s="66"/>
      <c r="AW59" s="66"/>
      <c r="AX59" s="66"/>
      <c r="AY59" s="292"/>
      <c r="AZ59" s="66"/>
      <c r="BA59" s="66"/>
      <c r="BB59" s="66"/>
      <c r="BC59" s="66"/>
      <c r="BD59" s="293"/>
      <c r="BE59" s="294"/>
      <c r="BF59" s="295"/>
    </row>
    <row r="60" spans="1:58" ht="6.95" customHeight="1">
      <c r="C60" s="955">
        <f>+C27</f>
        <v>43850</v>
      </c>
      <c r="D60" s="744"/>
      <c r="E60" s="744"/>
      <c r="F60" s="744"/>
      <c r="G60" s="744"/>
      <c r="H60" s="744"/>
      <c r="I60" s="744"/>
      <c r="J60" s="744"/>
      <c r="K60" s="957"/>
      <c r="L60" s="958"/>
      <c r="M60" s="961">
        <f>1+C60</f>
        <v>43851</v>
      </c>
      <c r="N60" s="962"/>
      <c r="O60" s="962"/>
      <c r="P60" s="962"/>
      <c r="Q60" s="962"/>
      <c r="R60" s="962"/>
      <c r="S60" s="962"/>
      <c r="T60" s="963"/>
      <c r="U60" s="967"/>
      <c r="V60" s="968"/>
      <c r="W60" s="744">
        <f>1+M60</f>
        <v>43852</v>
      </c>
      <c r="X60" s="744"/>
      <c r="Y60" s="744"/>
      <c r="Z60" s="744"/>
      <c r="AA60" s="744"/>
      <c r="AB60" s="744"/>
      <c r="AC60" s="744"/>
      <c r="AD60" s="744"/>
      <c r="AE60" s="967"/>
      <c r="AF60" s="968"/>
      <c r="AG60" s="254"/>
      <c r="AH60" s="254"/>
      <c r="AI60" s="254"/>
      <c r="AJ60" s="254"/>
      <c r="AK60" s="254"/>
      <c r="AL60" s="254"/>
      <c r="AM60" s="253"/>
      <c r="AO60" s="255"/>
      <c r="AW60" s="257"/>
      <c r="AX60" s="257"/>
    </row>
    <row r="61" spans="1:58" s="267" customFormat="1" ht="6.95" customHeight="1" thickBot="1">
      <c r="A61" s="1"/>
      <c r="C61" s="956"/>
      <c r="D61" s="745"/>
      <c r="E61" s="745"/>
      <c r="F61" s="745"/>
      <c r="G61" s="745"/>
      <c r="H61" s="745"/>
      <c r="I61" s="745"/>
      <c r="J61" s="745"/>
      <c r="K61" s="959"/>
      <c r="L61" s="960"/>
      <c r="M61" s="964"/>
      <c r="N61" s="965"/>
      <c r="O61" s="965"/>
      <c r="P61" s="965"/>
      <c r="Q61" s="965"/>
      <c r="R61" s="965"/>
      <c r="S61" s="965"/>
      <c r="T61" s="966"/>
      <c r="U61" s="969"/>
      <c r="V61" s="970"/>
      <c r="W61" s="745"/>
      <c r="X61" s="745"/>
      <c r="Y61" s="745"/>
      <c r="Z61" s="745"/>
      <c r="AA61" s="745"/>
      <c r="AB61" s="745"/>
      <c r="AC61" s="745"/>
      <c r="AD61" s="745"/>
      <c r="AE61" s="969"/>
      <c r="AF61" s="970"/>
      <c r="AG61" s="296"/>
      <c r="AH61" s="296"/>
      <c r="AI61" s="296"/>
      <c r="AJ61" s="296"/>
      <c r="AK61" s="296"/>
      <c r="AL61" s="296"/>
      <c r="AM61" s="297"/>
      <c r="AO61" s="298"/>
      <c r="AW61" s="257"/>
      <c r="AX61" s="257"/>
    </row>
    <row r="62" spans="1:58" ht="14.1" customHeight="1" thickBot="1">
      <c r="B62" s="268" t="str">
        <f>+B58</f>
        <v>CEQR</v>
      </c>
      <c r="C62" s="231"/>
      <c r="D62" s="232"/>
      <c r="E62" s="233"/>
      <c r="F62" s="234">
        <f>+D62-C62-E62</f>
        <v>0</v>
      </c>
      <c r="G62" s="271"/>
      <c r="H62" s="160"/>
      <c r="I62" s="234">
        <f>+H62-G62</f>
        <v>0</v>
      </c>
      <c r="J62" s="233"/>
      <c r="K62" s="235">
        <f>+I62+F62-L62</f>
        <v>0</v>
      </c>
      <c r="L62" s="269">
        <f>IF(C62&gt;0,(F62+I62)+IF(K$27&gt;0,0+F62,-8),0)</f>
        <v>0</v>
      </c>
      <c r="M62" s="276"/>
      <c r="N62" s="276"/>
      <c r="O62" s="274"/>
      <c r="P62" s="277">
        <f>+N62-M62-O62</f>
        <v>0</v>
      </c>
      <c r="Q62" s="273"/>
      <c r="R62" s="276"/>
      <c r="S62" s="234">
        <f>+R62-Q62</f>
        <v>0</v>
      </c>
      <c r="T62" s="274"/>
      <c r="U62" s="299">
        <f>+S62+P62-V62</f>
        <v>0</v>
      </c>
      <c r="V62" s="300">
        <f>IF(M62&gt;0,(P62+S62)+IF(U$27&gt;0,0+P62,-8),0)</f>
        <v>0</v>
      </c>
      <c r="W62" s="301"/>
      <c r="X62" s="276"/>
      <c r="Y62" s="274"/>
      <c r="Z62" s="277">
        <f>+X62-W62-Y62</f>
        <v>0</v>
      </c>
      <c r="AA62" s="276"/>
      <c r="AB62" s="276"/>
      <c r="AC62" s="234">
        <f>+AB62-AA62</f>
        <v>0</v>
      </c>
      <c r="AD62" s="274"/>
      <c r="AE62" s="299">
        <f>+AC62+Z62-AF62</f>
        <v>0</v>
      </c>
      <c r="AF62" s="236">
        <f>IF(W62&gt;0,(Z62+AC62)+IF(AE$27&gt;0,0+Z62,-8),0)</f>
        <v>0</v>
      </c>
      <c r="AG62" s="69"/>
      <c r="AH62" s="302">
        <v>0</v>
      </c>
      <c r="AI62" s="303">
        <f>+K58+(IF(ISBLANK($K$56),-8,0))</f>
        <v>-8</v>
      </c>
      <c r="AJ62" s="303">
        <f>IF(ISBLANK($U$56),-8,0)+U58</f>
        <v>-8</v>
      </c>
      <c r="AK62" s="304">
        <f>IF(ISBLANK($AE$56),-8,0)+AE58</f>
        <v>-8</v>
      </c>
      <c r="AL62" s="303">
        <f>IF(ISBLANK($AO$56),-8,0)+AM58+AW62</f>
        <v>0</v>
      </c>
      <c r="AM62" s="303">
        <f>IF(ISBLANK($K$60),-8,0)+K62</f>
        <v>-8</v>
      </c>
      <c r="AN62" s="303">
        <f>IF(ISBLANK($U$60),-8,0)+U62</f>
        <v>-8</v>
      </c>
      <c r="AO62" s="303">
        <f>IF(ISBLANK($AE$60),-8,0)+AE62</f>
        <v>-8</v>
      </c>
      <c r="AP62" s="305">
        <f>SUM(AH62:AO62)</f>
        <v>-48</v>
      </c>
      <c r="AQ62" s="306"/>
      <c r="AR62" s="994">
        <f>+X90*Q90</f>
        <v>0</v>
      </c>
      <c r="AS62" s="995"/>
      <c r="AT62" s="307" t="e">
        <f>IF(#REF!+#REF!&gt;0,1,0)+IF(#REF!+#REF!&gt;0,1,0)+IF(#REF!+#REF!&gt;0,1,0)+IF(#REF!&gt;3,1,0)+IF(K62+L62&gt;0,1,0)+IF(U62+V62&gt;0,1,0)+IF(AE62+AF62&gt;0,1,0)</f>
        <v>#REF!</v>
      </c>
      <c r="AU62" s="69"/>
      <c r="AV62" s="69"/>
      <c r="AW62" s="921"/>
      <c r="AX62" s="922"/>
    </row>
    <row r="63" spans="1:58" ht="14.1" customHeight="1">
      <c r="O63" s="241"/>
      <c r="P63" s="242"/>
      <c r="Q63" s="243"/>
      <c r="R63" s="243"/>
      <c r="S63" s="242"/>
      <c r="T63" s="241"/>
      <c r="U63" s="244"/>
      <c r="V63" s="244"/>
      <c r="W63" s="69"/>
      <c r="X63" s="246"/>
      <c r="Y63" s="247"/>
      <c r="Z63" s="248"/>
      <c r="AA63" s="249"/>
      <c r="AC63" s="253"/>
      <c r="AD63" s="254"/>
      <c r="AE63" s="254"/>
      <c r="AF63" s="254"/>
      <c r="AG63" s="254"/>
      <c r="AH63" s="254"/>
      <c r="AI63" s="254"/>
      <c r="AJ63" s="254"/>
      <c r="AK63" s="996"/>
      <c r="AL63" s="996"/>
      <c r="AM63" s="253"/>
      <c r="AO63" s="255"/>
      <c r="AW63" s="257"/>
      <c r="AX63" s="257"/>
    </row>
    <row r="64" spans="1:58" ht="14.1" customHeight="1">
      <c r="O64" s="241"/>
      <c r="P64" s="242"/>
      <c r="Q64" s="243"/>
      <c r="R64" s="243"/>
      <c r="S64" s="242"/>
      <c r="T64" s="241"/>
      <c r="U64" s="244"/>
      <c r="V64" s="244"/>
      <c r="W64" s="69"/>
      <c r="X64" s="246"/>
      <c r="Y64" s="247"/>
      <c r="AW64" s="257"/>
      <c r="AX64" s="257"/>
    </row>
    <row r="65" spans="1:50" ht="18" customHeight="1">
      <c r="C65" s="240" t="s">
        <v>28</v>
      </c>
      <c r="O65" s="241"/>
      <c r="P65" s="242"/>
      <c r="Q65" s="243"/>
      <c r="R65" s="243"/>
      <c r="S65" s="242"/>
      <c r="T65" s="241"/>
      <c r="U65" s="244"/>
      <c r="V65" s="244"/>
      <c r="W65" s="69"/>
      <c r="X65" s="246"/>
      <c r="Y65" s="247"/>
      <c r="AW65" s="257"/>
      <c r="AX65" s="257"/>
    </row>
    <row r="66" spans="1:50" ht="3" customHeight="1">
      <c r="Q66" s="308"/>
      <c r="R66" s="309"/>
      <c r="S66" s="310"/>
      <c r="T66" s="311"/>
      <c r="AX66" s="257"/>
    </row>
    <row r="67" spans="1:50" ht="14.1" customHeight="1" thickBot="1">
      <c r="B67" s="7" t="s">
        <v>29</v>
      </c>
      <c r="C67" s="997" t="s">
        <v>30</v>
      </c>
      <c r="D67" s="997"/>
      <c r="E67" s="997" t="s">
        <v>31</v>
      </c>
      <c r="F67" s="997"/>
      <c r="G67" s="998" t="s">
        <v>32</v>
      </c>
      <c r="H67" s="999"/>
      <c r="I67" s="1004" t="s">
        <v>33</v>
      </c>
      <c r="J67" s="1005"/>
      <c r="K67" s="1006" t="s">
        <v>34</v>
      </c>
      <c r="L67" s="1006"/>
      <c r="M67" s="6"/>
      <c r="N67" s="1007" t="s">
        <v>35</v>
      </c>
      <c r="O67" s="1007"/>
      <c r="P67" s="6"/>
      <c r="Q67" s="1008" t="s">
        <v>36</v>
      </c>
      <c r="R67" s="1009"/>
      <c r="U67" s="1019" t="s">
        <v>37</v>
      </c>
      <c r="V67" s="1022" t="s">
        <v>38</v>
      </c>
      <c r="W67" s="1025" t="s">
        <v>39</v>
      </c>
      <c r="X67" s="983" t="s">
        <v>40</v>
      </c>
      <c r="AX67" s="257"/>
    </row>
    <row r="68" spans="1:50" ht="14.1" customHeight="1">
      <c r="B68" s="7" t="s">
        <v>41</v>
      </c>
      <c r="C68" s="997"/>
      <c r="D68" s="997"/>
      <c r="E68" s="997"/>
      <c r="F68" s="997"/>
      <c r="G68" s="1000"/>
      <c r="H68" s="1001"/>
      <c r="I68" s="1004"/>
      <c r="J68" s="1005"/>
      <c r="K68" s="1006"/>
      <c r="L68" s="1006"/>
      <c r="M68" s="6"/>
      <c r="N68" s="1007"/>
      <c r="O68" s="1007"/>
      <c r="P68" s="6"/>
      <c r="Q68" s="1010"/>
      <c r="R68" s="1011"/>
      <c r="U68" s="1020"/>
      <c r="V68" s="1023"/>
      <c r="W68" s="1026"/>
      <c r="X68" s="984"/>
      <c r="AA68" s="312"/>
      <c r="AB68" s="313"/>
      <c r="AC68" s="314"/>
      <c r="AD68" s="315"/>
      <c r="AE68" s="316"/>
      <c r="AF68" s="316"/>
      <c r="AG68" s="316"/>
      <c r="AH68" s="316"/>
      <c r="AI68" s="316"/>
      <c r="AJ68" s="316"/>
      <c r="AK68" s="316"/>
      <c r="AL68" s="316"/>
      <c r="AM68" s="316"/>
      <c r="AN68" s="314"/>
      <c r="AO68" s="314"/>
      <c r="AP68" s="314"/>
      <c r="AQ68" s="314"/>
      <c r="AR68" s="317"/>
      <c r="AX68" s="257"/>
    </row>
    <row r="69" spans="1:50" ht="14.1" customHeight="1">
      <c r="B69" s="7" t="s">
        <v>42</v>
      </c>
      <c r="C69" s="997"/>
      <c r="D69" s="997"/>
      <c r="E69" s="997"/>
      <c r="F69" s="997"/>
      <c r="G69" s="1000"/>
      <c r="H69" s="1001"/>
      <c r="I69" s="1004"/>
      <c r="J69" s="1005"/>
      <c r="K69" s="1006"/>
      <c r="L69" s="1006"/>
      <c r="M69" s="6"/>
      <c r="N69" s="1007"/>
      <c r="O69" s="1007"/>
      <c r="P69" s="6"/>
      <c r="Q69" s="1012"/>
      <c r="R69" s="1013"/>
      <c r="U69" s="1020"/>
      <c r="V69" s="1023"/>
      <c r="W69" s="1026"/>
      <c r="X69" s="984"/>
      <c r="AA69" s="318"/>
      <c r="AB69" s="319" t="s">
        <v>43</v>
      </c>
      <c r="AC69" s="320"/>
      <c r="AD69" s="320"/>
      <c r="AE69" s="320"/>
      <c r="AF69" s="321"/>
      <c r="AG69" s="321"/>
      <c r="AH69" s="320"/>
      <c r="AI69" s="320"/>
      <c r="AJ69" s="320"/>
      <c r="AK69" s="320"/>
      <c r="AL69" s="320"/>
      <c r="AM69" s="320"/>
      <c r="AN69" s="320"/>
      <c r="AO69" s="322"/>
      <c r="AP69" s="322"/>
      <c r="AQ69" s="323"/>
      <c r="AR69" s="324"/>
      <c r="AT69" s="254"/>
      <c r="AX69" s="257"/>
    </row>
    <row r="70" spans="1:50" ht="27" thickBot="1">
      <c r="B70" s="325" t="s">
        <v>44</v>
      </c>
      <c r="C70" s="986">
        <f>+E70*7</f>
        <v>217</v>
      </c>
      <c r="D70" s="986"/>
      <c r="E70" s="987">
        <f>+K70/30</f>
        <v>31</v>
      </c>
      <c r="F70" s="987"/>
      <c r="G70" s="1000"/>
      <c r="H70" s="1001"/>
      <c r="I70" s="988">
        <f>+E70/8</f>
        <v>3.875</v>
      </c>
      <c r="J70" s="989"/>
      <c r="K70" s="990">
        <f>850+80</f>
        <v>930</v>
      </c>
      <c r="L70" s="990"/>
      <c r="M70" s="326"/>
      <c r="N70" s="991">
        <f>+I70/6*7</f>
        <v>4.5208333333333339</v>
      </c>
      <c r="O70" s="992"/>
      <c r="P70" s="326"/>
      <c r="Q70" s="993">
        <f>+$I$71-I70</f>
        <v>1.3562500000000002</v>
      </c>
      <c r="R70" s="993"/>
      <c r="U70" s="1020"/>
      <c r="V70" s="1023"/>
      <c r="W70" s="1026"/>
      <c r="X70" s="984"/>
      <c r="AA70" s="327"/>
      <c r="AB70" s="328"/>
      <c r="AC70" s="328"/>
      <c r="AD70" s="328"/>
      <c r="AE70" s="328"/>
      <c r="AF70" s="328"/>
      <c r="AG70" s="328"/>
      <c r="AH70" s="328"/>
      <c r="AI70" s="328"/>
      <c r="AJ70" s="328"/>
      <c r="AK70" s="328"/>
      <c r="AL70" s="328"/>
      <c r="AM70" s="328"/>
      <c r="AN70" s="328"/>
      <c r="AO70" s="329" t="s">
        <v>45</v>
      </c>
      <c r="AP70" s="330"/>
      <c r="AQ70" s="328"/>
      <c r="AR70" s="331"/>
    </row>
    <row r="71" spans="1:50" ht="24.75">
      <c r="B71" s="332" t="s">
        <v>46</v>
      </c>
      <c r="C71" s="1014">
        <f>+E71*7</f>
        <v>292.95</v>
      </c>
      <c r="D71" s="1014"/>
      <c r="E71" s="1015">
        <f>+K71/30</f>
        <v>41.85</v>
      </c>
      <c r="F71" s="1015"/>
      <c r="G71" s="1002"/>
      <c r="H71" s="1003"/>
      <c r="I71" s="1016">
        <f>+E71/8</f>
        <v>5.2312500000000002</v>
      </c>
      <c r="J71" s="1017"/>
      <c r="K71" s="1018">
        <f>+K70*1.35</f>
        <v>1255.5</v>
      </c>
      <c r="L71" s="1018"/>
      <c r="M71" s="326"/>
      <c r="N71" s="991">
        <f>+I71/6*7</f>
        <v>6.1031250000000004</v>
      </c>
      <c r="O71" s="992"/>
      <c r="P71" s="326"/>
      <c r="Q71" s="993">
        <f>+$I$71-I71</f>
        <v>0</v>
      </c>
      <c r="R71" s="993"/>
      <c r="U71" s="1020"/>
      <c r="V71" s="1023"/>
      <c r="W71" s="1026"/>
      <c r="X71" s="984"/>
      <c r="AA71" s="333"/>
      <c r="AB71" s="333"/>
      <c r="AC71" s="333"/>
      <c r="AD71" s="333"/>
      <c r="AE71" s="333"/>
      <c r="AF71" s="167"/>
      <c r="AG71" s="167"/>
      <c r="AH71" s="167"/>
      <c r="AJ71" s="296"/>
      <c r="AK71" s="296"/>
      <c r="AL71" s="296"/>
      <c r="AM71" s="296"/>
      <c r="AN71" s="296"/>
      <c r="AO71" s="296"/>
      <c r="AP71" s="296"/>
      <c r="AQ71" s="296"/>
      <c r="AR71" s="296"/>
    </row>
    <row r="72" spans="1:50" ht="2.1" customHeight="1" thickBot="1">
      <c r="B72" s="334"/>
      <c r="C72" s="258"/>
      <c r="D72" s="258"/>
      <c r="G72" s="335"/>
      <c r="H72" s="335"/>
      <c r="I72" s="336"/>
      <c r="J72" s="336"/>
      <c r="K72" s="337"/>
      <c r="L72" s="337"/>
      <c r="M72" s="6"/>
      <c r="N72" s="338"/>
      <c r="O72" s="338"/>
      <c r="P72" s="6"/>
      <c r="Q72" s="339"/>
      <c r="R72" s="339"/>
      <c r="U72" s="1021"/>
      <c r="V72" s="1024"/>
      <c r="W72" s="1027"/>
      <c r="X72" s="985"/>
      <c r="AA72" s="3"/>
    </row>
    <row r="73" spans="1:50" ht="16.5">
      <c r="A73" s="1">
        <v>1</v>
      </c>
      <c r="B73" s="340" t="s">
        <v>47</v>
      </c>
      <c r="C73" s="1040">
        <f>6*3+7*33.8</f>
        <v>254.59999999999997</v>
      </c>
      <c r="D73" s="1041"/>
      <c r="E73" s="1030">
        <f t="shared" ref="E73:E80" si="76">+C73/7</f>
        <v>36.371428571428567</v>
      </c>
      <c r="F73" s="1031"/>
      <c r="G73" s="341"/>
      <c r="H73" s="341"/>
      <c r="I73" s="1032">
        <f t="shared" ref="I73:I80" si="77">+E73/8</f>
        <v>4.5464285714285708</v>
      </c>
      <c r="J73" s="1033"/>
      <c r="K73" s="1034">
        <f t="shared" ref="K73:K80" si="78">+E73*30</f>
        <v>1091.1428571428569</v>
      </c>
      <c r="L73" s="1034"/>
      <c r="M73" s="6"/>
      <c r="N73" s="1035">
        <f t="shared" ref="N73:N90" si="79">+I73/6*7</f>
        <v>5.3041666666666654</v>
      </c>
      <c r="O73" s="1035"/>
      <c r="P73" s="6"/>
      <c r="Q73" s="1036">
        <f>+$I$71-I73</f>
        <v>0.68482142857142936</v>
      </c>
      <c r="R73" s="1037"/>
      <c r="U73" s="342">
        <f>+AE33+U33+K33+AO11+AE11+U11+K11</f>
        <v>48</v>
      </c>
      <c r="V73" s="343">
        <v>48</v>
      </c>
      <c r="W73" s="344">
        <f t="shared" ref="W73:W90" si="80">+V73-U73</f>
        <v>0</v>
      </c>
      <c r="X73" s="345">
        <f>+J11+T11+AD11+J33+T33+AD33</f>
        <v>0</v>
      </c>
      <c r="Y73" s="1038">
        <f>+X73*Q73</f>
        <v>0</v>
      </c>
      <c r="Z73" s="1039"/>
      <c r="AA73" s="346"/>
      <c r="AB73" s="347"/>
      <c r="AC73" s="348"/>
      <c r="AD73" s="349"/>
      <c r="AE73" s="350"/>
      <c r="AF73" s="350"/>
      <c r="AG73" s="350"/>
      <c r="AH73" s="350"/>
      <c r="AI73" s="350"/>
      <c r="AJ73" s="350"/>
      <c r="AK73" s="350"/>
      <c r="AL73" s="350"/>
      <c r="AM73" s="350"/>
      <c r="AN73" s="348"/>
      <c r="AO73" s="348"/>
      <c r="AP73" s="348"/>
      <c r="AQ73" s="348"/>
      <c r="AR73" s="351"/>
    </row>
    <row r="74" spans="1:50" ht="16.5">
      <c r="A74" s="1">
        <v>2</v>
      </c>
      <c r="B74" s="340" t="s">
        <v>48</v>
      </c>
      <c r="C74" s="1040">
        <f>6*3+7*38.5</f>
        <v>287.5</v>
      </c>
      <c r="D74" s="1041"/>
      <c r="E74" s="1030">
        <f t="shared" si="76"/>
        <v>41.071428571428569</v>
      </c>
      <c r="F74" s="1031"/>
      <c r="G74" s="341"/>
      <c r="H74" s="341"/>
      <c r="I74" s="1032">
        <f t="shared" si="77"/>
        <v>5.1339285714285712</v>
      </c>
      <c r="J74" s="1033"/>
      <c r="K74" s="1034">
        <f t="shared" si="78"/>
        <v>1232.1428571428571</v>
      </c>
      <c r="L74" s="1034"/>
      <c r="M74" s="6"/>
      <c r="N74" s="1035">
        <f t="shared" si="79"/>
        <v>5.989583333333333</v>
      </c>
      <c r="O74" s="1035"/>
      <c r="P74" s="6"/>
      <c r="Q74" s="1036">
        <f>+$I$71-I74</f>
        <v>9.7321428571429003E-2</v>
      </c>
      <c r="R74" s="1037"/>
      <c r="U74" s="342">
        <f>+AE34+U34+K34+AO12+AE12+U12+K12</f>
        <v>66</v>
      </c>
      <c r="V74" s="343">
        <v>48</v>
      </c>
      <c r="W74" s="344">
        <f t="shared" si="80"/>
        <v>-18</v>
      </c>
      <c r="X74" s="345">
        <f>+J12+T12+AD12+J34+T34+AD34</f>
        <v>0</v>
      </c>
      <c r="Y74" s="1038">
        <f>+X74*Q74</f>
        <v>0</v>
      </c>
      <c r="Z74" s="1039"/>
      <c r="AA74" s="352"/>
      <c r="AB74" s="353" t="s">
        <v>49</v>
      </c>
      <c r="AC74" s="354"/>
      <c r="AD74" s="354"/>
      <c r="AE74" s="354"/>
      <c r="AF74" s="355"/>
      <c r="AG74" s="355"/>
      <c r="AH74" s="354"/>
      <c r="AI74" s="354"/>
      <c r="AJ74" s="354"/>
      <c r="AK74" s="354"/>
      <c r="AL74" s="354"/>
      <c r="AM74" s="354"/>
      <c r="AN74" s="354"/>
      <c r="AO74" s="356"/>
      <c r="AP74" s="356"/>
      <c r="AQ74" s="357"/>
      <c r="AR74" s="358"/>
    </row>
    <row r="75" spans="1:50" ht="16.5">
      <c r="A75" s="1">
        <v>5</v>
      </c>
      <c r="B75" s="340" t="s">
        <v>52</v>
      </c>
      <c r="C75" s="1028">
        <f>6*3+7*38.5</f>
        <v>287.5</v>
      </c>
      <c r="D75" s="1029"/>
      <c r="E75" s="1030">
        <f t="shared" si="76"/>
        <v>41.071428571428569</v>
      </c>
      <c r="F75" s="1031"/>
      <c r="G75" s="341"/>
      <c r="H75" s="341"/>
      <c r="I75" s="1032">
        <f t="shared" si="77"/>
        <v>5.1339285714285712</v>
      </c>
      <c r="J75" s="1033"/>
      <c r="K75" s="1034">
        <f t="shared" si="78"/>
        <v>1232.1428571428571</v>
      </c>
      <c r="L75" s="1034"/>
      <c r="M75" s="6"/>
      <c r="N75" s="1035">
        <f t="shared" si="79"/>
        <v>5.989583333333333</v>
      </c>
      <c r="O75" s="1035"/>
      <c r="P75" s="6"/>
      <c r="Q75" s="1036">
        <f>+$I$71-I75</f>
        <v>9.7321428571429003E-2</v>
      </c>
      <c r="R75" s="1037"/>
      <c r="U75" s="342">
        <f>+AE35+U35+K35+AO13+AE13+U13+K13</f>
        <v>48.5</v>
      </c>
      <c r="V75" s="343">
        <v>48</v>
      </c>
      <c r="W75" s="344">
        <f t="shared" si="80"/>
        <v>-0.5</v>
      </c>
      <c r="X75" s="345">
        <f>+J13+T13+AD13+J35+T35+AD35</f>
        <v>0</v>
      </c>
    </row>
    <row r="76" spans="1:50" ht="16.5">
      <c r="A76" s="1">
        <v>7</v>
      </c>
      <c r="B76" s="365" t="s">
        <v>53</v>
      </c>
      <c r="C76" s="1042">
        <f>6*3+7*(38.5)</f>
        <v>287.5</v>
      </c>
      <c r="D76" s="1043"/>
      <c r="E76" s="1030">
        <f t="shared" si="76"/>
        <v>41.071428571428569</v>
      </c>
      <c r="F76" s="1031"/>
      <c r="G76" s="1046"/>
      <c r="H76" s="1047"/>
      <c r="I76" s="1032">
        <f t="shared" si="77"/>
        <v>5.1339285714285712</v>
      </c>
      <c r="J76" s="1033"/>
      <c r="K76" s="1034">
        <f t="shared" si="78"/>
        <v>1232.1428571428571</v>
      </c>
      <c r="L76" s="1034"/>
      <c r="M76" s="6"/>
      <c r="N76" s="1035">
        <f>+I76/6*7</f>
        <v>5.989583333333333</v>
      </c>
      <c r="O76" s="1035"/>
      <c r="P76" s="6"/>
      <c r="Q76" s="1036">
        <f>+$I$71-I76</f>
        <v>9.7321428571429003E-2</v>
      </c>
      <c r="R76" s="1037"/>
      <c r="U76" s="342">
        <f>+AE36+U36+K36+AO14+AE14+U14+K14</f>
        <v>37</v>
      </c>
      <c r="V76" s="343">
        <v>48</v>
      </c>
      <c r="W76" s="344">
        <f>+V76-U76</f>
        <v>11</v>
      </c>
      <c r="X76" s="345">
        <f>+J14+T14+AD14+J36+T36+AD36</f>
        <v>0</v>
      </c>
      <c r="AD76"/>
    </row>
    <row r="77" spans="1:50" s="371" customFormat="1" ht="16.5">
      <c r="A77" s="366">
        <v>6</v>
      </c>
      <c r="B77" s="365" t="s">
        <v>142</v>
      </c>
      <c r="C77" s="1028">
        <f>+G77*6</f>
        <v>186</v>
      </c>
      <c r="D77" s="1029"/>
      <c r="E77" s="1030">
        <f t="shared" si="76"/>
        <v>26.571428571428573</v>
      </c>
      <c r="F77" s="1031"/>
      <c r="G77" s="1044">
        <v>31</v>
      </c>
      <c r="H77" s="1045"/>
      <c r="I77" s="1032">
        <f>+G77/8</f>
        <v>3.875</v>
      </c>
      <c r="J77" s="1033"/>
      <c r="K77" s="1034">
        <f>+G77*30</f>
        <v>930</v>
      </c>
      <c r="L77" s="1034"/>
      <c r="M77" s="374"/>
      <c r="N77" s="1035">
        <f t="shared" ref="N77" si="81">+I77/6*7</f>
        <v>4.5208333333333339</v>
      </c>
      <c r="O77" s="1035"/>
      <c r="P77" s="6"/>
      <c r="Q77" s="1036">
        <f t="shared" ref="Q77" si="82">+$I$71-I77</f>
        <v>1.3562500000000002</v>
      </c>
      <c r="R77" s="1037"/>
      <c r="S77" s="3"/>
      <c r="T77" s="3"/>
      <c r="U77" s="342">
        <f>+AE35+U35+K35+AO13+AE13+U13+K13</f>
        <v>48.5</v>
      </c>
      <c r="V77" s="343">
        <v>48</v>
      </c>
      <c r="W77" s="344">
        <f t="shared" ref="W77" si="83">+V77-U77</f>
        <v>-0.5</v>
      </c>
      <c r="X77" s="345">
        <f>+J13+T13+AD13+J35+T35+AD35</f>
        <v>0</v>
      </c>
      <c r="Y77" s="367"/>
      <c r="Z77" s="557"/>
      <c r="AA77" s="557"/>
      <c r="AB77" s="557"/>
      <c r="AC77" s="557"/>
      <c r="AD77" s="557"/>
      <c r="AE77" s="296"/>
      <c r="AF77" s="296"/>
      <c r="AG77" s="556"/>
      <c r="AH77" s="556"/>
      <c r="AI77" s="370"/>
      <c r="AJ77" s="370"/>
      <c r="AK77" s="370"/>
      <c r="AL77" s="370"/>
      <c r="AM77" s="556"/>
      <c r="AN77" s="556"/>
      <c r="AO77" s="556"/>
      <c r="AP77" s="556"/>
      <c r="AQ77" s="556"/>
      <c r="AR77" s="556"/>
      <c r="AS77" s="296"/>
      <c r="AT77" s="296"/>
    </row>
    <row r="78" spans="1:50" s="371" customFormat="1" ht="16.5">
      <c r="A78" s="1">
        <v>8</v>
      </c>
      <c r="B78" s="365" t="s">
        <v>54</v>
      </c>
      <c r="C78" s="1042">
        <f t="shared" ref="C78:C83" si="84">6*3+7*(28.4286)</f>
        <v>217.00020000000001</v>
      </c>
      <c r="D78" s="1043"/>
      <c r="E78" s="1030">
        <f t="shared" si="76"/>
        <v>31.000028571428572</v>
      </c>
      <c r="F78" s="1031"/>
      <c r="G78" s="1044"/>
      <c r="H78" s="1045"/>
      <c r="I78" s="1032">
        <f t="shared" si="77"/>
        <v>3.8750035714285715</v>
      </c>
      <c r="J78" s="1033"/>
      <c r="K78" s="1034">
        <f t="shared" si="78"/>
        <v>930.00085714285717</v>
      </c>
      <c r="L78" s="1034"/>
      <c r="M78" s="6"/>
      <c r="N78" s="1035">
        <f t="shared" si="79"/>
        <v>4.5208375000000007</v>
      </c>
      <c r="O78" s="1035"/>
      <c r="P78" s="6"/>
      <c r="Q78" s="1036">
        <f t="shared" ref="Q78:Q90" si="85">+$I$71-I78</f>
        <v>1.3562464285714286</v>
      </c>
      <c r="R78" s="1037"/>
      <c r="S78" s="3"/>
      <c r="T78" s="3"/>
      <c r="U78" s="342" t="e">
        <f>+#REF!+#REF!+#REF!+#REF!+#REF!+#REF!+#REF!</f>
        <v>#REF!</v>
      </c>
      <c r="V78" s="343">
        <v>48</v>
      </c>
      <c r="W78" s="344" t="e">
        <f t="shared" si="80"/>
        <v>#REF!</v>
      </c>
      <c r="X78" s="345" t="e">
        <f>+#REF!+#REF!+#REF!+#REF!+#REF!+#REF!</f>
        <v>#REF!</v>
      </c>
      <c r="Y78" s="3"/>
      <c r="Z78" s="557"/>
      <c r="AA78" s="557"/>
      <c r="AB78" s="557"/>
      <c r="AC78" s="557"/>
      <c r="AD78" s="557"/>
      <c r="AE78" s="296"/>
      <c r="AF78" s="296"/>
      <c r="AG78" s="556"/>
      <c r="AH78" s="556"/>
      <c r="AI78" s="370"/>
      <c r="AJ78" s="370"/>
      <c r="AK78" s="370"/>
      <c r="AL78" s="370"/>
      <c r="AM78" s="556"/>
      <c r="AN78" s="556"/>
      <c r="AO78" s="556"/>
      <c r="AP78" s="556"/>
      <c r="AQ78" s="556"/>
      <c r="AR78" s="556"/>
      <c r="AS78" s="296"/>
      <c r="AT78" s="296"/>
    </row>
    <row r="79" spans="1:50" ht="16.5">
      <c r="B79" s="359" t="s">
        <v>55</v>
      </c>
      <c r="C79" s="1042">
        <f t="shared" si="84"/>
        <v>217.00020000000001</v>
      </c>
      <c r="D79" s="1043"/>
      <c r="E79" s="1030">
        <f t="shared" si="76"/>
        <v>31.000028571428572</v>
      </c>
      <c r="F79" s="1031"/>
      <c r="G79" s="1044"/>
      <c r="H79" s="1045"/>
      <c r="I79" s="1032">
        <f t="shared" si="77"/>
        <v>3.8750035714285715</v>
      </c>
      <c r="J79" s="1033"/>
      <c r="K79" s="1034">
        <f t="shared" si="78"/>
        <v>930.00085714285717</v>
      </c>
      <c r="L79" s="1034"/>
      <c r="M79" s="6"/>
      <c r="N79" s="1050">
        <f t="shared" si="79"/>
        <v>4.5208375000000007</v>
      </c>
      <c r="O79" s="1051"/>
      <c r="P79" s="6"/>
      <c r="Q79" s="1048">
        <f t="shared" si="85"/>
        <v>1.3562464285714286</v>
      </c>
      <c r="R79" s="1049"/>
      <c r="U79" s="342">
        <f>+AE39+U39+K39+AO17+AE17+U17+K17</f>
        <v>66</v>
      </c>
      <c r="V79" s="343">
        <v>48</v>
      </c>
      <c r="W79" s="344">
        <f t="shared" si="80"/>
        <v>-18</v>
      </c>
      <c r="X79" s="345">
        <f>+J16+T16+AD16+J38+T38+AD38</f>
        <v>0</v>
      </c>
      <c r="Y79" s="1038">
        <f>+X79*Q79</f>
        <v>0</v>
      </c>
      <c r="Z79" s="1039"/>
      <c r="AA79" s="372"/>
      <c r="AB79" s="557"/>
      <c r="AC79" s="557"/>
      <c r="AD79" s="557"/>
      <c r="AE79" s="296"/>
      <c r="AF79" s="296"/>
      <c r="AG79" s="556"/>
      <c r="AH79" s="556"/>
      <c r="AI79" s="556"/>
      <c r="AJ79" s="556"/>
      <c r="AK79" s="556"/>
      <c r="AL79" s="556"/>
      <c r="AM79" s="556"/>
      <c r="AN79" s="556"/>
      <c r="AO79" s="556"/>
      <c r="AP79" s="556"/>
      <c r="AQ79" s="556"/>
      <c r="AR79" s="556"/>
      <c r="AS79" s="296"/>
      <c r="AT79" s="296"/>
    </row>
    <row r="80" spans="1:50" ht="16.5">
      <c r="B80" s="359" t="s">
        <v>56</v>
      </c>
      <c r="C80" s="1042">
        <f t="shared" si="84"/>
        <v>217.00020000000001</v>
      </c>
      <c r="D80" s="1043"/>
      <c r="E80" s="1030">
        <f t="shared" si="76"/>
        <v>31.000028571428572</v>
      </c>
      <c r="F80" s="1031"/>
      <c r="G80" s="1044"/>
      <c r="H80" s="1045"/>
      <c r="I80" s="1032">
        <f t="shared" si="77"/>
        <v>3.8750035714285715</v>
      </c>
      <c r="J80" s="1033"/>
      <c r="K80" s="1034">
        <f t="shared" si="78"/>
        <v>930.00085714285717</v>
      </c>
      <c r="L80" s="1034"/>
      <c r="M80" s="6"/>
      <c r="N80" s="1050">
        <f t="shared" si="79"/>
        <v>4.5208375000000007</v>
      </c>
      <c r="O80" s="1051"/>
      <c r="P80" s="6"/>
      <c r="Q80" s="1048">
        <f t="shared" si="85"/>
        <v>1.3562464285714286</v>
      </c>
      <c r="R80" s="1049"/>
      <c r="U80" s="342">
        <f>+AE47+U47+K47+AO25+AE25+U25+K25</f>
        <v>16</v>
      </c>
      <c r="V80" s="343">
        <v>48</v>
      </c>
      <c r="W80" s="344">
        <f t="shared" si="80"/>
        <v>32</v>
      </c>
      <c r="X80" s="345">
        <f>+J17+T17+AD17+J39+T39+AD39</f>
        <v>0</v>
      </c>
      <c r="Y80" s="1038">
        <f>+X80*Q80</f>
        <v>0</v>
      </c>
      <c r="Z80" s="1039"/>
      <c r="AA80" s="372"/>
      <c r="AB80" s="557"/>
      <c r="AC80" s="557"/>
      <c r="AD80" s="557"/>
      <c r="AE80" s="296"/>
      <c r="AF80" s="296"/>
      <c r="AG80" s="556"/>
      <c r="AH80" s="556"/>
      <c r="AI80" s="556"/>
      <c r="AJ80" s="556"/>
      <c r="AK80" s="556"/>
      <c r="AL80" s="556"/>
      <c r="AM80" s="556"/>
      <c r="AN80" s="556"/>
      <c r="AO80" s="556"/>
      <c r="AP80" s="556"/>
      <c r="AQ80" s="556"/>
      <c r="AR80" s="556"/>
      <c r="AS80" s="296"/>
      <c r="AT80" s="296"/>
    </row>
    <row r="81" spans="1:46" ht="16.5">
      <c r="A81" s="366"/>
      <c r="B81" s="359" t="s">
        <v>57</v>
      </c>
      <c r="C81" s="1042">
        <f t="shared" si="84"/>
        <v>217.00020000000001</v>
      </c>
      <c r="D81" s="1043"/>
      <c r="E81" s="1030">
        <f>+C81/7</f>
        <v>31.000028571428572</v>
      </c>
      <c r="F81" s="1031"/>
      <c r="G81" s="1044"/>
      <c r="H81" s="1045"/>
      <c r="I81" s="1032">
        <f>+E81/8</f>
        <v>3.8750035714285715</v>
      </c>
      <c r="J81" s="1033"/>
      <c r="K81" s="1034">
        <f>+E81*30</f>
        <v>930.00085714285717</v>
      </c>
      <c r="L81" s="1034"/>
      <c r="M81" s="6"/>
      <c r="N81" s="1050">
        <f>+I81/6*7</f>
        <v>4.5208375000000007</v>
      </c>
      <c r="O81" s="1051"/>
      <c r="P81" s="6"/>
      <c r="Q81" s="1048">
        <f t="shared" si="85"/>
        <v>1.3562464285714286</v>
      </c>
      <c r="R81" s="1049"/>
      <c r="U81" s="342">
        <f>+AD41+T41+J41+AN18+AD18+T18+J18</f>
        <v>0</v>
      </c>
      <c r="V81" s="343">
        <v>48</v>
      </c>
      <c r="W81" s="344">
        <f>+V81-U81</f>
        <v>48</v>
      </c>
      <c r="X81" s="345">
        <f>+J18+T18+AD18+J40+T40+AD40</f>
        <v>0</v>
      </c>
      <c r="Y81" s="1038">
        <f>+X81*Q81</f>
        <v>0</v>
      </c>
      <c r="Z81" s="1039"/>
      <c r="AA81" s="372"/>
      <c r="AB81" s="557"/>
      <c r="AC81" s="557"/>
      <c r="AD81" s="557"/>
      <c r="AE81" s="296"/>
      <c r="AF81" s="296"/>
      <c r="AG81" s="556"/>
      <c r="AH81" s="556"/>
      <c r="AI81" s="556"/>
      <c r="AJ81" s="556"/>
      <c r="AK81" s="555"/>
      <c r="AL81" s="555"/>
      <c r="AM81" s="555"/>
      <c r="AN81" s="555"/>
      <c r="AO81" s="555"/>
      <c r="AP81" s="555"/>
      <c r="AQ81" s="555"/>
      <c r="AR81" s="555"/>
      <c r="AS81" s="296"/>
      <c r="AT81" s="296"/>
    </row>
    <row r="82" spans="1:46" ht="16.5">
      <c r="A82" s="366"/>
      <c r="B82" s="359" t="s">
        <v>58</v>
      </c>
      <c r="C82" s="1042">
        <f t="shared" si="84"/>
        <v>217.00020000000001</v>
      </c>
      <c r="D82" s="1043"/>
      <c r="E82" s="1030">
        <f>+C82/7</f>
        <v>31.000028571428572</v>
      </c>
      <c r="F82" s="1031"/>
      <c r="G82" s="1044"/>
      <c r="H82" s="1045"/>
      <c r="I82" s="1032">
        <f>+E82/8</f>
        <v>3.8750035714285715</v>
      </c>
      <c r="J82" s="1033"/>
      <c r="K82" s="1034">
        <f>+E82*30</f>
        <v>930.00085714285717</v>
      </c>
      <c r="L82" s="1034"/>
      <c r="M82" s="6"/>
      <c r="N82" s="1050">
        <f>+I82/6*7</f>
        <v>4.5208375000000007</v>
      </c>
      <c r="O82" s="1051"/>
      <c r="P82" s="6"/>
      <c r="Q82" s="1048">
        <f t="shared" si="85"/>
        <v>1.3562464285714286</v>
      </c>
      <c r="R82" s="1049"/>
      <c r="U82" s="342">
        <f>+AD47+T47+J47+AN25+AD25+T25+K25</f>
        <v>0</v>
      </c>
      <c r="V82" s="343">
        <v>48</v>
      </c>
      <c r="W82" s="344">
        <f>+V82-U82</f>
        <v>48</v>
      </c>
      <c r="X82" s="345">
        <f>+J25+T25+AD25+J47+T47+AD47</f>
        <v>0</v>
      </c>
      <c r="Z82" s="372"/>
      <c r="AA82" s="372"/>
      <c r="AB82" s="557"/>
      <c r="AC82" s="557"/>
      <c r="AD82" s="557"/>
      <c r="AE82" s="296"/>
      <c r="AF82" s="296"/>
      <c r="AG82" s="556"/>
      <c r="AH82" s="556"/>
      <c r="AI82" s="556"/>
      <c r="AJ82" s="556"/>
      <c r="AK82" s="555"/>
      <c r="AL82" s="555"/>
      <c r="AM82" s="555"/>
      <c r="AN82" s="555"/>
      <c r="AO82" s="555"/>
      <c r="AP82" s="555"/>
      <c r="AQ82" s="555"/>
      <c r="AR82" s="555"/>
      <c r="AS82" s="296"/>
      <c r="AT82" s="296"/>
    </row>
    <row r="83" spans="1:46" ht="16.5">
      <c r="A83" s="366"/>
      <c r="B83" s="359" t="s">
        <v>59</v>
      </c>
      <c r="C83" s="1042">
        <f t="shared" si="84"/>
        <v>217.00020000000001</v>
      </c>
      <c r="D83" s="1043"/>
      <c r="E83" s="1030">
        <f>+C83/7</f>
        <v>31.000028571428572</v>
      </c>
      <c r="F83" s="1031"/>
      <c r="G83" s="1044"/>
      <c r="H83" s="1045"/>
      <c r="I83" s="1032">
        <f>+E83/8</f>
        <v>3.8750035714285715</v>
      </c>
      <c r="J83" s="1033"/>
      <c r="K83" s="1034">
        <f>+E83*30</f>
        <v>930.00085714285717</v>
      </c>
      <c r="L83" s="1034"/>
      <c r="M83" s="6"/>
      <c r="N83" s="1050">
        <f>+I83/6*7</f>
        <v>4.5208375000000007</v>
      </c>
      <c r="O83" s="1051"/>
      <c r="P83" s="6"/>
      <c r="Q83" s="1048">
        <f t="shared" si="85"/>
        <v>1.3562464285714286</v>
      </c>
      <c r="R83" s="1049"/>
      <c r="U83" s="342">
        <f>+AD48+T48+J48+AN26+AD26+T26+K26</f>
        <v>0</v>
      </c>
      <c r="V83" s="343">
        <v>48</v>
      </c>
      <c r="W83" s="344">
        <f>+V83-U83</f>
        <v>48</v>
      </c>
      <c r="X83" s="345">
        <f>+J26+T26+AD26+J48+T48+AD48</f>
        <v>0</v>
      </c>
      <c r="Z83" s="372"/>
      <c r="AA83" s="372"/>
      <c r="AB83" s="557"/>
      <c r="AC83" s="557"/>
      <c r="AD83" s="557"/>
      <c r="AE83" s="296"/>
      <c r="AF83" s="296"/>
      <c r="AG83" s="556"/>
      <c r="AH83" s="556"/>
      <c r="AI83" s="556"/>
      <c r="AJ83" s="556"/>
      <c r="AK83" s="556"/>
      <c r="AL83" s="556"/>
      <c r="AM83" s="556"/>
      <c r="AN83" s="556"/>
      <c r="AO83" s="556"/>
      <c r="AP83" s="556"/>
      <c r="AQ83" s="556"/>
      <c r="AR83" s="556"/>
      <c r="AS83" s="296"/>
      <c r="AT83" s="296"/>
    </row>
    <row r="84" spans="1:46" ht="16.5">
      <c r="B84" s="365" t="s">
        <v>60</v>
      </c>
      <c r="C84" s="1028">
        <f>+G84*6</f>
        <v>186</v>
      </c>
      <c r="D84" s="1029"/>
      <c r="E84" s="1030">
        <f t="shared" ref="E84:E90" si="86">+C84/7</f>
        <v>26.571428571428573</v>
      </c>
      <c r="F84" s="1031"/>
      <c r="G84" s="1044">
        <v>31</v>
      </c>
      <c r="H84" s="1045"/>
      <c r="I84" s="1032">
        <f>+G84/8</f>
        <v>3.875</v>
      </c>
      <c r="J84" s="1033"/>
      <c r="K84" s="1034">
        <f>+G84*30</f>
        <v>930</v>
      </c>
      <c r="L84" s="1034"/>
      <c r="M84" s="374"/>
      <c r="N84" s="1035">
        <f t="shared" si="79"/>
        <v>4.5208333333333339</v>
      </c>
      <c r="O84" s="1035"/>
      <c r="P84" s="6"/>
      <c r="Q84" s="1036">
        <f t="shared" si="85"/>
        <v>1.3562500000000002</v>
      </c>
      <c r="R84" s="1037"/>
      <c r="U84" s="342">
        <f>+AE42+U42+K42+AO20+AE20+U20+K20</f>
        <v>40</v>
      </c>
      <c r="V84" s="343">
        <v>48</v>
      </c>
      <c r="W84" s="344">
        <f t="shared" si="80"/>
        <v>8</v>
      </c>
      <c r="X84" s="345">
        <f>+J20+T20+AD20+J42+T42+AD42</f>
        <v>0</v>
      </c>
      <c r="Z84" s="372"/>
      <c r="AA84" s="372"/>
      <c r="AB84" s="557"/>
      <c r="AC84" s="557"/>
      <c r="AD84" s="557"/>
      <c r="AE84" s="296"/>
      <c r="AF84" s="296"/>
      <c r="AG84" s="556"/>
      <c r="AH84" s="556"/>
      <c r="AI84" s="556"/>
      <c r="AJ84" s="556"/>
      <c r="AK84" s="556"/>
      <c r="AL84" s="556"/>
      <c r="AM84" s="556"/>
      <c r="AN84" s="556"/>
      <c r="AO84" s="556"/>
      <c r="AP84" s="556"/>
      <c r="AQ84" s="556"/>
      <c r="AR84" s="556"/>
      <c r="AS84" s="296"/>
      <c r="AT84" s="296"/>
    </row>
    <row r="85" spans="1:46" ht="16.5">
      <c r="A85" s="1">
        <v>2</v>
      </c>
      <c r="B85" s="340" t="s">
        <v>61</v>
      </c>
      <c r="C85" s="1040">
        <v>304.26666666666665</v>
      </c>
      <c r="D85" s="1041"/>
      <c r="E85" s="1030">
        <f>+C85/7</f>
        <v>43.466666666666661</v>
      </c>
      <c r="F85" s="1031"/>
      <c r="G85" s="341"/>
      <c r="H85" s="341"/>
      <c r="I85" s="1032">
        <f>+E85/8</f>
        <v>5.4333333333333327</v>
      </c>
      <c r="J85" s="1033"/>
      <c r="K85" s="1034">
        <f>+E85*30</f>
        <v>1303.9999999999998</v>
      </c>
      <c r="L85" s="1034"/>
      <c r="M85" s="6"/>
      <c r="N85" s="1035">
        <f t="shared" si="79"/>
        <v>6.3388888888888886</v>
      </c>
      <c r="O85" s="1035"/>
      <c r="P85" s="6"/>
      <c r="Q85" s="1036">
        <f t="shared" si="85"/>
        <v>-0.2020833333333325</v>
      </c>
      <c r="R85" s="1037"/>
      <c r="U85" s="342">
        <f>+AE48+U48+K48+AO26+AE26+U26+K26</f>
        <v>0</v>
      </c>
      <c r="V85" s="343">
        <v>48</v>
      </c>
      <c r="W85" s="344">
        <f t="shared" si="80"/>
        <v>48</v>
      </c>
      <c r="X85" s="345">
        <f>+J26+T26+AD26+J48+T48+AD48</f>
        <v>0</v>
      </c>
    </row>
    <row r="86" spans="1:46" ht="16.5">
      <c r="A86" s="1">
        <v>2</v>
      </c>
      <c r="B86" s="359" t="s">
        <v>62</v>
      </c>
      <c r="C86" s="1042">
        <f>6*3+7*(28.4286)</f>
        <v>217.00020000000001</v>
      </c>
      <c r="D86" s="1043"/>
      <c r="E86" s="1030">
        <f t="shared" si="86"/>
        <v>31.000028571428572</v>
      </c>
      <c r="F86" s="1031"/>
      <c r="G86" s="1044"/>
      <c r="H86" s="1045"/>
      <c r="I86" s="1032">
        <f>+E86/8</f>
        <v>3.8750035714285715</v>
      </c>
      <c r="J86" s="1033"/>
      <c r="K86" s="1034">
        <f>+E86*30</f>
        <v>930.00085714285717</v>
      </c>
      <c r="L86" s="1034"/>
      <c r="M86" s="6"/>
      <c r="N86" s="1035">
        <f t="shared" si="79"/>
        <v>4.5208375000000007</v>
      </c>
      <c r="O86" s="1035"/>
      <c r="P86" s="6"/>
      <c r="Q86" s="1036">
        <f t="shared" si="85"/>
        <v>1.3562464285714286</v>
      </c>
      <c r="R86" s="1037"/>
      <c r="U86" s="342">
        <f>+AE43+U43+K43+AO21+AE21+U21+K21</f>
        <v>24.5</v>
      </c>
      <c r="V86" s="343">
        <v>48</v>
      </c>
      <c r="W86" s="344">
        <f t="shared" si="80"/>
        <v>23.5</v>
      </c>
      <c r="X86" s="345">
        <f>+J21+T21+AD21+J43+T43+AD43</f>
        <v>0</v>
      </c>
    </row>
    <row r="87" spans="1:46" ht="16.5">
      <c r="A87" s="366"/>
      <c r="B87" s="359" t="s">
        <v>63</v>
      </c>
      <c r="C87" s="1042">
        <f>6*3+7*(28.4286)</f>
        <v>217.00020000000001</v>
      </c>
      <c r="D87" s="1043"/>
      <c r="E87" s="1030">
        <f t="shared" si="86"/>
        <v>31.000028571428572</v>
      </c>
      <c r="F87" s="1031"/>
      <c r="G87" s="1044"/>
      <c r="H87" s="1045"/>
      <c r="I87" s="1032">
        <f>+E87/8</f>
        <v>3.8750035714285715</v>
      </c>
      <c r="J87" s="1033"/>
      <c r="K87" s="1034">
        <f>+E87*30</f>
        <v>930.00085714285717</v>
      </c>
      <c r="L87" s="1034"/>
      <c r="M87" s="6"/>
      <c r="N87" s="1050">
        <f t="shared" si="79"/>
        <v>4.5208375000000007</v>
      </c>
      <c r="O87" s="1051"/>
      <c r="P87" s="6"/>
      <c r="Q87" s="1048">
        <f t="shared" si="85"/>
        <v>1.3562464285714286</v>
      </c>
      <c r="R87" s="1049"/>
      <c r="U87" s="342">
        <f>+AD48+T48+J48+AN26+AD26+T26+K26</f>
        <v>0</v>
      </c>
      <c r="V87" s="343">
        <v>48</v>
      </c>
      <c r="W87" s="344">
        <f t="shared" si="80"/>
        <v>48</v>
      </c>
      <c r="X87" s="345">
        <f>+J26+T26+AD26+J48+T48+AD48</f>
        <v>0</v>
      </c>
      <c r="Z87" s="372"/>
      <c r="AA87" s="372"/>
      <c r="AB87" s="557"/>
      <c r="AC87" s="557"/>
      <c r="AD87" s="557"/>
      <c r="AE87" s="296"/>
      <c r="AF87" s="296"/>
      <c r="AG87" s="556"/>
      <c r="AH87" s="556"/>
      <c r="AI87" s="556"/>
      <c r="AJ87" s="556"/>
      <c r="AK87" s="555"/>
      <c r="AL87" s="555"/>
      <c r="AM87" s="555"/>
      <c r="AN87" s="555"/>
      <c r="AO87" s="555"/>
      <c r="AP87" s="555"/>
      <c r="AQ87" s="555"/>
      <c r="AR87" s="555"/>
      <c r="AS87" s="296"/>
      <c r="AT87" s="296"/>
    </row>
    <row r="88" spans="1:46" ht="16.5">
      <c r="A88" s="366"/>
      <c r="B88" s="359" t="s">
        <v>64</v>
      </c>
      <c r="C88" s="1042">
        <f>6*3+7*(28.4286)</f>
        <v>217.00020000000001</v>
      </c>
      <c r="D88" s="1043"/>
      <c r="E88" s="1030">
        <f t="shared" ref="E88:E89" si="87">+C88/7</f>
        <v>31.000028571428572</v>
      </c>
      <c r="F88" s="1031"/>
      <c r="G88" s="1044"/>
      <c r="H88" s="1045"/>
      <c r="I88" s="1032">
        <f>+E88/8</f>
        <v>3.8750035714285715</v>
      </c>
      <c r="J88" s="1033"/>
      <c r="K88" s="1034">
        <f>+E88*30</f>
        <v>930.00085714285717</v>
      </c>
      <c r="L88" s="1034"/>
      <c r="M88" s="6"/>
      <c r="N88" s="1050">
        <f t="shared" ref="N88" si="88">+I88/6*7</f>
        <v>4.5208375000000007</v>
      </c>
      <c r="O88" s="1051"/>
      <c r="P88" s="6"/>
      <c r="Q88" s="1048">
        <f t="shared" si="85"/>
        <v>1.3562464285714286</v>
      </c>
      <c r="R88" s="1049"/>
      <c r="U88" s="342">
        <f>+AD48+T48+J48+AN26+AD26+T26+K26</f>
        <v>0</v>
      </c>
      <c r="V88" s="343">
        <v>48</v>
      </c>
      <c r="W88" s="344">
        <f t="shared" ref="W88" si="89">+V88-U88</f>
        <v>48</v>
      </c>
      <c r="X88" s="345">
        <f>+J26+T26+AD26+J48+T48+AD48</f>
        <v>0</v>
      </c>
      <c r="Z88" s="372"/>
      <c r="AA88" s="372"/>
      <c r="AB88" s="564"/>
      <c r="AC88" s="564"/>
      <c r="AD88" s="564"/>
      <c r="AE88" s="296"/>
      <c r="AF88" s="296"/>
      <c r="AG88" s="565"/>
      <c r="AH88" s="565"/>
      <c r="AI88" s="565"/>
      <c r="AJ88" s="565"/>
      <c r="AK88" s="563"/>
      <c r="AL88" s="563"/>
      <c r="AM88" s="563"/>
      <c r="AN88" s="563"/>
      <c r="AO88" s="563"/>
      <c r="AP88" s="563"/>
      <c r="AQ88" s="563"/>
      <c r="AR88" s="563"/>
      <c r="AS88" s="296"/>
      <c r="AT88" s="296"/>
    </row>
    <row r="89" spans="1:46" ht="16.5">
      <c r="A89" s="366"/>
      <c r="B89" s="359" t="s">
        <v>143</v>
      </c>
      <c r="C89" s="1028">
        <f>+G89*6</f>
        <v>198</v>
      </c>
      <c r="D89" s="1029"/>
      <c r="E89" s="1030">
        <f t="shared" si="87"/>
        <v>28.285714285714285</v>
      </c>
      <c r="F89" s="1031"/>
      <c r="G89" s="1044">
        <v>33</v>
      </c>
      <c r="H89" s="1045"/>
      <c r="I89" s="1032">
        <f>+G89/8</f>
        <v>4.125</v>
      </c>
      <c r="J89" s="1033"/>
      <c r="K89" s="1034">
        <f>+G89*30</f>
        <v>990</v>
      </c>
      <c r="L89" s="1034"/>
      <c r="M89" s="6"/>
      <c r="N89" s="1050">
        <f t="shared" si="79"/>
        <v>4.8125</v>
      </c>
      <c r="O89" s="1051"/>
      <c r="P89" s="6"/>
      <c r="Q89" s="1048">
        <f t="shared" si="85"/>
        <v>1.1062500000000002</v>
      </c>
      <c r="R89" s="1049"/>
      <c r="U89" s="342">
        <f>+AD49+T49+J49+AN27+AD27+T27+K27</f>
        <v>43851</v>
      </c>
      <c r="V89" s="343">
        <v>48</v>
      </c>
      <c r="W89" s="344">
        <f t="shared" si="80"/>
        <v>-43803</v>
      </c>
      <c r="X89" s="345">
        <f>+J27+T27+AD27+J49+T49+AD49</f>
        <v>0</v>
      </c>
      <c r="Z89" s="372"/>
      <c r="AA89" s="372"/>
      <c r="AB89" s="557"/>
      <c r="AC89" s="557"/>
      <c r="AD89" s="557"/>
      <c r="AE89" s="296"/>
      <c r="AF89" s="296"/>
      <c r="AG89" s="556"/>
      <c r="AH89" s="556"/>
      <c r="AI89" s="556"/>
      <c r="AJ89" s="556"/>
      <c r="AK89" s="555"/>
      <c r="AL89" s="555"/>
      <c r="AM89" s="555"/>
      <c r="AN89" s="555"/>
      <c r="AO89" s="555"/>
      <c r="AP89" s="555"/>
      <c r="AQ89" s="555"/>
      <c r="AR89" s="555"/>
      <c r="AS89" s="296"/>
      <c r="AT89" s="296"/>
    </row>
    <row r="90" spans="1:46" ht="16.5">
      <c r="B90" s="375" t="s">
        <v>65</v>
      </c>
      <c r="C90" s="1054">
        <f>6*3+7*(G90)</f>
        <v>548.33330000000001</v>
      </c>
      <c r="D90" s="1055"/>
      <c r="E90" s="1056">
        <f t="shared" si="86"/>
        <v>78.333328571428567</v>
      </c>
      <c r="F90" s="1057"/>
      <c r="G90" s="1058">
        <v>75.761899999999997</v>
      </c>
      <c r="H90" s="1059"/>
      <c r="I90" s="1060">
        <f>+E90/8</f>
        <v>9.7916660714285708</v>
      </c>
      <c r="J90" s="1061"/>
      <c r="K90" s="1062">
        <f>+E90*30</f>
        <v>2349.9998571428569</v>
      </c>
      <c r="L90" s="1063"/>
      <c r="M90" s="6"/>
      <c r="N90" s="1035">
        <f t="shared" si="79"/>
        <v>11.423610416666666</v>
      </c>
      <c r="O90" s="1035"/>
      <c r="P90" s="6"/>
      <c r="Q90" s="1048">
        <f t="shared" si="85"/>
        <v>-4.5604160714285706</v>
      </c>
      <c r="R90" s="1049"/>
      <c r="U90" s="342">
        <f>+AE50+U50+K50+AO28+AE28+U28+K28</f>
        <v>0</v>
      </c>
      <c r="V90" s="343">
        <v>48</v>
      </c>
      <c r="W90" s="344">
        <f t="shared" si="80"/>
        <v>48</v>
      </c>
      <c r="X90" s="345">
        <f>+J28+T28+AD28+J50+T50+AD50</f>
        <v>0</v>
      </c>
      <c r="Z90" s="372"/>
      <c r="AA90" s="372"/>
      <c r="AB90" s="557"/>
      <c r="AC90" s="557"/>
      <c r="AD90" s="557"/>
      <c r="AE90" s="296"/>
      <c r="AF90" s="296"/>
      <c r="AG90" s="556"/>
      <c r="AH90" s="556"/>
      <c r="AI90" s="556"/>
      <c r="AJ90" s="556"/>
      <c r="AK90" s="556"/>
      <c r="AL90" s="556"/>
      <c r="AM90" s="556"/>
      <c r="AN90" s="556"/>
      <c r="AO90" s="556"/>
      <c r="AP90" s="556"/>
      <c r="AQ90" s="296"/>
      <c r="AR90" s="296"/>
      <c r="AS90" s="296"/>
      <c r="AT90" s="296"/>
    </row>
    <row r="91" spans="1:46">
      <c r="AE91" s="376"/>
      <c r="AF91" s="376"/>
      <c r="AJ91" s="376"/>
      <c r="AK91" s="376"/>
    </row>
    <row r="92" spans="1:46" ht="26.25" thickBot="1">
      <c r="B92" s="377" t="s">
        <v>66</v>
      </c>
      <c r="H92" s="1052">
        <v>43191</v>
      </c>
      <c r="I92" s="1052"/>
      <c r="J92" s="1052"/>
      <c r="K92" s="1052"/>
      <c r="L92" s="1052"/>
      <c r="M92" s="1052"/>
      <c r="N92" s="1052"/>
      <c r="AD92" s="378"/>
      <c r="AE92" s="378"/>
      <c r="AF92" s="378"/>
      <c r="AG92" s="167"/>
      <c r="AH92" s="167"/>
      <c r="AI92" s="167"/>
      <c r="AJ92" s="376"/>
      <c r="AK92" s="376"/>
    </row>
    <row r="93" spans="1:46" ht="16.5" thickBot="1">
      <c r="B93" s="379">
        <v>1100</v>
      </c>
      <c r="C93" s="240" t="s">
        <v>67</v>
      </c>
      <c r="AD93" s="296"/>
      <c r="AE93" s="296"/>
      <c r="AF93" s="296"/>
      <c r="AG93" s="296"/>
      <c r="AH93" s="296"/>
      <c r="AI93" s="296"/>
      <c r="AJ93" s="296"/>
      <c r="AK93" s="296"/>
      <c r="AL93" s="296"/>
      <c r="AM93" s="296"/>
      <c r="AN93" s="296"/>
      <c r="AO93" s="296"/>
      <c r="AP93" s="267"/>
      <c r="AQ93" s="267"/>
      <c r="AR93" s="267"/>
      <c r="AS93" s="267"/>
      <c r="AT93" s="267"/>
    </row>
    <row r="94" spans="1:46" ht="15.75">
      <c r="B94" s="168">
        <f>+B93/30*7</f>
        <v>256.66666666666663</v>
      </c>
      <c r="C94" s="240" t="s">
        <v>68</v>
      </c>
      <c r="D94" s="380"/>
      <c r="O94" s="1053" t="s">
        <v>69</v>
      </c>
      <c r="P94" s="1053"/>
      <c r="Q94" s="1053"/>
      <c r="R94" s="1053"/>
      <c r="S94" s="1053"/>
      <c r="T94" s="1053"/>
      <c r="U94" s="1053"/>
      <c r="V94" s="1053"/>
      <c r="W94" s="1053"/>
      <c r="X94" s="1053"/>
      <c r="Y94" s="1053"/>
      <c r="Z94" s="1053"/>
      <c r="AD94" s="296"/>
      <c r="AE94" s="556"/>
      <c r="AF94" s="556"/>
      <c r="AG94" s="296"/>
      <c r="AH94" s="296"/>
      <c r="AI94" s="296"/>
      <c r="AJ94" s="556"/>
      <c r="AK94" s="556"/>
      <c r="AL94" s="296"/>
      <c r="AM94" s="296"/>
      <c r="AN94" s="296"/>
      <c r="AO94" s="296"/>
      <c r="AP94" s="267"/>
      <c r="AQ94" s="267"/>
      <c r="AR94" s="267"/>
      <c r="AS94" s="267"/>
      <c r="AT94" s="267"/>
    </row>
    <row r="95" spans="1:46">
      <c r="B95" s="168">
        <f>+B94-18</f>
        <v>238.66666666666663</v>
      </c>
      <c r="C95" s="240" t="s">
        <v>70</v>
      </c>
      <c r="O95" s="1053">
        <f>+B93</f>
        <v>1100</v>
      </c>
      <c r="P95" s="1053"/>
      <c r="Q95" s="1053" t="s">
        <v>71</v>
      </c>
      <c r="R95" s="1053"/>
      <c r="S95" s="1053"/>
      <c r="T95" s="1053"/>
      <c r="U95" s="1053"/>
      <c r="V95" s="1053"/>
      <c r="W95" s="1053"/>
      <c r="X95" s="1053"/>
      <c r="Y95" s="1053"/>
      <c r="Z95" s="1053"/>
      <c r="AA95" s="7" t="s">
        <v>72</v>
      </c>
      <c r="AD95" s="296"/>
      <c r="AE95" s="556"/>
      <c r="AF95" s="556"/>
      <c r="AG95" s="296"/>
      <c r="AH95" s="296"/>
      <c r="AI95" s="296"/>
      <c r="AJ95" s="556"/>
      <c r="AK95" s="556"/>
      <c r="AL95" s="296"/>
      <c r="AM95" s="296"/>
      <c r="AN95" s="296"/>
      <c r="AO95" s="296"/>
      <c r="AP95" s="267"/>
      <c r="AQ95" s="267"/>
      <c r="AR95" s="267"/>
      <c r="AS95" s="267"/>
      <c r="AT95" s="267"/>
    </row>
    <row r="96" spans="1:46">
      <c r="B96" s="381">
        <f>+B95/7+0</f>
        <v>34.095238095238088</v>
      </c>
      <c r="C96" s="382" t="s">
        <v>73</v>
      </c>
      <c r="D96" s="383"/>
      <c r="O96" s="1053">
        <f>+O95/30*7</f>
        <v>256.66666666666663</v>
      </c>
      <c r="P96" s="1053"/>
      <c r="Q96" s="1053" t="s">
        <v>74</v>
      </c>
      <c r="R96" s="1053"/>
      <c r="S96" s="1053"/>
      <c r="T96" s="1053"/>
      <c r="U96" s="1053"/>
      <c r="V96" s="1053"/>
      <c r="W96" s="1053"/>
      <c r="X96" s="1053"/>
      <c r="Y96" s="1053"/>
      <c r="Z96" s="1053"/>
      <c r="AA96" s="1064">
        <f>+O96*0.87</f>
        <v>223.29999999999995</v>
      </c>
      <c r="AB96" s="1064"/>
      <c r="AD96" s="296"/>
      <c r="AE96" s="384"/>
      <c r="AF96" s="384"/>
      <c r="AG96" s="296"/>
      <c r="AH96" s="296"/>
      <c r="AI96" s="296"/>
      <c r="AJ96" s="384"/>
      <c r="AK96" s="384"/>
      <c r="AL96" s="385"/>
      <c r="AM96" s="385"/>
      <c r="AN96" s="385"/>
      <c r="AO96" s="385"/>
      <c r="AP96" s="386"/>
      <c r="AQ96" s="386"/>
      <c r="AR96" s="267"/>
      <c r="AS96" s="267"/>
      <c r="AT96" s="267"/>
    </row>
    <row r="97" spans="2:46">
      <c r="O97" s="1053">
        <f>+O96/7</f>
        <v>36.666666666666664</v>
      </c>
      <c r="P97" s="1053"/>
      <c r="Q97" s="1053" t="s">
        <v>75</v>
      </c>
      <c r="R97" s="1053"/>
      <c r="S97" s="1053"/>
      <c r="T97" s="1053"/>
      <c r="U97" s="1053"/>
      <c r="V97" s="1053"/>
      <c r="W97" s="1053"/>
      <c r="X97" s="1053"/>
      <c r="Y97" s="1053"/>
      <c r="Z97" s="1053"/>
      <c r="AD97" s="296"/>
      <c r="AE97" s="556"/>
      <c r="AF97" s="556"/>
      <c r="AG97" s="296"/>
      <c r="AH97" s="296"/>
      <c r="AI97" s="296"/>
      <c r="AJ97" s="556"/>
      <c r="AK97" s="556"/>
      <c r="AL97" s="387"/>
      <c r="AM97" s="387"/>
      <c r="AN97" s="385"/>
      <c r="AO97" s="385"/>
      <c r="AP97" s="386"/>
      <c r="AQ97" s="386"/>
      <c r="AR97" s="267"/>
      <c r="AS97" s="267"/>
      <c r="AT97" s="267"/>
    </row>
    <row r="98" spans="2:46" ht="15.75">
      <c r="B98" s="388">
        <f>+B96</f>
        <v>34.095238095238088</v>
      </c>
      <c r="C98" s="389" t="s">
        <v>76</v>
      </c>
      <c r="D98" s="390"/>
      <c r="E98" s="390"/>
      <c r="F98" s="390"/>
      <c r="O98" s="1065">
        <f>(O96-18)/7</f>
        <v>34.095238095238088</v>
      </c>
      <c r="P98" s="1065"/>
      <c r="Q98" s="1065" t="s">
        <v>77</v>
      </c>
      <c r="R98" s="1065"/>
      <c r="S98" s="1065"/>
      <c r="T98" s="1065"/>
      <c r="U98" s="1065"/>
      <c r="V98" s="1065"/>
      <c r="W98" s="1065"/>
      <c r="X98" s="1065"/>
      <c r="Y98" s="1065"/>
      <c r="Z98" s="1065"/>
      <c r="AD98" s="296"/>
      <c r="AE98" s="391"/>
      <c r="AF98" s="391"/>
      <c r="AG98" s="392"/>
      <c r="AH98" s="392"/>
      <c r="AI98" s="392"/>
      <c r="AJ98" s="391"/>
      <c r="AK98" s="391"/>
      <c r="AL98" s="385"/>
      <c r="AM98" s="385"/>
      <c r="AN98" s="385"/>
      <c r="AO98" s="385"/>
      <c r="AP98" s="386"/>
      <c r="AQ98" s="386"/>
      <c r="AR98" s="267"/>
      <c r="AS98" s="267"/>
      <c r="AT98" s="267"/>
    </row>
    <row r="99" spans="2:46">
      <c r="B99" s="168">
        <v>3</v>
      </c>
      <c r="C99" s="240" t="s">
        <v>78</v>
      </c>
      <c r="O99" s="1053">
        <v>3</v>
      </c>
      <c r="P99" s="1053"/>
      <c r="Q99" s="1053" t="s">
        <v>79</v>
      </c>
      <c r="R99" s="1053"/>
      <c r="S99" s="1053"/>
      <c r="T99" s="1053"/>
      <c r="U99" s="1053"/>
      <c r="V99" s="1053"/>
      <c r="W99" s="1053"/>
      <c r="X99" s="1053"/>
      <c r="Y99" s="1053"/>
      <c r="Z99" s="1053"/>
      <c r="AD99" s="296"/>
      <c r="AE99" s="296"/>
      <c r="AF99" s="391"/>
      <c r="AG99" s="392"/>
      <c r="AH99" s="392"/>
      <c r="AI99" s="392"/>
      <c r="AJ99" s="391"/>
      <c r="AK99" s="296"/>
      <c r="AL99" s="385"/>
      <c r="AM99" s="385"/>
      <c r="AN99" s="385"/>
      <c r="AO99" s="385"/>
      <c r="AP99" s="386"/>
      <c r="AQ99" s="386"/>
      <c r="AR99" s="267"/>
      <c r="AS99" s="267"/>
      <c r="AT99" s="267"/>
    </row>
    <row r="100" spans="2:46">
      <c r="B100" s="381">
        <f>+B99+B98</f>
        <v>37.095238095238088</v>
      </c>
      <c r="C100" s="382" t="s">
        <v>80</v>
      </c>
      <c r="D100" s="393"/>
      <c r="E100" s="394"/>
      <c r="F100" s="395"/>
      <c r="G100" s="393"/>
      <c r="H100" s="393"/>
      <c r="I100" s="395"/>
      <c r="J100" s="393"/>
      <c r="K100" s="396"/>
      <c r="L100" s="396"/>
      <c r="M100" s="383"/>
      <c r="O100" s="1053">
        <f>+O99+O98</f>
        <v>37.095238095238088</v>
      </c>
      <c r="P100" s="1053"/>
      <c r="AD100" s="296"/>
      <c r="AE100" s="556"/>
      <c r="AF100" s="556"/>
      <c r="AG100" s="296"/>
      <c r="AH100" s="296"/>
      <c r="AI100" s="296"/>
      <c r="AJ100" s="556"/>
      <c r="AK100" s="556"/>
      <c r="AL100" s="387"/>
      <c r="AM100" s="387"/>
      <c r="AN100" s="387"/>
      <c r="AO100" s="387"/>
      <c r="AP100" s="397"/>
      <c r="AQ100" s="267"/>
      <c r="AR100" s="267"/>
      <c r="AS100" s="267"/>
      <c r="AT100" s="267"/>
    </row>
    <row r="101" spans="2:46">
      <c r="B101" s="168"/>
      <c r="AD101" s="296"/>
      <c r="AE101" s="398"/>
      <c r="AF101" s="398"/>
      <c r="AG101" s="398"/>
      <c r="AH101" s="296"/>
      <c r="AI101" s="296"/>
      <c r="AJ101" s="398"/>
      <c r="AK101" s="398"/>
      <c r="AL101" s="385"/>
      <c r="AM101" s="296"/>
      <c r="AN101" s="296"/>
      <c r="AO101" s="296"/>
      <c r="AP101" s="267"/>
      <c r="AQ101" s="267"/>
      <c r="AR101" s="267"/>
      <c r="AS101" s="267"/>
      <c r="AT101" s="267"/>
    </row>
    <row r="102" spans="2:46">
      <c r="B102" s="168">
        <f>+B100*6</f>
        <v>222.57142857142853</v>
      </c>
      <c r="C102" s="240" t="s">
        <v>81</v>
      </c>
      <c r="O102" s="1053" t="s">
        <v>82</v>
      </c>
      <c r="P102" s="1053"/>
      <c r="Q102" s="1053"/>
      <c r="R102" s="1053"/>
      <c r="S102" s="1053"/>
      <c r="T102" s="1053"/>
      <c r="U102" s="1053"/>
      <c r="V102" s="1053"/>
      <c r="W102" s="1053"/>
      <c r="X102" s="1053"/>
      <c r="Y102" s="1053"/>
      <c r="Z102" s="1053"/>
      <c r="AD102" s="296"/>
      <c r="AE102" s="296"/>
      <c r="AF102" s="296"/>
      <c r="AG102" s="296"/>
      <c r="AH102" s="296"/>
      <c r="AI102" s="385"/>
      <c r="AJ102" s="385"/>
      <c r="AK102" s="387"/>
      <c r="AL102" s="555"/>
      <c r="AM102" s="556"/>
      <c r="AN102" s="555"/>
      <c r="AO102" s="296"/>
      <c r="AP102" s="267"/>
      <c r="AQ102" s="267"/>
      <c r="AR102" s="267"/>
      <c r="AS102" s="267"/>
      <c r="AT102" s="267"/>
    </row>
    <row r="103" spans="2:46">
      <c r="B103" s="399">
        <f>+B98</f>
        <v>34.095238095238088</v>
      </c>
      <c r="C103" s="400" t="s">
        <v>83</v>
      </c>
      <c r="D103" s="401"/>
      <c r="E103" s="402"/>
      <c r="F103" s="403"/>
      <c r="G103" s="401"/>
      <c r="H103" s="401"/>
      <c r="I103" s="403"/>
      <c r="J103" s="401"/>
      <c r="K103" s="404"/>
      <c r="L103" s="405"/>
      <c r="O103" s="1053">
        <f>+O95*1.1</f>
        <v>1210</v>
      </c>
      <c r="P103" s="1053"/>
      <c r="Q103" s="1053" t="s">
        <v>71</v>
      </c>
      <c r="R103" s="1053"/>
      <c r="S103" s="1053"/>
      <c r="T103" s="1053"/>
      <c r="U103" s="1053"/>
      <c r="V103" s="1053"/>
      <c r="W103" s="1053"/>
      <c r="X103" s="1053"/>
      <c r="Y103" s="1053"/>
      <c r="Z103" s="1053"/>
      <c r="AA103" s="7" t="s">
        <v>84</v>
      </c>
      <c r="AG103" s="267"/>
      <c r="AH103" s="267"/>
      <c r="AI103" s="386"/>
      <c r="AJ103" s="386"/>
      <c r="AK103" s="386"/>
      <c r="AL103" s="267"/>
      <c r="AM103" s="267"/>
      <c r="AN103" s="267"/>
      <c r="AO103" s="267"/>
    </row>
    <row r="104" spans="2:46">
      <c r="B104" s="381">
        <f>+B103+B102</f>
        <v>256.66666666666663</v>
      </c>
      <c r="C104" s="382" t="s">
        <v>85</v>
      </c>
      <c r="D104" s="393"/>
      <c r="E104" s="394"/>
      <c r="F104" s="395"/>
      <c r="G104" s="393"/>
      <c r="H104" s="393"/>
      <c r="I104" s="395"/>
      <c r="J104" s="393"/>
      <c r="K104" s="406"/>
      <c r="L104" s="405"/>
      <c r="O104" s="1053">
        <f>+O103/30*7</f>
        <v>282.33333333333337</v>
      </c>
      <c r="P104" s="1053"/>
      <c r="Q104" s="1053" t="s">
        <v>74</v>
      </c>
      <c r="R104" s="1053"/>
      <c r="S104" s="1053"/>
      <c r="T104" s="1053"/>
      <c r="U104" s="1053"/>
      <c r="V104" s="1053"/>
      <c r="W104" s="1053"/>
      <c r="X104" s="1053"/>
      <c r="Y104" s="1053"/>
      <c r="Z104" s="1053"/>
      <c r="AA104" s="1064">
        <f>+O104*0.87</f>
        <v>245.63000000000002</v>
      </c>
      <c r="AB104" s="1064"/>
      <c r="AG104" s="267"/>
      <c r="AH104" s="267"/>
      <c r="AI104" s="386"/>
      <c r="AJ104" s="386"/>
      <c r="AK104" s="407"/>
      <c r="AL104" s="267"/>
      <c r="AM104" s="267"/>
      <c r="AN104" s="267"/>
      <c r="AO104" s="267"/>
    </row>
    <row r="105" spans="2:46">
      <c r="B105" s="408"/>
      <c r="C105" s="409"/>
      <c r="D105" s="333"/>
      <c r="E105" s="410"/>
      <c r="F105" s="411"/>
      <c r="G105" s="333"/>
      <c r="H105" s="333"/>
      <c r="I105" s="411"/>
      <c r="J105" s="333"/>
      <c r="K105" s="405"/>
      <c r="L105" s="405"/>
      <c r="O105" s="1053">
        <f>+O104/7</f>
        <v>40.333333333333336</v>
      </c>
      <c r="P105" s="1053"/>
      <c r="Q105" s="1053" t="s">
        <v>75</v>
      </c>
      <c r="R105" s="1053"/>
      <c r="S105" s="1053"/>
      <c r="T105" s="1053"/>
      <c r="U105" s="1053"/>
      <c r="V105" s="1053"/>
      <c r="W105" s="1053"/>
      <c r="X105" s="1053"/>
      <c r="Y105" s="1053"/>
      <c r="Z105" s="1053"/>
      <c r="AG105" s="267"/>
      <c r="AH105" s="267"/>
      <c r="AI105" s="412"/>
      <c r="AJ105" s="413"/>
      <c r="AK105" s="407"/>
      <c r="AL105" s="267"/>
      <c r="AM105" s="267"/>
      <c r="AN105" s="267"/>
      <c r="AO105" s="267"/>
    </row>
    <row r="106" spans="2:46" ht="15.75">
      <c r="B106" s="414">
        <f>+B104/7</f>
        <v>36.666666666666664</v>
      </c>
      <c r="C106" s="415" t="s">
        <v>86</v>
      </c>
      <c r="D106" s="416"/>
      <c r="E106" s="417"/>
      <c r="F106" s="418"/>
      <c r="G106" s="419"/>
      <c r="H106" s="419"/>
      <c r="I106" s="411"/>
      <c r="J106" s="333"/>
      <c r="K106" s="405"/>
      <c r="L106" s="405"/>
      <c r="O106" s="1065">
        <f>(O104-18)/7</f>
        <v>37.761904761904766</v>
      </c>
      <c r="P106" s="1065"/>
      <c r="Q106" s="1065" t="s">
        <v>77</v>
      </c>
      <c r="R106" s="1065"/>
      <c r="S106" s="1065"/>
      <c r="T106" s="1065"/>
      <c r="U106" s="1065"/>
      <c r="V106" s="1065"/>
      <c r="W106" s="1065"/>
      <c r="X106" s="1065"/>
      <c r="Y106" s="1065"/>
      <c r="Z106" s="1065"/>
      <c r="AG106" s="267"/>
      <c r="AH106" s="267"/>
      <c r="AI106" s="267"/>
      <c r="AJ106" s="267"/>
      <c r="AK106" s="407"/>
      <c r="AL106" s="267"/>
      <c r="AM106" s="267"/>
      <c r="AN106" s="267"/>
      <c r="AO106" s="267"/>
    </row>
    <row r="107" spans="2:46">
      <c r="B107" s="408"/>
      <c r="C107" s="409"/>
      <c r="D107" s="333"/>
      <c r="E107" s="410"/>
      <c r="F107" s="411"/>
      <c r="G107" s="333"/>
      <c r="H107" s="333"/>
      <c r="I107" s="411"/>
      <c r="J107" s="333"/>
      <c r="K107" s="405"/>
      <c r="L107" s="405"/>
      <c r="O107" s="1053">
        <v>3</v>
      </c>
      <c r="P107" s="1053"/>
      <c r="Q107" s="1053" t="s">
        <v>79</v>
      </c>
      <c r="R107" s="1053"/>
      <c r="S107" s="1053"/>
      <c r="T107" s="1053"/>
      <c r="U107" s="1053"/>
      <c r="V107" s="1053"/>
      <c r="W107" s="1053"/>
      <c r="X107" s="1053"/>
      <c r="Y107" s="1053"/>
      <c r="Z107" s="1053"/>
      <c r="AG107" s="267"/>
      <c r="AH107" s="267"/>
      <c r="AI107" s="267"/>
      <c r="AJ107" s="267"/>
      <c r="AK107" s="267"/>
      <c r="AL107" s="267"/>
      <c r="AM107" s="267"/>
      <c r="AN107" s="267"/>
      <c r="AO107" s="267"/>
    </row>
    <row r="108" spans="2:46">
      <c r="B108" s="408"/>
      <c r="C108" s="409"/>
      <c r="D108" s="333"/>
      <c r="E108" s="410"/>
      <c r="F108" s="411"/>
      <c r="G108" s="333"/>
      <c r="H108" s="333"/>
      <c r="I108" s="411"/>
      <c r="J108" s="333"/>
      <c r="K108" s="405"/>
      <c r="L108" s="405"/>
      <c r="O108" s="1053">
        <f>+O107+O106</f>
        <v>40.761904761904766</v>
      </c>
      <c r="P108" s="1053"/>
      <c r="AG108" s="267"/>
      <c r="AH108" s="267"/>
      <c r="AI108" s="267"/>
      <c r="AJ108" s="267"/>
      <c r="AK108" s="267"/>
      <c r="AL108" s="267"/>
      <c r="AM108" s="267"/>
      <c r="AN108" s="267"/>
      <c r="AO108" s="267"/>
    </row>
    <row r="109" spans="2:46">
      <c r="AG109" s="267"/>
      <c r="AH109" s="267"/>
      <c r="AI109" s="267"/>
      <c r="AJ109" s="267"/>
      <c r="AK109" s="267"/>
      <c r="AL109" s="267"/>
      <c r="AM109" s="267"/>
      <c r="AN109" s="267"/>
      <c r="AO109" s="267"/>
    </row>
    <row r="110" spans="2:46" ht="26.25" thickBot="1">
      <c r="B110" s="377" t="s">
        <v>87</v>
      </c>
      <c r="H110" s="1052">
        <v>43167</v>
      </c>
      <c r="I110" s="1052"/>
      <c r="J110" s="1052"/>
      <c r="K110" s="1052"/>
      <c r="L110" s="1052"/>
      <c r="M110" s="1052"/>
      <c r="N110" s="1052"/>
      <c r="O110" s="420" t="s">
        <v>88</v>
      </c>
      <c r="P110" s="421"/>
      <c r="Q110" s="422"/>
      <c r="AG110" s="267"/>
      <c r="AH110" s="267"/>
      <c r="AI110" s="267"/>
      <c r="AJ110" s="267"/>
      <c r="AK110" s="267"/>
      <c r="AL110" s="267"/>
      <c r="AM110" s="267"/>
      <c r="AN110" s="267"/>
      <c r="AO110" s="267"/>
    </row>
    <row r="111" spans="2:46" ht="16.5" thickBot="1">
      <c r="B111" s="379">
        <v>850</v>
      </c>
      <c r="C111" s="240" t="s">
        <v>67</v>
      </c>
      <c r="AD111" s="296"/>
      <c r="AE111" s="296"/>
      <c r="AF111" s="296"/>
      <c r="AG111" s="296"/>
      <c r="AH111" s="296"/>
      <c r="AI111" s="296"/>
      <c r="AJ111" s="296"/>
      <c r="AK111" s="296"/>
      <c r="AL111" s="296"/>
      <c r="AM111" s="296"/>
      <c r="AN111" s="296"/>
      <c r="AO111" s="296"/>
      <c r="AP111" s="267"/>
      <c r="AQ111" s="267"/>
      <c r="AR111" s="267"/>
      <c r="AS111" s="267"/>
      <c r="AT111" s="267"/>
    </row>
    <row r="112" spans="2:46" ht="15.75">
      <c r="B112" s="423">
        <f>+B111/30*7</f>
        <v>198.33333333333331</v>
      </c>
      <c r="C112" s="240" t="s">
        <v>68</v>
      </c>
      <c r="D112" s="380"/>
      <c r="O112" s="1053" t="s">
        <v>69</v>
      </c>
      <c r="P112" s="1053"/>
      <c r="Q112" s="1053"/>
      <c r="R112" s="1053"/>
      <c r="S112" s="1053"/>
      <c r="T112" s="1053"/>
      <c r="U112" s="1053"/>
      <c r="V112" s="1053"/>
      <c r="W112" s="1053"/>
      <c r="X112" s="1053"/>
      <c r="Y112" s="1053"/>
      <c r="Z112" s="1053"/>
      <c r="AD112" s="296"/>
      <c r="AE112" s="556"/>
      <c r="AF112" s="556"/>
      <c r="AG112" s="296"/>
      <c r="AH112" s="296"/>
      <c r="AI112" s="296"/>
      <c r="AJ112" s="556"/>
      <c r="AK112" s="556"/>
      <c r="AL112" s="296"/>
      <c r="AM112" s="296"/>
      <c r="AN112" s="296"/>
      <c r="AO112" s="296"/>
      <c r="AP112" s="267"/>
      <c r="AQ112" s="267"/>
      <c r="AR112" s="267"/>
      <c r="AS112" s="267"/>
      <c r="AT112" s="267"/>
    </row>
    <row r="113" spans="2:46">
      <c r="B113" s="423">
        <f>+B112-18</f>
        <v>180.33333333333331</v>
      </c>
      <c r="C113" s="240" t="s">
        <v>70</v>
      </c>
      <c r="O113" s="1053">
        <f>+B111</f>
        <v>850</v>
      </c>
      <c r="P113" s="1053"/>
      <c r="Q113" s="1053" t="s">
        <v>71</v>
      </c>
      <c r="R113" s="1053"/>
      <c r="S113" s="1053"/>
      <c r="T113" s="1053"/>
      <c r="U113" s="1053"/>
      <c r="V113" s="1053"/>
      <c r="W113" s="1053"/>
      <c r="X113" s="1053"/>
      <c r="Y113" s="1053"/>
      <c r="Z113" s="1053"/>
      <c r="AA113" s="7" t="s">
        <v>72</v>
      </c>
      <c r="AD113" s="296"/>
      <c r="AE113" s="996">
        <v>198.32</v>
      </c>
      <c r="AF113" s="996"/>
      <c r="AG113" s="996"/>
      <c r="AH113" s="296"/>
      <c r="AI113" s="996"/>
      <c r="AJ113" s="996"/>
      <c r="AK113" s="996"/>
      <c r="AL113" s="1068">
        <f>+AL114+AL115</f>
        <v>192.18149689334777</v>
      </c>
      <c r="AM113" s="1068"/>
      <c r="AN113" s="1068"/>
      <c r="AO113" s="1068">
        <f>+AL113-18</f>
        <v>174.18149689334777</v>
      </c>
      <c r="AP113" s="1068"/>
      <c r="AQ113" s="1068"/>
      <c r="AR113" s="267"/>
      <c r="AS113" s="267"/>
      <c r="AT113" s="267"/>
    </row>
    <row r="114" spans="2:46">
      <c r="B114" s="424">
        <f>+B113/7</f>
        <v>25.761904761904759</v>
      </c>
      <c r="C114" s="382" t="s">
        <v>73</v>
      </c>
      <c r="D114" s="383"/>
      <c r="O114" s="1053">
        <f>+O113/30*7</f>
        <v>198.33333333333331</v>
      </c>
      <c r="P114" s="1053"/>
      <c r="Q114" s="1053" t="s">
        <v>74</v>
      </c>
      <c r="R114" s="1053"/>
      <c r="S114" s="1053"/>
      <c r="T114" s="1053"/>
      <c r="U114" s="1053"/>
      <c r="V114" s="1053"/>
      <c r="W114" s="1053"/>
      <c r="X114" s="1053"/>
      <c r="Y114" s="1053"/>
      <c r="Z114" s="1053"/>
      <c r="AA114" s="1064">
        <f>+O114*0.87</f>
        <v>172.54999999999998</v>
      </c>
      <c r="AB114" s="1064"/>
      <c r="AD114" s="296"/>
      <c r="AE114" s="996">
        <v>22.89</v>
      </c>
      <c r="AF114" s="996"/>
      <c r="AG114" s="996"/>
      <c r="AH114" s="296"/>
      <c r="AI114" s="1069">
        <f>+AE114/AE113</f>
        <v>0.11541952400161357</v>
      </c>
      <c r="AJ114" s="1069"/>
      <c r="AK114" s="1069"/>
      <c r="AL114" s="1068">
        <f>+AI114*AL115/AI115</f>
        <v>22.181496893347781</v>
      </c>
      <c r="AM114" s="1068"/>
      <c r="AN114" s="1068"/>
      <c r="AO114" s="1070">
        <f>+AO113/7</f>
        <v>24.883070984763968</v>
      </c>
      <c r="AP114" s="1071"/>
      <c r="AQ114" s="1072"/>
      <c r="AR114" s="267"/>
      <c r="AS114" s="267"/>
      <c r="AT114" s="267"/>
    </row>
    <row r="115" spans="2:46">
      <c r="O115" s="1053">
        <f>+O114/7</f>
        <v>28.333333333333332</v>
      </c>
      <c r="P115" s="1053"/>
      <c r="Q115" s="1053" t="s">
        <v>75</v>
      </c>
      <c r="R115" s="1053"/>
      <c r="S115" s="1053"/>
      <c r="T115" s="1053"/>
      <c r="U115" s="1053"/>
      <c r="V115" s="1053"/>
      <c r="W115" s="1053"/>
      <c r="X115" s="1053"/>
      <c r="Y115" s="1053"/>
      <c r="Z115" s="1053"/>
      <c r="AD115" s="296"/>
      <c r="AE115" s="996">
        <v>175.43</v>
      </c>
      <c r="AF115" s="996"/>
      <c r="AG115" s="996"/>
      <c r="AH115" s="296"/>
      <c r="AI115" s="1066">
        <f>1-AI114</f>
        <v>0.88458047599838641</v>
      </c>
      <c r="AJ115" s="1067"/>
      <c r="AK115" s="1067"/>
      <c r="AL115" s="1068">
        <v>170</v>
      </c>
      <c r="AM115" s="1068"/>
      <c r="AN115" s="1068"/>
      <c r="AO115" s="996"/>
      <c r="AP115" s="996"/>
      <c r="AQ115" s="996"/>
      <c r="AR115" s="267"/>
      <c r="AS115" s="267"/>
      <c r="AT115" s="267"/>
    </row>
    <row r="116" spans="2:46" ht="15.75">
      <c r="B116" s="388">
        <f>+B114</f>
        <v>25.761904761904759</v>
      </c>
      <c r="C116" s="389" t="s">
        <v>76</v>
      </c>
      <c r="D116" s="390"/>
      <c r="E116" s="390"/>
      <c r="F116" s="390"/>
      <c r="O116" s="1065">
        <f>(O114-18)/7</f>
        <v>25.761904761904759</v>
      </c>
      <c r="P116" s="1065"/>
      <c r="Q116" s="1065" t="s">
        <v>77</v>
      </c>
      <c r="R116" s="1065"/>
      <c r="S116" s="1065"/>
      <c r="T116" s="1065"/>
      <c r="U116" s="1065"/>
      <c r="V116" s="1065"/>
      <c r="W116" s="1065"/>
      <c r="X116" s="1065"/>
      <c r="Y116" s="1065"/>
      <c r="Z116" s="1065"/>
      <c r="AD116" s="296"/>
      <c r="AE116" s="996"/>
      <c r="AF116" s="996"/>
      <c r="AG116" s="996"/>
      <c r="AH116" s="296"/>
      <c r="AI116" s="1067"/>
      <c r="AJ116" s="1067"/>
      <c r="AK116" s="1067"/>
      <c r="AL116" s="296"/>
      <c r="AM116" s="385"/>
      <c r="AN116" s="385"/>
      <c r="AO116" s="385"/>
      <c r="AP116" s="386"/>
      <c r="AQ116" s="386"/>
      <c r="AR116" s="267"/>
      <c r="AS116" s="267"/>
      <c r="AT116" s="267"/>
    </row>
    <row r="117" spans="2:46">
      <c r="B117" s="168">
        <v>3</v>
      </c>
      <c r="C117" s="240" t="s">
        <v>78</v>
      </c>
      <c r="O117" s="1053">
        <v>3</v>
      </c>
      <c r="P117" s="1053"/>
      <c r="Q117" s="1053" t="s">
        <v>79</v>
      </c>
      <c r="R117" s="1053"/>
      <c r="S117" s="1053"/>
      <c r="T117" s="1053"/>
      <c r="U117" s="1053"/>
      <c r="V117" s="1053"/>
      <c r="W117" s="1053"/>
      <c r="X117" s="1053"/>
      <c r="Y117" s="1053"/>
      <c r="Z117" s="1053"/>
      <c r="AD117" s="296"/>
      <c r="AE117" s="996">
        <v>198.39</v>
      </c>
      <c r="AF117" s="996"/>
      <c r="AG117" s="996"/>
      <c r="AH117" s="296"/>
      <c r="AI117" s="1067">
        <v>198.32</v>
      </c>
      <c r="AJ117" s="1067"/>
      <c r="AK117" s="1067"/>
      <c r="AL117" s="296"/>
      <c r="AM117" s="385"/>
      <c r="AN117" s="385"/>
      <c r="AO117" s="385"/>
      <c r="AP117" s="386"/>
      <c r="AQ117" s="386"/>
      <c r="AR117" s="267"/>
      <c r="AS117" s="267"/>
      <c r="AT117" s="267"/>
    </row>
    <row r="118" spans="2:46">
      <c r="B118" s="381">
        <f>+B117+B116</f>
        <v>28.761904761904759</v>
      </c>
      <c r="C118" s="382" t="s">
        <v>80</v>
      </c>
      <c r="D118" s="393"/>
      <c r="E118" s="394"/>
      <c r="F118" s="395"/>
      <c r="G118" s="393"/>
      <c r="H118" s="393"/>
      <c r="I118" s="395"/>
      <c r="J118" s="393"/>
      <c r="K118" s="396"/>
      <c r="L118" s="396"/>
      <c r="M118" s="383"/>
      <c r="O118" s="1053">
        <f>+O117+O116</f>
        <v>28.761904761904759</v>
      </c>
      <c r="P118" s="1053"/>
      <c r="AD118" s="296"/>
      <c r="AE118" s="1073">
        <f>+AE117/7*30</f>
        <v>850.24285714285702</v>
      </c>
      <c r="AF118" s="1073"/>
      <c r="AG118" s="1073"/>
      <c r="AH118" s="296"/>
      <c r="AI118" s="1074">
        <f>+AI117/7*30</f>
        <v>849.94285714285718</v>
      </c>
      <c r="AJ118" s="1074"/>
      <c r="AK118" s="1074"/>
      <c r="AL118" s="296"/>
      <c r="AM118" s="387"/>
      <c r="AN118" s="387"/>
      <c r="AO118" s="387"/>
      <c r="AP118" s="397"/>
      <c r="AQ118" s="267"/>
      <c r="AR118" s="267"/>
      <c r="AS118" s="267"/>
      <c r="AT118" s="267"/>
    </row>
    <row r="119" spans="2:46">
      <c r="B119" s="168"/>
      <c r="AD119" s="296"/>
      <c r="AE119" s="296"/>
      <c r="AF119" s="296"/>
      <c r="AG119" s="296"/>
      <c r="AH119" s="296"/>
      <c r="AI119" s="296"/>
      <c r="AJ119" s="296"/>
      <c r="AK119" s="296"/>
      <c r="AL119" s="296"/>
      <c r="AM119" s="296"/>
      <c r="AN119" s="296"/>
      <c r="AO119" s="296"/>
      <c r="AP119" s="267"/>
      <c r="AQ119" s="267"/>
      <c r="AR119" s="267"/>
      <c r="AS119" s="267"/>
      <c r="AT119" s="267"/>
    </row>
    <row r="120" spans="2:46">
      <c r="B120" s="168">
        <f>+B118*6</f>
        <v>172.57142857142856</v>
      </c>
      <c r="C120" s="240" t="s">
        <v>81</v>
      </c>
      <c r="O120" s="1053" t="s">
        <v>82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D120" s="296"/>
      <c r="AE120" s="296"/>
      <c r="AF120" s="296"/>
      <c r="AG120" s="296"/>
      <c r="AH120" s="296"/>
      <c r="AI120" s="385"/>
      <c r="AJ120" s="385"/>
      <c r="AK120" s="387"/>
      <c r="AL120" s="555"/>
      <c r="AM120" s="556"/>
      <c r="AN120" s="555"/>
      <c r="AO120" s="296"/>
      <c r="AP120" s="267"/>
      <c r="AQ120" s="267"/>
      <c r="AR120" s="267"/>
      <c r="AS120" s="267"/>
      <c r="AT120" s="267"/>
    </row>
    <row r="121" spans="2:46">
      <c r="B121" s="399">
        <f>+B116</f>
        <v>25.761904761904759</v>
      </c>
      <c r="C121" s="400" t="s">
        <v>83</v>
      </c>
      <c r="D121" s="401"/>
      <c r="E121" s="402"/>
      <c r="F121" s="403"/>
      <c r="G121" s="401"/>
      <c r="H121" s="401"/>
      <c r="I121" s="403"/>
      <c r="J121" s="401"/>
      <c r="K121" s="404"/>
      <c r="L121" s="405"/>
      <c r="O121" s="1053">
        <f>+O113*1.1</f>
        <v>935.00000000000011</v>
      </c>
      <c r="P121" s="1053"/>
      <c r="Q121" s="1053" t="s">
        <v>71</v>
      </c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7" t="s">
        <v>84</v>
      </c>
      <c r="AG121" s="267"/>
      <c r="AH121" s="267"/>
      <c r="AI121" s="386"/>
      <c r="AJ121" s="386"/>
      <c r="AK121" s="386"/>
      <c r="AL121" s="267"/>
      <c r="AM121" s="267"/>
      <c r="AN121" s="267"/>
      <c r="AO121" s="267"/>
    </row>
    <row r="122" spans="2:46">
      <c r="B122" s="381">
        <f>+B121+B120</f>
        <v>198.33333333333331</v>
      </c>
      <c r="C122" s="382" t="s">
        <v>85</v>
      </c>
      <c r="D122" s="393"/>
      <c r="E122" s="394"/>
      <c r="F122" s="395"/>
      <c r="G122" s="393"/>
      <c r="H122" s="393"/>
      <c r="I122" s="395"/>
      <c r="J122" s="393"/>
      <c r="K122" s="406"/>
      <c r="L122" s="405"/>
      <c r="O122" s="1053">
        <f>+O121/30*7</f>
        <v>218.16666666666669</v>
      </c>
      <c r="P122" s="1053"/>
      <c r="Q122" s="1053" t="s">
        <v>74</v>
      </c>
      <c r="R122" s="1053"/>
      <c r="S122" s="1053"/>
      <c r="T122" s="1053"/>
      <c r="U122" s="1053"/>
      <c r="V122" s="1053"/>
      <c r="W122" s="1053"/>
      <c r="X122" s="1053"/>
      <c r="Y122" s="1053"/>
      <c r="Z122" s="1053"/>
      <c r="AA122" s="1064">
        <f>+O122*0.87</f>
        <v>189.80500000000001</v>
      </c>
      <c r="AB122" s="1064"/>
      <c r="AG122" s="267"/>
      <c r="AH122" s="267"/>
      <c r="AI122" s="386"/>
      <c r="AJ122" s="386"/>
      <c r="AK122" s="407"/>
      <c r="AL122" s="267"/>
      <c r="AM122" s="267"/>
      <c r="AN122" s="267"/>
      <c r="AO122" s="267"/>
    </row>
    <row r="123" spans="2:46">
      <c r="B123" s="408"/>
      <c r="C123" s="409"/>
      <c r="D123" s="333"/>
      <c r="E123" s="410"/>
      <c r="F123" s="411"/>
      <c r="G123" s="333"/>
      <c r="H123" s="333"/>
      <c r="I123" s="411"/>
      <c r="J123" s="333"/>
      <c r="K123" s="405"/>
      <c r="L123" s="405"/>
      <c r="O123" s="1053">
        <f>+O122/7</f>
        <v>31.166666666666668</v>
      </c>
      <c r="P123" s="1053"/>
      <c r="Q123" s="1053" t="s">
        <v>75</v>
      </c>
      <c r="R123" s="1053"/>
      <c r="S123" s="1053"/>
      <c r="T123" s="1053"/>
      <c r="U123" s="1053"/>
      <c r="V123" s="1053"/>
      <c r="W123" s="1053"/>
      <c r="X123" s="1053"/>
      <c r="Y123" s="1053"/>
      <c r="Z123" s="1053"/>
      <c r="AG123" s="267"/>
      <c r="AH123" s="267"/>
      <c r="AI123" s="412"/>
      <c r="AJ123" s="413"/>
      <c r="AK123" s="407"/>
      <c r="AL123" s="267"/>
      <c r="AM123" s="267"/>
      <c r="AN123" s="267"/>
      <c r="AO123" s="267"/>
    </row>
    <row r="124" spans="2:46" ht="15.75">
      <c r="B124" s="426">
        <f>+B122/7</f>
        <v>28.333333333333332</v>
      </c>
      <c r="C124" s="415" t="s">
        <v>86</v>
      </c>
      <c r="D124" s="416"/>
      <c r="E124" s="417"/>
      <c r="F124" s="411"/>
      <c r="G124" s="333"/>
      <c r="H124" s="333"/>
      <c r="I124" s="411"/>
      <c r="J124" s="333"/>
      <c r="K124" s="405"/>
      <c r="L124" s="405"/>
      <c r="O124" s="1065">
        <f>(O122-18)/7</f>
        <v>28.595238095238098</v>
      </c>
      <c r="P124" s="1065"/>
      <c r="Q124" s="1065" t="s">
        <v>77</v>
      </c>
      <c r="R124" s="1065"/>
      <c r="S124" s="1065"/>
      <c r="T124" s="1065"/>
      <c r="U124" s="1065"/>
      <c r="V124" s="1065"/>
      <c r="W124" s="1065"/>
      <c r="X124" s="1065"/>
      <c r="Y124" s="1065"/>
      <c r="Z124" s="1065"/>
      <c r="AG124" s="267"/>
      <c r="AH124" s="267"/>
      <c r="AI124" s="267"/>
      <c r="AJ124" s="267"/>
      <c r="AK124" s="407"/>
      <c r="AL124" s="267"/>
      <c r="AM124" s="267"/>
      <c r="AN124" s="267"/>
      <c r="AO124" s="267"/>
    </row>
    <row r="125" spans="2:46">
      <c r="B125" s="408"/>
      <c r="C125" s="409"/>
      <c r="D125" s="333"/>
      <c r="E125" s="410"/>
      <c r="F125" s="411"/>
      <c r="G125" s="333"/>
      <c r="H125" s="333"/>
      <c r="I125" s="411"/>
      <c r="J125" s="333"/>
      <c r="K125" s="405"/>
      <c r="L125" s="405"/>
      <c r="O125" s="1053">
        <v>3</v>
      </c>
      <c r="P125" s="1053"/>
      <c r="Q125" s="1053" t="s">
        <v>79</v>
      </c>
      <c r="R125" s="1053"/>
      <c r="S125" s="1053"/>
      <c r="T125" s="1053"/>
      <c r="U125" s="1053"/>
      <c r="V125" s="1053"/>
      <c r="W125" s="1053"/>
      <c r="X125" s="1053"/>
      <c r="Y125" s="1053"/>
      <c r="Z125" s="1053"/>
      <c r="AG125" s="267"/>
      <c r="AH125" s="267"/>
      <c r="AI125" s="267"/>
      <c r="AJ125" s="267"/>
      <c r="AK125" s="267"/>
      <c r="AL125" s="267"/>
      <c r="AM125" s="267"/>
      <c r="AN125" s="267"/>
      <c r="AO125" s="267"/>
    </row>
    <row r="126" spans="2:46">
      <c r="B126" s="408">
        <v>28.333333333333332</v>
      </c>
      <c r="C126" s="409"/>
      <c r="D126" s="333"/>
      <c r="E126" s="410"/>
      <c r="F126" s="411"/>
      <c r="G126" s="333"/>
      <c r="H126" s="333"/>
      <c r="I126" s="411"/>
      <c r="J126" s="333"/>
      <c r="K126" s="405"/>
      <c r="L126" s="405"/>
      <c r="O126" s="1053">
        <f>+O125+O124</f>
        <v>31.595238095238098</v>
      </c>
      <c r="P126" s="1053"/>
      <c r="AG126" s="267"/>
      <c r="AH126" s="267"/>
      <c r="AI126" s="267"/>
      <c r="AJ126" s="267"/>
      <c r="AK126" s="267"/>
      <c r="AL126" s="267"/>
      <c r="AM126" s="267"/>
      <c r="AN126" s="267"/>
      <c r="AO126" s="267"/>
    </row>
    <row r="127" spans="2:46">
      <c r="B127" s="168"/>
      <c r="AG127" s="267"/>
      <c r="AH127" s="267"/>
      <c r="AI127" s="267"/>
      <c r="AJ127" s="267"/>
      <c r="AK127" s="267"/>
      <c r="AL127" s="267"/>
      <c r="AM127" s="267"/>
      <c r="AN127" s="267"/>
      <c r="AO127" s="267"/>
    </row>
    <row r="128" spans="2:46">
      <c r="B128" s="168"/>
      <c r="AG128" s="267"/>
      <c r="AH128" s="267"/>
      <c r="AI128" s="267"/>
      <c r="AJ128" s="267"/>
      <c r="AK128" s="267"/>
      <c r="AL128" s="267"/>
      <c r="AM128" s="267"/>
      <c r="AN128" s="267"/>
      <c r="AO128" s="267"/>
    </row>
    <row r="129" spans="2:46" ht="26.25" thickBot="1">
      <c r="B129" s="377" t="s">
        <v>89</v>
      </c>
      <c r="H129" s="1052">
        <v>42922</v>
      </c>
      <c r="I129" s="1052"/>
      <c r="J129" s="1052"/>
      <c r="K129" s="1052"/>
      <c r="L129" s="1052"/>
      <c r="M129" s="1052"/>
      <c r="N129" s="1052"/>
      <c r="AD129" s="378"/>
      <c r="AE129" s="378"/>
      <c r="AF129" s="378"/>
      <c r="AG129" s="167"/>
      <c r="AH129" s="167"/>
      <c r="AI129" s="167"/>
      <c r="AJ129" s="376"/>
      <c r="AK129" s="376"/>
    </row>
    <row r="130" spans="2:46" ht="16.5" thickBot="1">
      <c r="B130" s="379">
        <v>1231.53</v>
      </c>
      <c r="C130" s="240" t="s">
        <v>67</v>
      </c>
      <c r="AD130" s="296"/>
      <c r="AE130" s="296"/>
      <c r="AF130" s="296"/>
      <c r="AG130" s="296"/>
      <c r="AH130" s="296"/>
      <c r="AI130" s="296"/>
      <c r="AJ130" s="296"/>
      <c r="AK130" s="296"/>
      <c r="AL130" s="296"/>
      <c r="AM130" s="296"/>
      <c r="AN130" s="296"/>
      <c r="AO130" s="296"/>
      <c r="AP130" s="267"/>
      <c r="AQ130" s="267"/>
      <c r="AR130" s="267"/>
      <c r="AS130" s="267"/>
      <c r="AT130" s="267"/>
    </row>
    <row r="131" spans="2:46" ht="15.75">
      <c r="B131" s="168">
        <f>+B130/30*7</f>
        <v>287.35700000000003</v>
      </c>
      <c r="C131" s="240" t="s">
        <v>68</v>
      </c>
      <c r="D131" s="380"/>
      <c r="O131" s="1053" t="s">
        <v>69</v>
      </c>
      <c r="P131" s="1053"/>
      <c r="Q131" s="1053"/>
      <c r="R131" s="1053"/>
      <c r="S131" s="1053"/>
      <c r="T131" s="1053"/>
      <c r="U131" s="1053"/>
      <c r="V131" s="1053"/>
      <c r="W131" s="1053"/>
      <c r="X131" s="1053"/>
      <c r="Y131" s="1053"/>
      <c r="Z131" s="1053"/>
      <c r="AD131" s="296"/>
      <c r="AE131" s="556"/>
      <c r="AF131" s="556"/>
      <c r="AG131" s="296"/>
      <c r="AH131" s="296"/>
      <c r="AI131" s="296"/>
      <c r="AJ131" s="556"/>
      <c r="AK131" s="556"/>
      <c r="AL131" s="296"/>
      <c r="AM131" s="296"/>
      <c r="AN131" s="296"/>
      <c r="AO131" s="296"/>
      <c r="AP131" s="267"/>
      <c r="AQ131" s="267"/>
      <c r="AR131" s="267"/>
      <c r="AS131" s="267"/>
      <c r="AT131" s="267"/>
    </row>
    <row r="132" spans="2:46">
      <c r="B132" s="168">
        <f>+B131-18</f>
        <v>269.35700000000003</v>
      </c>
      <c r="C132" s="240" t="s">
        <v>70</v>
      </c>
      <c r="O132" s="1053">
        <f>+B130</f>
        <v>1231.53</v>
      </c>
      <c r="P132" s="1053"/>
      <c r="Q132" s="1053" t="s">
        <v>71</v>
      </c>
      <c r="R132" s="1053"/>
      <c r="S132" s="1053"/>
      <c r="T132" s="1053"/>
      <c r="U132" s="1053"/>
      <c r="V132" s="1053"/>
      <c r="W132" s="1053"/>
      <c r="X132" s="1053"/>
      <c r="Y132" s="1053"/>
      <c r="Z132" s="1053"/>
      <c r="AA132" s="7" t="s">
        <v>72</v>
      </c>
      <c r="AD132" s="296"/>
      <c r="AE132" s="556"/>
      <c r="AF132" s="556"/>
      <c r="AG132" s="296"/>
      <c r="AH132" s="296"/>
      <c r="AI132" s="296"/>
      <c r="AJ132" s="556"/>
      <c r="AK132" s="556"/>
      <c r="AL132" s="296"/>
      <c r="AM132" s="296"/>
      <c r="AN132" s="296"/>
      <c r="AO132" s="296"/>
      <c r="AP132" s="267"/>
      <c r="AQ132" s="267"/>
      <c r="AR132" s="267"/>
      <c r="AS132" s="267"/>
      <c r="AT132" s="267"/>
    </row>
    <row r="133" spans="2:46">
      <c r="B133" s="381">
        <f>+B132/7+0</f>
        <v>38.479571428571433</v>
      </c>
      <c r="C133" s="382" t="s">
        <v>73</v>
      </c>
      <c r="D133" s="383"/>
      <c r="O133" s="1053">
        <f>+O132/30*7</f>
        <v>287.35700000000003</v>
      </c>
      <c r="P133" s="1053"/>
      <c r="Q133" s="1053" t="s">
        <v>74</v>
      </c>
      <c r="R133" s="1053"/>
      <c r="S133" s="1053"/>
      <c r="T133" s="1053"/>
      <c r="U133" s="1053"/>
      <c r="V133" s="1053"/>
      <c r="W133" s="1053"/>
      <c r="X133" s="1053"/>
      <c r="Y133" s="1053"/>
      <c r="Z133" s="1053"/>
      <c r="AA133" s="1064">
        <f>+O133*0.87</f>
        <v>250.00059000000002</v>
      </c>
      <c r="AB133" s="1064"/>
      <c r="AD133" s="296"/>
      <c r="AE133" s="384"/>
      <c r="AF133" s="384"/>
      <c r="AG133" s="296"/>
      <c r="AH133" s="296"/>
      <c r="AI133" s="296"/>
      <c r="AJ133" s="384"/>
      <c r="AK133" s="384"/>
      <c r="AL133" s="385"/>
      <c r="AM133" s="385"/>
      <c r="AN133" s="385"/>
      <c r="AO133" s="385"/>
      <c r="AP133" s="386"/>
      <c r="AQ133" s="386"/>
      <c r="AR133" s="267"/>
      <c r="AS133" s="267"/>
      <c r="AT133" s="267"/>
    </row>
    <row r="134" spans="2:46">
      <c r="O134" s="1053">
        <f>+O133/7</f>
        <v>41.051000000000002</v>
      </c>
      <c r="P134" s="1053"/>
      <c r="Q134" s="1053" t="s">
        <v>75</v>
      </c>
      <c r="R134" s="1053"/>
      <c r="S134" s="1053"/>
      <c r="T134" s="1053"/>
      <c r="U134" s="1053"/>
      <c r="V134" s="1053"/>
      <c r="W134" s="1053"/>
      <c r="X134" s="1053"/>
      <c r="Y134" s="1053"/>
      <c r="Z134" s="1053"/>
      <c r="AD134" s="296"/>
      <c r="AE134" s="556"/>
      <c r="AF134" s="556"/>
      <c r="AG134" s="296"/>
      <c r="AH134" s="296"/>
      <c r="AI134" s="296"/>
      <c r="AJ134" s="556"/>
      <c r="AK134" s="556"/>
      <c r="AL134" s="387"/>
      <c r="AM134" s="387"/>
      <c r="AN134" s="385"/>
      <c r="AO134" s="385"/>
      <c r="AP134" s="386"/>
      <c r="AQ134" s="386"/>
      <c r="AR134" s="267"/>
      <c r="AS134" s="267"/>
      <c r="AT134" s="267"/>
    </row>
    <row r="135" spans="2:46" ht="15.75">
      <c r="B135" s="427">
        <f>+B133</f>
        <v>38.479571428571433</v>
      </c>
      <c r="C135" s="389" t="s">
        <v>76</v>
      </c>
      <c r="D135" s="390"/>
      <c r="E135" s="390"/>
      <c r="F135" s="390"/>
      <c r="O135" s="1065">
        <f>(O133-18)/7</f>
        <v>38.479571428571433</v>
      </c>
      <c r="P135" s="1065"/>
      <c r="Q135" s="1065" t="s">
        <v>77</v>
      </c>
      <c r="R135" s="1065"/>
      <c r="S135" s="1065"/>
      <c r="T135" s="1065"/>
      <c r="U135" s="1065"/>
      <c r="V135" s="1065"/>
      <c r="W135" s="1065"/>
      <c r="X135" s="1065"/>
      <c r="Y135" s="1065"/>
      <c r="Z135" s="1065"/>
      <c r="AD135" s="296"/>
      <c r="AE135" s="391"/>
      <c r="AF135" s="391"/>
      <c r="AG135" s="392"/>
      <c r="AH135" s="392"/>
      <c r="AI135" s="392"/>
      <c r="AJ135" s="391"/>
      <c r="AK135" s="391"/>
      <c r="AL135" s="385"/>
      <c r="AM135" s="385"/>
      <c r="AN135" s="385"/>
      <c r="AO135" s="385"/>
      <c r="AP135" s="386"/>
      <c r="AQ135" s="386"/>
      <c r="AR135" s="267"/>
      <c r="AS135" s="267"/>
      <c r="AT135" s="267"/>
    </row>
    <row r="136" spans="2:46">
      <c r="B136" s="168">
        <v>3</v>
      </c>
      <c r="C136" s="240" t="s">
        <v>78</v>
      </c>
      <c r="O136" s="1053">
        <v>3</v>
      </c>
      <c r="P136" s="1053"/>
      <c r="Q136" s="1053" t="s">
        <v>79</v>
      </c>
      <c r="R136" s="1053"/>
      <c r="S136" s="1053"/>
      <c r="T136" s="1053"/>
      <c r="U136" s="1053"/>
      <c r="V136" s="1053"/>
      <c r="W136" s="1053"/>
      <c r="X136" s="1053"/>
      <c r="Y136" s="1053"/>
      <c r="Z136" s="1053"/>
      <c r="AD136" s="296"/>
      <c r="AE136" s="296"/>
      <c r="AF136" s="391"/>
      <c r="AG136" s="392"/>
      <c r="AH136" s="392"/>
      <c r="AI136" s="392"/>
      <c r="AJ136" s="391"/>
      <c r="AK136" s="296"/>
      <c r="AL136" s="385"/>
      <c r="AM136" s="385"/>
      <c r="AN136" s="385"/>
      <c r="AO136" s="385"/>
      <c r="AP136" s="386"/>
      <c r="AQ136" s="386"/>
      <c r="AR136" s="267"/>
      <c r="AS136" s="267"/>
      <c r="AT136" s="267"/>
    </row>
    <row r="137" spans="2:46">
      <c r="B137" s="381">
        <f>+B136+B135</f>
        <v>41.479571428571433</v>
      </c>
      <c r="C137" s="382" t="s">
        <v>80</v>
      </c>
      <c r="D137" s="393"/>
      <c r="E137" s="394"/>
      <c r="F137" s="395"/>
      <c r="G137" s="393"/>
      <c r="H137" s="393"/>
      <c r="I137" s="395"/>
      <c r="J137" s="393"/>
      <c r="K137" s="396"/>
      <c r="L137" s="396"/>
      <c r="M137" s="383"/>
      <c r="O137" s="1053">
        <f>+O136+O135</f>
        <v>41.479571428571433</v>
      </c>
      <c r="P137" s="1053"/>
      <c r="AD137" s="296"/>
      <c r="AE137" s="556"/>
      <c r="AF137" s="556"/>
      <c r="AG137" s="296"/>
      <c r="AH137" s="296"/>
      <c r="AI137" s="296"/>
      <c r="AJ137" s="556"/>
      <c r="AK137" s="556"/>
      <c r="AL137" s="387"/>
      <c r="AM137" s="387"/>
      <c r="AN137" s="387"/>
      <c r="AO137" s="387"/>
      <c r="AP137" s="397"/>
      <c r="AQ137" s="267"/>
      <c r="AR137" s="267"/>
      <c r="AS137" s="267"/>
      <c r="AT137" s="267"/>
    </row>
    <row r="138" spans="2:46">
      <c r="B138" s="168"/>
      <c r="AD138" s="296"/>
      <c r="AE138" s="398"/>
      <c r="AF138" s="398"/>
      <c r="AG138" s="398"/>
      <c r="AH138" s="296"/>
      <c r="AI138" s="296"/>
      <c r="AJ138" s="398"/>
      <c r="AK138" s="398"/>
      <c r="AL138" s="385"/>
      <c r="AM138" s="296"/>
      <c r="AN138" s="296"/>
      <c r="AO138" s="296"/>
      <c r="AP138" s="267"/>
      <c r="AQ138" s="267"/>
      <c r="AR138" s="267"/>
      <c r="AS138" s="267"/>
      <c r="AT138" s="267"/>
    </row>
    <row r="139" spans="2:46">
      <c r="B139" s="168">
        <f>+B137*6</f>
        <v>248.8774285714286</v>
      </c>
      <c r="C139" s="240" t="s">
        <v>81</v>
      </c>
      <c r="O139" s="1053" t="s">
        <v>82</v>
      </c>
      <c r="P139" s="1053"/>
      <c r="Q139" s="1053"/>
      <c r="R139" s="1053"/>
      <c r="S139" s="1053"/>
      <c r="T139" s="1053"/>
      <c r="U139" s="1053"/>
      <c r="V139" s="1053"/>
      <c r="W139" s="1053"/>
      <c r="X139" s="1053"/>
      <c r="Y139" s="1053"/>
      <c r="Z139" s="1053"/>
      <c r="AD139" s="296"/>
      <c r="AE139" s="296"/>
      <c r="AF139" s="296"/>
      <c r="AG139" s="296"/>
      <c r="AH139" s="296"/>
      <c r="AI139" s="385"/>
      <c r="AJ139" s="385"/>
      <c r="AK139" s="387"/>
      <c r="AL139" s="555"/>
      <c r="AM139" s="556"/>
      <c r="AN139" s="555"/>
      <c r="AO139" s="296"/>
      <c r="AP139" s="267"/>
      <c r="AQ139" s="267"/>
      <c r="AR139" s="267"/>
      <c r="AS139" s="267"/>
      <c r="AT139" s="267"/>
    </row>
    <row r="140" spans="2:46">
      <c r="B140" s="399">
        <f>+B135</f>
        <v>38.479571428571433</v>
      </c>
      <c r="C140" s="400" t="s">
        <v>83</v>
      </c>
      <c r="D140" s="401"/>
      <c r="E140" s="402"/>
      <c r="F140" s="403"/>
      <c r="G140" s="401"/>
      <c r="H140" s="401"/>
      <c r="I140" s="403"/>
      <c r="J140" s="401"/>
      <c r="K140" s="404"/>
      <c r="L140" s="405"/>
      <c r="O140" s="1053">
        <f>+O132*1.1</f>
        <v>1354.683</v>
      </c>
      <c r="P140" s="1053"/>
      <c r="Q140" s="1053" t="s">
        <v>71</v>
      </c>
      <c r="R140" s="1053"/>
      <c r="S140" s="1053"/>
      <c r="T140" s="1053"/>
      <c r="U140" s="1053"/>
      <c r="V140" s="1053"/>
      <c r="W140" s="1053"/>
      <c r="X140" s="1053"/>
      <c r="Y140" s="1053"/>
      <c r="Z140" s="1053"/>
      <c r="AA140" s="7" t="s">
        <v>84</v>
      </c>
      <c r="AG140" s="267"/>
      <c r="AH140" s="267"/>
      <c r="AI140" s="386"/>
      <c r="AJ140" s="386"/>
      <c r="AK140" s="386"/>
      <c r="AL140" s="267"/>
      <c r="AM140" s="267"/>
      <c r="AN140" s="267"/>
      <c r="AO140" s="267"/>
    </row>
    <row r="141" spans="2:46">
      <c r="B141" s="381">
        <f>+B140+B139</f>
        <v>287.35700000000003</v>
      </c>
      <c r="C141" s="382" t="s">
        <v>85</v>
      </c>
      <c r="D141" s="393"/>
      <c r="E141" s="394"/>
      <c r="F141" s="395"/>
      <c r="G141" s="393"/>
      <c r="H141" s="393"/>
      <c r="I141" s="395"/>
      <c r="J141" s="393"/>
      <c r="K141" s="406"/>
      <c r="L141" s="405"/>
      <c r="O141" s="1053">
        <f>+O140/30*7</f>
        <v>316.09270000000004</v>
      </c>
      <c r="P141" s="1053"/>
      <c r="Q141" s="1053" t="s">
        <v>74</v>
      </c>
      <c r="R141" s="1053"/>
      <c r="S141" s="1053"/>
      <c r="T141" s="1053"/>
      <c r="U141" s="1053"/>
      <c r="V141" s="1053"/>
      <c r="W141" s="1053"/>
      <c r="X141" s="1053"/>
      <c r="Y141" s="1053"/>
      <c r="Z141" s="1053"/>
      <c r="AA141" s="1064">
        <f>+O141*0.87</f>
        <v>275.00064900000001</v>
      </c>
      <c r="AB141" s="1064"/>
      <c r="AG141" s="267"/>
      <c r="AH141" s="267"/>
      <c r="AI141" s="386"/>
      <c r="AJ141" s="386"/>
      <c r="AK141" s="407"/>
      <c r="AL141" s="267"/>
      <c r="AM141" s="267"/>
      <c r="AN141" s="267"/>
      <c r="AO141" s="267"/>
    </row>
    <row r="142" spans="2:46">
      <c r="B142" s="408"/>
      <c r="C142" s="409"/>
      <c r="D142" s="333"/>
      <c r="E142" s="410"/>
      <c r="F142" s="411"/>
      <c r="G142" s="333"/>
      <c r="H142" s="333"/>
      <c r="I142" s="411"/>
      <c r="J142" s="333"/>
      <c r="K142" s="405"/>
      <c r="L142" s="405"/>
      <c r="O142" s="1053">
        <f>+O141/7</f>
        <v>45.156100000000002</v>
      </c>
      <c r="P142" s="1053"/>
      <c r="Q142" s="1053" t="s">
        <v>75</v>
      </c>
      <c r="R142" s="1053"/>
      <c r="S142" s="1053"/>
      <c r="T142" s="1053"/>
      <c r="U142" s="1053"/>
      <c r="V142" s="1053"/>
      <c r="W142" s="1053"/>
      <c r="X142" s="1053"/>
      <c r="Y142" s="1053"/>
      <c r="Z142" s="1053"/>
      <c r="AG142" s="267"/>
      <c r="AH142" s="267"/>
      <c r="AI142" s="412"/>
      <c r="AJ142" s="413"/>
      <c r="AK142" s="407"/>
      <c r="AL142" s="267"/>
      <c r="AM142" s="267"/>
      <c r="AN142" s="267"/>
      <c r="AO142" s="267"/>
    </row>
    <row r="143" spans="2:46" ht="15.75">
      <c r="B143" s="426">
        <f>+B141/7</f>
        <v>41.051000000000002</v>
      </c>
      <c r="C143" s="415" t="s">
        <v>86</v>
      </c>
      <c r="D143" s="416"/>
      <c r="E143" s="417"/>
      <c r="F143" s="418"/>
      <c r="G143" s="419"/>
      <c r="H143" s="419"/>
      <c r="I143" s="411"/>
      <c r="J143" s="333"/>
      <c r="K143" s="405"/>
      <c r="L143" s="405"/>
      <c r="O143" s="1065">
        <f>(O141-18)/7</f>
        <v>42.584671428571433</v>
      </c>
      <c r="P143" s="1065"/>
      <c r="Q143" s="1065" t="s">
        <v>77</v>
      </c>
      <c r="R143" s="1065"/>
      <c r="S143" s="1065"/>
      <c r="T143" s="1065"/>
      <c r="U143" s="1065"/>
      <c r="V143" s="1065"/>
      <c r="W143" s="1065"/>
      <c r="X143" s="1065"/>
      <c r="Y143" s="1065"/>
      <c r="Z143" s="1065"/>
      <c r="AG143" s="267"/>
      <c r="AH143" s="267"/>
      <c r="AI143" s="267"/>
      <c r="AJ143" s="267"/>
      <c r="AK143" s="407"/>
      <c r="AL143" s="267"/>
      <c r="AM143" s="267"/>
      <c r="AN143" s="267"/>
      <c r="AO143" s="267"/>
    </row>
    <row r="144" spans="2:46">
      <c r="B144" s="408"/>
      <c r="C144" s="409"/>
      <c r="D144" s="333"/>
      <c r="E144" s="410"/>
      <c r="F144" s="411"/>
      <c r="G144" s="333"/>
      <c r="H144" s="333"/>
      <c r="I144" s="411"/>
      <c r="J144" s="333"/>
      <c r="K144" s="405"/>
      <c r="L144" s="405"/>
      <c r="O144" s="1053">
        <v>3</v>
      </c>
      <c r="P144" s="1053"/>
      <c r="Q144" s="1053" t="s">
        <v>79</v>
      </c>
      <c r="R144" s="1053"/>
      <c r="S144" s="1053"/>
      <c r="T144" s="1053"/>
      <c r="U144" s="1053"/>
      <c r="V144" s="1053"/>
      <c r="W144" s="1053"/>
      <c r="X144" s="1053"/>
      <c r="Y144" s="1053"/>
      <c r="Z144" s="1053"/>
      <c r="AG144" s="267"/>
      <c r="AH144" s="267"/>
      <c r="AI144" s="267"/>
      <c r="AJ144" s="267"/>
      <c r="AK144" s="267"/>
      <c r="AL144" s="267"/>
      <c r="AM144" s="267"/>
      <c r="AN144" s="267"/>
      <c r="AO144" s="267"/>
    </row>
    <row r="145" spans="2:46">
      <c r="B145" s="408"/>
      <c r="C145" s="409"/>
      <c r="D145" s="333"/>
      <c r="E145" s="410"/>
      <c r="F145" s="411"/>
      <c r="G145" s="333"/>
      <c r="H145" s="333"/>
      <c r="I145" s="411"/>
      <c r="J145" s="333"/>
      <c r="K145" s="405"/>
      <c r="L145" s="405"/>
      <c r="O145" s="1053">
        <f>+O144+O143</f>
        <v>45.584671428571433</v>
      </c>
      <c r="P145" s="1053"/>
      <c r="AG145" s="267"/>
      <c r="AH145" s="267"/>
      <c r="AI145" s="267"/>
      <c r="AJ145" s="267"/>
      <c r="AK145" s="267"/>
      <c r="AL145" s="267"/>
      <c r="AM145" s="267"/>
      <c r="AN145" s="267"/>
      <c r="AO145" s="267"/>
    </row>
    <row r="146" spans="2:46">
      <c r="B146" s="168"/>
      <c r="AG146" s="267"/>
      <c r="AH146" s="267"/>
      <c r="AI146" s="267"/>
      <c r="AJ146" s="267"/>
      <c r="AK146" s="267"/>
      <c r="AL146" s="267"/>
      <c r="AM146" s="267"/>
      <c r="AN146" s="267"/>
      <c r="AO146" s="267"/>
    </row>
    <row r="147" spans="2:46" ht="26.25" thickBot="1">
      <c r="B147" s="377" t="s">
        <v>53</v>
      </c>
      <c r="H147" s="1052">
        <v>42744</v>
      </c>
      <c r="I147" s="1052"/>
      <c r="J147" s="1052"/>
      <c r="K147" s="1052"/>
      <c r="L147" s="1052"/>
      <c r="M147" s="1052"/>
      <c r="N147" s="1052"/>
      <c r="AD147" s="378"/>
      <c r="AE147" s="378"/>
      <c r="AF147" s="378"/>
      <c r="AG147" s="167"/>
      <c r="AH147" s="167"/>
      <c r="AI147" s="167"/>
      <c r="AJ147" s="376"/>
      <c r="AK147" s="376"/>
    </row>
    <row r="148" spans="2:46" ht="16.5" thickBot="1">
      <c r="B148" s="379">
        <v>1232.1400000000001</v>
      </c>
      <c r="C148" s="240" t="s">
        <v>67</v>
      </c>
      <c r="AD148" s="296"/>
      <c r="AE148" s="296"/>
      <c r="AF148" s="296"/>
      <c r="AG148" s="296"/>
      <c r="AH148" s="296"/>
      <c r="AI148" s="296"/>
      <c r="AJ148" s="296"/>
      <c r="AK148" s="296"/>
      <c r="AL148" s="296"/>
      <c r="AM148" s="296"/>
      <c r="AN148" s="296"/>
      <c r="AO148" s="296"/>
      <c r="AP148" s="267"/>
      <c r="AQ148" s="267"/>
      <c r="AR148" s="267"/>
      <c r="AS148" s="267"/>
      <c r="AT148" s="267"/>
    </row>
    <row r="149" spans="2:46" ht="15.75">
      <c r="B149" s="168">
        <f>+B148/30*7</f>
        <v>287.49933333333337</v>
      </c>
      <c r="C149" s="240" t="s">
        <v>68</v>
      </c>
      <c r="D149" s="380"/>
      <c r="O149" s="1053" t="s">
        <v>69</v>
      </c>
      <c r="P149" s="1053"/>
      <c r="Q149" s="1053"/>
      <c r="R149" s="1053"/>
      <c r="S149" s="1053"/>
      <c r="T149" s="1053"/>
      <c r="U149" s="1053"/>
      <c r="V149" s="1053"/>
      <c r="W149" s="1053"/>
      <c r="X149" s="1053"/>
      <c r="Y149" s="1053"/>
      <c r="Z149" s="1053"/>
      <c r="AD149" s="296"/>
      <c r="AE149" s="556"/>
      <c r="AF149" s="556"/>
      <c r="AG149" s="296"/>
      <c r="AH149" s="296"/>
      <c r="AI149" s="296"/>
      <c r="AJ149" s="556"/>
      <c r="AK149" s="556"/>
      <c r="AL149" s="296"/>
      <c r="AM149" s="296"/>
      <c r="AN149" s="296"/>
      <c r="AO149" s="296"/>
      <c r="AP149" s="267"/>
      <c r="AQ149" s="267"/>
      <c r="AR149" s="267"/>
      <c r="AS149" s="267"/>
      <c r="AT149" s="267"/>
    </row>
    <row r="150" spans="2:46">
      <c r="B150" s="168">
        <f>+B149-18</f>
        <v>269.49933333333337</v>
      </c>
      <c r="C150" s="240" t="s">
        <v>70</v>
      </c>
      <c r="O150" s="1053">
        <f>+B148</f>
        <v>1232.1400000000001</v>
      </c>
      <c r="P150" s="1053"/>
      <c r="Q150" s="1053" t="s">
        <v>71</v>
      </c>
      <c r="R150" s="1053"/>
      <c r="S150" s="1053"/>
      <c r="T150" s="1053"/>
      <c r="U150" s="1053"/>
      <c r="V150" s="1053"/>
      <c r="W150" s="1053"/>
      <c r="X150" s="1053"/>
      <c r="Y150" s="1053"/>
      <c r="Z150" s="1053"/>
      <c r="AA150" s="7" t="s">
        <v>72</v>
      </c>
      <c r="AD150" s="296"/>
      <c r="AE150" s="556"/>
      <c r="AF150" s="556"/>
      <c r="AG150" s="296"/>
      <c r="AH150" s="296"/>
      <c r="AI150" s="296"/>
      <c r="AJ150" s="556"/>
      <c r="AK150" s="556"/>
      <c r="AL150" s="296"/>
      <c r="AM150" s="296"/>
      <c r="AN150" s="296"/>
      <c r="AO150" s="296"/>
      <c r="AP150" s="267"/>
      <c r="AQ150" s="267"/>
      <c r="AR150" s="267"/>
      <c r="AS150" s="267"/>
      <c r="AT150" s="267"/>
    </row>
    <row r="151" spans="2:46">
      <c r="B151" s="381">
        <f>+B150/7+0</f>
        <v>38.499904761904766</v>
      </c>
      <c r="C151" s="382" t="s">
        <v>73</v>
      </c>
      <c r="D151" s="383"/>
      <c r="O151" s="1053">
        <f>+O150/30*7</f>
        <v>287.49933333333337</v>
      </c>
      <c r="P151" s="1053"/>
      <c r="Q151" s="1053" t="s">
        <v>74</v>
      </c>
      <c r="R151" s="1053"/>
      <c r="S151" s="1053"/>
      <c r="T151" s="1053"/>
      <c r="U151" s="1053"/>
      <c r="V151" s="1053"/>
      <c r="W151" s="1053"/>
      <c r="X151" s="1053"/>
      <c r="Y151" s="1053"/>
      <c r="Z151" s="1053"/>
      <c r="AA151" s="1064">
        <f>+O151*0.87</f>
        <v>250.12442000000001</v>
      </c>
      <c r="AB151" s="1064"/>
      <c r="AD151" s="296"/>
      <c r="AE151" s="384"/>
      <c r="AF151" s="384"/>
      <c r="AG151" s="296"/>
      <c r="AH151" s="296"/>
      <c r="AI151" s="296"/>
      <c r="AJ151" s="384"/>
      <c r="AK151" s="384"/>
      <c r="AL151" s="385"/>
      <c r="AM151" s="385"/>
      <c r="AN151" s="385"/>
      <c r="AO151" s="385"/>
      <c r="AP151" s="386"/>
      <c r="AQ151" s="386"/>
      <c r="AR151" s="267"/>
      <c r="AS151" s="267"/>
      <c r="AT151" s="267"/>
    </row>
    <row r="152" spans="2:46">
      <c r="O152" s="1053">
        <f>+O151/7</f>
        <v>41.071333333333335</v>
      </c>
      <c r="P152" s="1053"/>
      <c r="Q152" s="1053" t="s">
        <v>75</v>
      </c>
      <c r="R152" s="1053"/>
      <c r="S152" s="1053"/>
      <c r="T152" s="1053"/>
      <c r="U152" s="1053"/>
      <c r="V152" s="1053"/>
      <c r="W152" s="1053"/>
      <c r="X152" s="1053"/>
      <c r="Y152" s="1053"/>
      <c r="Z152" s="1053"/>
      <c r="AD152" s="296"/>
      <c r="AE152" s="556"/>
      <c r="AF152" s="556"/>
      <c r="AG152" s="296"/>
      <c r="AH152" s="296"/>
      <c r="AI152" s="296"/>
      <c r="AJ152" s="556"/>
      <c r="AK152" s="556"/>
      <c r="AL152" s="387"/>
      <c r="AM152" s="387"/>
      <c r="AN152" s="385"/>
      <c r="AO152" s="385"/>
      <c r="AP152" s="386"/>
      <c r="AQ152" s="386"/>
      <c r="AR152" s="267"/>
      <c r="AS152" s="267"/>
      <c r="AT152" s="267"/>
    </row>
    <row r="153" spans="2:46" ht="15.75">
      <c r="B153" s="427">
        <f>+B151</f>
        <v>38.499904761904766</v>
      </c>
      <c r="C153" s="389" t="s">
        <v>76</v>
      </c>
      <c r="D153" s="390"/>
      <c r="E153" s="390"/>
      <c r="F153" s="390"/>
      <c r="O153" s="1065">
        <f>(O151-18)/7</f>
        <v>38.499904761904766</v>
      </c>
      <c r="P153" s="1065"/>
      <c r="Q153" s="1065" t="s">
        <v>77</v>
      </c>
      <c r="R153" s="1065"/>
      <c r="S153" s="1065"/>
      <c r="T153" s="1065"/>
      <c r="U153" s="1065"/>
      <c r="V153" s="1065"/>
      <c r="W153" s="1065"/>
      <c r="X153" s="1065"/>
      <c r="Y153" s="1065"/>
      <c r="Z153" s="1065"/>
      <c r="AD153" s="296"/>
      <c r="AE153" s="391"/>
      <c r="AF153" s="391"/>
      <c r="AG153" s="392"/>
      <c r="AH153" s="392"/>
      <c r="AI153" s="392"/>
      <c r="AJ153" s="391"/>
      <c r="AK153" s="391"/>
      <c r="AL153" s="385"/>
      <c r="AM153" s="385"/>
      <c r="AN153" s="385"/>
      <c r="AO153" s="385"/>
      <c r="AP153" s="386"/>
      <c r="AQ153" s="386"/>
      <c r="AR153" s="267"/>
      <c r="AS153" s="267"/>
      <c r="AT153" s="267"/>
    </row>
    <row r="154" spans="2:46">
      <c r="B154" s="168">
        <v>3</v>
      </c>
      <c r="C154" s="240" t="s">
        <v>78</v>
      </c>
      <c r="O154" s="1053">
        <v>3</v>
      </c>
      <c r="P154" s="1053"/>
      <c r="Q154" s="1053" t="s">
        <v>79</v>
      </c>
      <c r="R154" s="1053"/>
      <c r="S154" s="1053"/>
      <c r="T154" s="1053"/>
      <c r="U154" s="1053"/>
      <c r="V154" s="1053"/>
      <c r="W154" s="1053"/>
      <c r="X154" s="1053"/>
      <c r="Y154" s="1053"/>
      <c r="Z154" s="1053"/>
      <c r="AD154" s="296"/>
      <c r="AE154" s="296"/>
      <c r="AF154" s="996">
        <v>993814365</v>
      </c>
      <c r="AG154" s="996"/>
      <c r="AH154" s="996"/>
      <c r="AI154" s="996"/>
      <c r="AJ154" s="996"/>
      <c r="AK154" s="296"/>
      <c r="AL154" s="385"/>
      <c r="AM154" s="385"/>
      <c r="AN154" s="385"/>
      <c r="AO154" s="385"/>
      <c r="AP154" s="386"/>
      <c r="AQ154" s="386"/>
      <c r="AR154" s="267"/>
      <c r="AS154" s="267"/>
      <c r="AT154" s="267"/>
    </row>
    <row r="155" spans="2:46">
      <c r="B155" s="381">
        <f>+B154+B153</f>
        <v>41.499904761904766</v>
      </c>
      <c r="C155" s="382" t="s">
        <v>80</v>
      </c>
      <c r="D155" s="393"/>
      <c r="E155" s="394"/>
      <c r="F155" s="395"/>
      <c r="G155" s="393"/>
      <c r="H155" s="393"/>
      <c r="I155" s="395"/>
      <c r="J155" s="393"/>
      <c r="K155" s="396"/>
      <c r="L155" s="396"/>
      <c r="M155" s="383"/>
      <c r="O155" s="1053">
        <f>+O154+O153</f>
        <v>41.499904761904766</v>
      </c>
      <c r="P155" s="1053"/>
      <c r="AD155" s="296"/>
      <c r="AE155" s="556"/>
      <c r="AF155" s="556"/>
      <c r="AG155" s="296"/>
      <c r="AH155" s="296"/>
      <c r="AI155" s="296"/>
      <c r="AJ155" s="556"/>
      <c r="AK155" s="556"/>
      <c r="AL155" s="387"/>
      <c r="AM155" s="387"/>
      <c r="AN155" s="387"/>
      <c r="AO155" s="387"/>
      <c r="AP155" s="397"/>
      <c r="AQ155" s="267"/>
      <c r="AR155" s="267"/>
      <c r="AS155" s="267"/>
      <c r="AT155" s="267"/>
    </row>
    <row r="156" spans="2:46">
      <c r="B156" s="168"/>
      <c r="AD156" s="296"/>
      <c r="AE156" s="398"/>
      <c r="AF156" s="398"/>
      <c r="AG156" s="398"/>
      <c r="AH156" s="296"/>
      <c r="AI156" s="296"/>
      <c r="AJ156" s="398"/>
      <c r="AK156" s="398"/>
      <c r="AL156" s="385"/>
      <c r="AM156" s="296"/>
      <c r="AN156" s="296"/>
      <c r="AO156" s="296"/>
      <c r="AP156" s="267"/>
      <c r="AQ156" s="267"/>
      <c r="AR156" s="267"/>
      <c r="AS156" s="267"/>
      <c r="AT156" s="267"/>
    </row>
    <row r="157" spans="2:46">
      <c r="B157" s="168">
        <f>+B155*6</f>
        <v>248.99942857142861</v>
      </c>
      <c r="C157" s="240" t="s">
        <v>81</v>
      </c>
      <c r="O157" s="1053" t="s">
        <v>82</v>
      </c>
      <c r="P157" s="1053"/>
      <c r="Q157" s="1053"/>
      <c r="R157" s="1053"/>
      <c r="S157" s="1053"/>
      <c r="T157" s="1053"/>
      <c r="U157" s="1053"/>
      <c r="V157" s="1053"/>
      <c r="W157" s="1053"/>
      <c r="X157" s="1053"/>
      <c r="Y157" s="1053"/>
      <c r="Z157" s="1053"/>
      <c r="AD157" s="296"/>
      <c r="AE157" s="296"/>
      <c r="AF157" s="296"/>
      <c r="AG157" s="296"/>
      <c r="AH157" s="296"/>
      <c r="AI157" s="385"/>
      <c r="AJ157" s="385"/>
      <c r="AK157" s="387"/>
      <c r="AL157" s="555"/>
      <c r="AM157" s="556"/>
      <c r="AN157" s="555"/>
      <c r="AO157" s="296"/>
      <c r="AP157" s="267"/>
      <c r="AQ157" s="267"/>
      <c r="AR157" s="267"/>
      <c r="AS157" s="267"/>
      <c r="AT157" s="267"/>
    </row>
    <row r="158" spans="2:46">
      <c r="B158" s="399">
        <f>+B153</f>
        <v>38.499904761904766</v>
      </c>
      <c r="C158" s="400" t="s">
        <v>83</v>
      </c>
      <c r="D158" s="401"/>
      <c r="E158" s="402"/>
      <c r="F158" s="403"/>
      <c r="G158" s="401"/>
      <c r="H158" s="401"/>
      <c r="I158" s="403"/>
      <c r="J158" s="401"/>
      <c r="K158" s="404"/>
      <c r="L158" s="405"/>
      <c r="O158" s="1053">
        <f>+O150*1.1</f>
        <v>1355.3540000000003</v>
      </c>
      <c r="P158" s="1053"/>
      <c r="Q158" s="1053" t="s">
        <v>71</v>
      </c>
      <c r="R158" s="1053"/>
      <c r="S158" s="1053"/>
      <c r="T158" s="1053"/>
      <c r="U158" s="1053"/>
      <c r="V158" s="1053"/>
      <c r="W158" s="1053"/>
      <c r="X158" s="1053"/>
      <c r="Y158" s="1053"/>
      <c r="Z158" s="1053"/>
      <c r="AA158" s="7" t="s">
        <v>84</v>
      </c>
      <c r="AG158" s="267"/>
      <c r="AH158" s="267"/>
      <c r="AI158" s="386"/>
      <c r="AJ158" s="386"/>
      <c r="AK158" s="386"/>
      <c r="AL158" s="267"/>
      <c r="AM158" s="267"/>
      <c r="AN158" s="267"/>
      <c r="AO158" s="267"/>
    </row>
    <row r="159" spans="2:46">
      <c r="B159" s="381">
        <f>+B158+B157</f>
        <v>287.49933333333337</v>
      </c>
      <c r="C159" s="382" t="s">
        <v>85</v>
      </c>
      <c r="D159" s="393"/>
      <c r="E159" s="394"/>
      <c r="F159" s="395"/>
      <c r="G159" s="393"/>
      <c r="H159" s="393"/>
      <c r="I159" s="395"/>
      <c r="J159" s="393"/>
      <c r="K159" s="406"/>
      <c r="L159" s="405"/>
      <c r="O159" s="1053">
        <f>+O158/30*7</f>
        <v>316.2492666666667</v>
      </c>
      <c r="P159" s="1053"/>
      <c r="Q159" s="1053" t="s">
        <v>74</v>
      </c>
      <c r="R159" s="1053"/>
      <c r="S159" s="1053"/>
      <c r="T159" s="1053"/>
      <c r="U159" s="1053"/>
      <c r="V159" s="1053"/>
      <c r="W159" s="1053"/>
      <c r="X159" s="1053"/>
      <c r="Y159" s="1053"/>
      <c r="Z159" s="1053"/>
      <c r="AA159" s="1064">
        <f>+O159*0.87</f>
        <v>275.13686200000001</v>
      </c>
      <c r="AB159" s="1064"/>
      <c r="AG159" s="267"/>
      <c r="AH159" s="267"/>
      <c r="AI159" s="386"/>
      <c r="AJ159" s="386"/>
      <c r="AK159" s="407"/>
      <c r="AL159" s="267"/>
      <c r="AM159" s="267"/>
      <c r="AN159" s="267"/>
      <c r="AO159" s="267"/>
    </row>
    <row r="160" spans="2:46">
      <c r="B160" s="408"/>
      <c r="C160" s="409"/>
      <c r="D160" s="333"/>
      <c r="E160" s="410"/>
      <c r="F160" s="411"/>
      <c r="G160" s="333"/>
      <c r="H160" s="333"/>
      <c r="I160" s="411"/>
      <c r="J160" s="333"/>
      <c r="K160" s="405"/>
      <c r="L160" s="405"/>
      <c r="O160" s="1053">
        <f>+O159/7</f>
        <v>45.178466666666672</v>
      </c>
      <c r="P160" s="1053"/>
      <c r="Q160" s="1053" t="s">
        <v>75</v>
      </c>
      <c r="R160" s="1053"/>
      <c r="S160" s="1053"/>
      <c r="T160" s="1053"/>
      <c r="U160" s="1053"/>
      <c r="V160" s="1053"/>
      <c r="W160" s="1053"/>
      <c r="X160" s="1053"/>
      <c r="Y160" s="1053"/>
      <c r="Z160" s="1053"/>
      <c r="AG160" s="267"/>
      <c r="AH160" s="267"/>
      <c r="AI160" s="412"/>
      <c r="AJ160" s="413"/>
      <c r="AK160" s="407"/>
      <c r="AL160" s="267"/>
      <c r="AM160" s="267"/>
      <c r="AN160" s="267"/>
      <c r="AO160" s="267"/>
    </row>
    <row r="161" spans="2:46" ht="15.75">
      <c r="B161" s="426">
        <f>+B159/7</f>
        <v>41.071333333333335</v>
      </c>
      <c r="C161" s="415" t="s">
        <v>86</v>
      </c>
      <c r="D161" s="416"/>
      <c r="E161" s="417"/>
      <c r="F161" s="418"/>
      <c r="G161" s="419"/>
      <c r="H161" s="419"/>
      <c r="I161" s="411"/>
      <c r="J161" s="333"/>
      <c r="K161" s="405"/>
      <c r="L161" s="405"/>
      <c r="O161" s="1065">
        <f>(O159-18)/7</f>
        <v>42.607038095238103</v>
      </c>
      <c r="P161" s="1065"/>
      <c r="Q161" s="1065" t="s">
        <v>77</v>
      </c>
      <c r="R161" s="1065"/>
      <c r="S161" s="1065"/>
      <c r="T161" s="1065"/>
      <c r="U161" s="1065"/>
      <c r="V161" s="1065"/>
      <c r="W161" s="1065"/>
      <c r="X161" s="1065"/>
      <c r="Y161" s="1065"/>
      <c r="Z161" s="1065"/>
      <c r="AG161" s="267"/>
      <c r="AH161" s="267"/>
      <c r="AI161" s="267"/>
      <c r="AJ161" s="267"/>
      <c r="AK161" s="407"/>
      <c r="AL161" s="267"/>
      <c r="AM161" s="267"/>
      <c r="AN161" s="267"/>
      <c r="AO161" s="267"/>
    </row>
    <row r="162" spans="2:46">
      <c r="B162" s="408"/>
      <c r="C162" s="409"/>
      <c r="D162" s="333"/>
      <c r="E162" s="410"/>
      <c r="F162" s="411"/>
      <c r="G162" s="333"/>
      <c r="H162" s="333"/>
      <c r="I162" s="411"/>
      <c r="J162" s="333"/>
      <c r="K162" s="405"/>
      <c r="L162" s="405"/>
      <c r="O162" s="1053">
        <v>3</v>
      </c>
      <c r="P162" s="1053"/>
      <c r="Q162" s="1053" t="s">
        <v>79</v>
      </c>
      <c r="R162" s="1053"/>
      <c r="S162" s="1053"/>
      <c r="T162" s="1053"/>
      <c r="U162" s="1053"/>
      <c r="V162" s="1053"/>
      <c r="W162" s="1053"/>
      <c r="X162" s="1053"/>
      <c r="Y162" s="1053"/>
      <c r="Z162" s="1053"/>
      <c r="AG162" s="267"/>
      <c r="AH162" s="267"/>
      <c r="AI162" s="267"/>
      <c r="AJ162" s="267"/>
      <c r="AK162" s="267"/>
      <c r="AL162" s="267"/>
      <c r="AM162" s="267"/>
      <c r="AN162" s="267"/>
      <c r="AO162" s="267"/>
    </row>
    <row r="163" spans="2:46">
      <c r="B163" s="408"/>
      <c r="C163" s="409"/>
      <c r="D163" s="333"/>
      <c r="E163" s="410"/>
      <c r="F163" s="411"/>
      <c r="G163" s="333"/>
      <c r="H163" s="333"/>
      <c r="I163" s="411"/>
      <c r="J163" s="333"/>
      <c r="K163" s="405"/>
      <c r="L163" s="405"/>
      <c r="O163" s="1053">
        <f>+O162+O161</f>
        <v>45.607038095238103</v>
      </c>
      <c r="P163" s="1053"/>
      <c r="AG163" s="267"/>
      <c r="AH163" s="267"/>
      <c r="AI163" s="267"/>
      <c r="AJ163" s="267"/>
      <c r="AK163" s="267"/>
      <c r="AL163" s="267"/>
      <c r="AM163" s="267"/>
      <c r="AN163" s="267"/>
      <c r="AO163" s="267"/>
    </row>
    <row r="164" spans="2:46">
      <c r="B164" s="168"/>
      <c r="AG164" s="267"/>
      <c r="AH164" s="267"/>
      <c r="AI164" s="267"/>
      <c r="AJ164" s="267"/>
      <c r="AK164" s="267"/>
      <c r="AL164" s="267"/>
      <c r="AM164" s="267"/>
      <c r="AN164" s="267"/>
      <c r="AO164" s="267"/>
    </row>
    <row r="165" spans="2:46">
      <c r="AG165" s="267"/>
      <c r="AH165" s="267"/>
      <c r="AI165" s="267"/>
      <c r="AJ165" s="267"/>
      <c r="AK165" s="267"/>
      <c r="AL165" s="267"/>
      <c r="AM165" s="267"/>
      <c r="AN165" s="267"/>
      <c r="AO165" s="267"/>
    </row>
    <row r="166" spans="2:46">
      <c r="AG166" s="267"/>
      <c r="AH166" s="267"/>
      <c r="AI166" s="267"/>
      <c r="AJ166" s="267"/>
      <c r="AK166" s="267"/>
      <c r="AL166" s="267"/>
      <c r="AM166" s="267"/>
      <c r="AN166" s="267"/>
      <c r="AO166" s="267"/>
    </row>
    <row r="167" spans="2:46" ht="26.25" thickBot="1">
      <c r="B167" s="377" t="s">
        <v>90</v>
      </c>
      <c r="H167" s="1052">
        <v>42736</v>
      </c>
      <c r="I167" s="1052"/>
      <c r="J167" s="1052"/>
      <c r="K167" s="1052"/>
      <c r="L167" s="1052"/>
      <c r="M167" s="1052"/>
      <c r="N167" s="1052"/>
      <c r="AG167" s="267"/>
      <c r="AH167" s="267"/>
      <c r="AI167" s="267"/>
      <c r="AJ167" s="267"/>
      <c r="AK167" s="267"/>
      <c r="AL167" s="267"/>
      <c r="AM167" s="267"/>
      <c r="AN167" s="267"/>
      <c r="AO167" s="267"/>
    </row>
    <row r="168" spans="2:46" ht="16.5" thickBot="1">
      <c r="B168" s="379">
        <v>850</v>
      </c>
      <c r="C168" s="240" t="s">
        <v>67</v>
      </c>
      <c r="AD168" s="296"/>
      <c r="AE168" s="296"/>
      <c r="AF168" s="296"/>
      <c r="AG168" s="296"/>
      <c r="AH168" s="296"/>
      <c r="AI168" s="296"/>
      <c r="AJ168" s="296"/>
      <c r="AK168" s="296"/>
      <c r="AL168" s="296"/>
      <c r="AM168" s="296"/>
      <c r="AN168" s="296"/>
      <c r="AO168" s="296"/>
      <c r="AP168" s="267"/>
      <c r="AQ168" s="267"/>
      <c r="AR168" s="267"/>
      <c r="AS168" s="267"/>
      <c r="AT168" s="267"/>
    </row>
    <row r="169" spans="2:46" ht="15.75">
      <c r="B169" s="168">
        <f>+B168/30*7</f>
        <v>198.33333333333331</v>
      </c>
      <c r="C169" s="240" t="s">
        <v>68</v>
      </c>
      <c r="D169" s="380"/>
      <c r="O169" s="1053" t="s">
        <v>69</v>
      </c>
      <c r="P169" s="1053"/>
      <c r="Q169" s="1053"/>
      <c r="R169" s="1053"/>
      <c r="S169" s="1053"/>
      <c r="T169" s="1053"/>
      <c r="U169" s="1053"/>
      <c r="V169" s="1053"/>
      <c r="W169" s="1053"/>
      <c r="X169" s="1053"/>
      <c r="Y169" s="1053"/>
      <c r="Z169" s="1053"/>
      <c r="AD169" s="296"/>
      <c r="AE169" s="556"/>
      <c r="AF169" s="556"/>
      <c r="AG169" s="296"/>
      <c r="AH169" s="296"/>
      <c r="AI169" s="296"/>
      <c r="AJ169" s="556"/>
      <c r="AK169" s="556"/>
      <c r="AL169" s="296"/>
      <c r="AM169" s="296"/>
      <c r="AN169" s="296"/>
      <c r="AO169" s="296"/>
      <c r="AP169" s="267"/>
      <c r="AQ169" s="267"/>
      <c r="AR169" s="267"/>
      <c r="AS169" s="267"/>
      <c r="AT169" s="267"/>
    </row>
    <row r="170" spans="2:46">
      <c r="B170" s="168">
        <f>+B169-18</f>
        <v>180.33333333333331</v>
      </c>
      <c r="C170" s="240" t="s">
        <v>70</v>
      </c>
      <c r="O170" s="1053">
        <f>+B168</f>
        <v>850</v>
      </c>
      <c r="P170" s="1053"/>
      <c r="Q170" s="1053" t="s">
        <v>71</v>
      </c>
      <c r="R170" s="1053"/>
      <c r="S170" s="1053"/>
      <c r="T170" s="1053"/>
      <c r="U170" s="1053"/>
      <c r="V170" s="1053"/>
      <c r="W170" s="1053"/>
      <c r="X170" s="1053"/>
      <c r="Y170" s="1053"/>
      <c r="Z170" s="1053"/>
      <c r="AA170" s="7" t="s">
        <v>72</v>
      </c>
      <c r="AD170" s="428" t="s">
        <v>91</v>
      </c>
      <c r="AE170" s="429"/>
      <c r="AF170" s="429"/>
      <c r="AG170" s="1075">
        <v>233.32</v>
      </c>
      <c r="AH170" s="1075"/>
      <c r="AI170" s="430"/>
      <c r="AJ170" s="1076">
        <f>233.32-AG170</f>
        <v>0</v>
      </c>
      <c r="AK170" s="1076"/>
      <c r="AL170" s="431"/>
      <c r="AM170" s="296"/>
      <c r="AN170" s="296"/>
      <c r="AO170" s="296"/>
      <c r="AP170" s="267"/>
      <c r="AQ170" s="267"/>
      <c r="AR170" s="267"/>
      <c r="AS170" s="267"/>
      <c r="AT170" s="267"/>
    </row>
    <row r="171" spans="2:46">
      <c r="B171" s="381">
        <f>+B170/7</f>
        <v>25.761904761904759</v>
      </c>
      <c r="C171" s="382" t="s">
        <v>73</v>
      </c>
      <c r="D171" s="383"/>
      <c r="O171" s="1053">
        <f>+O170/30*7</f>
        <v>198.33333333333331</v>
      </c>
      <c r="P171" s="1053"/>
      <c r="Q171" s="1053" t="s">
        <v>74</v>
      </c>
      <c r="R171" s="1053"/>
      <c r="S171" s="1053"/>
      <c r="T171" s="1053"/>
      <c r="U171" s="1053"/>
      <c r="V171" s="1053"/>
      <c r="W171" s="1053"/>
      <c r="X171" s="1053"/>
      <c r="Y171" s="1053"/>
      <c r="Z171" s="1053"/>
      <c r="AA171" s="1064">
        <f>+O171*0.87</f>
        <v>172.54999999999998</v>
      </c>
      <c r="AB171" s="1064"/>
      <c r="AD171" s="432" t="s">
        <v>92</v>
      </c>
      <c r="AE171" s="433"/>
      <c r="AF171" s="433"/>
      <c r="AG171" s="1077">
        <f>218.15-19.83</f>
        <v>198.32</v>
      </c>
      <c r="AH171" s="1077"/>
      <c r="AI171" s="434"/>
      <c r="AJ171" s="1078">
        <f>233.32-AG171</f>
        <v>35</v>
      </c>
      <c r="AK171" s="1078"/>
      <c r="AL171" s="435"/>
      <c r="AM171" s="385"/>
      <c r="AN171" s="385"/>
      <c r="AO171" s="385"/>
      <c r="AP171" s="386"/>
      <c r="AQ171" s="386"/>
      <c r="AR171" s="267"/>
      <c r="AS171" s="267"/>
      <c r="AT171" s="267"/>
    </row>
    <row r="172" spans="2:46">
      <c r="O172" s="1053">
        <f>+O171/7</f>
        <v>28.333333333333332</v>
      </c>
      <c r="P172" s="1053"/>
      <c r="Q172" s="1053" t="s">
        <v>75</v>
      </c>
      <c r="R172" s="1053"/>
      <c r="S172" s="1053"/>
      <c r="T172" s="1053"/>
      <c r="U172" s="1053"/>
      <c r="V172" s="1053"/>
      <c r="W172" s="1053"/>
      <c r="X172" s="1053"/>
      <c r="Y172" s="1053"/>
      <c r="Z172" s="1053"/>
      <c r="AD172" s="432" t="s">
        <v>93</v>
      </c>
      <c r="AE172" s="436"/>
      <c r="AF172" s="436"/>
      <c r="AG172" s="1077">
        <f>218.15-19.83</f>
        <v>198.32</v>
      </c>
      <c r="AH172" s="1077"/>
      <c r="AI172" s="434"/>
      <c r="AJ172" s="1078">
        <f>233.32-AG172</f>
        <v>35</v>
      </c>
      <c r="AK172" s="1078"/>
      <c r="AL172" s="437"/>
      <c r="AM172" s="387"/>
      <c r="AN172" s="385"/>
      <c r="AO172" s="385"/>
      <c r="AP172" s="386"/>
      <c r="AQ172" s="386"/>
      <c r="AR172" s="267"/>
      <c r="AS172" s="267"/>
      <c r="AT172" s="267"/>
    </row>
    <row r="173" spans="2:46" ht="15.75">
      <c r="B173" s="427">
        <f>+B171</f>
        <v>25.761904761904759</v>
      </c>
      <c r="C173" s="389" t="s">
        <v>76</v>
      </c>
      <c r="D173" s="390"/>
      <c r="E173" s="390"/>
      <c r="F173" s="390"/>
      <c r="O173" s="1065">
        <f>(O171-18)/7</f>
        <v>25.761904761904759</v>
      </c>
      <c r="P173" s="1065"/>
      <c r="Q173" s="1065" t="s">
        <v>77</v>
      </c>
      <c r="R173" s="1065"/>
      <c r="S173" s="1065"/>
      <c r="T173" s="1065"/>
      <c r="U173" s="1065"/>
      <c r="V173" s="1065"/>
      <c r="W173" s="1065"/>
      <c r="X173" s="1065"/>
      <c r="Y173" s="1065"/>
      <c r="Z173" s="1065"/>
      <c r="AD173" s="432" t="s">
        <v>94</v>
      </c>
      <c r="AE173" s="438"/>
      <c r="AF173" s="438"/>
      <c r="AG173" s="1077">
        <f>228.07-29.75</f>
        <v>198.32</v>
      </c>
      <c r="AH173" s="1077"/>
      <c r="AI173" s="439"/>
      <c r="AJ173" s="1078">
        <f>233.32-AG173</f>
        <v>35</v>
      </c>
      <c r="AK173" s="1078"/>
      <c r="AL173" s="435"/>
      <c r="AM173" s="385"/>
      <c r="AN173" s="385"/>
      <c r="AO173" s="385"/>
      <c r="AP173" s="386"/>
      <c r="AQ173" s="386"/>
      <c r="AR173" s="267"/>
      <c r="AS173" s="267"/>
      <c r="AT173" s="267"/>
    </row>
    <row r="174" spans="2:46">
      <c r="B174" s="168">
        <v>3</v>
      </c>
      <c r="C174" s="240" t="s">
        <v>78</v>
      </c>
      <c r="O174" s="1053">
        <v>3</v>
      </c>
      <c r="P174" s="1053"/>
      <c r="Q174" s="1053" t="s">
        <v>79</v>
      </c>
      <c r="R174" s="1053"/>
      <c r="S174" s="1053"/>
      <c r="T174" s="1053"/>
      <c r="U174" s="1053"/>
      <c r="V174" s="1053"/>
      <c r="W174" s="1053"/>
      <c r="X174" s="1053"/>
      <c r="Y174" s="1053"/>
      <c r="Z174" s="1053"/>
      <c r="AD174" s="432" t="s">
        <v>95</v>
      </c>
      <c r="AE174" s="434"/>
      <c r="AF174" s="438"/>
      <c r="AG174" s="1077">
        <f>208.24-9.92</f>
        <v>198.32000000000002</v>
      </c>
      <c r="AH174" s="1077"/>
      <c r="AI174" s="439"/>
      <c r="AJ174" s="1078">
        <f>233.32-AG174</f>
        <v>34.999999999999972</v>
      </c>
      <c r="AK174" s="1078"/>
      <c r="AL174" s="435"/>
      <c r="AM174" s="385"/>
      <c r="AN174" s="385"/>
      <c r="AO174" s="385"/>
      <c r="AP174" s="386"/>
      <c r="AQ174" s="386"/>
      <c r="AR174" s="267"/>
      <c r="AS174" s="267"/>
      <c r="AT174" s="267"/>
    </row>
    <row r="175" spans="2:46">
      <c r="B175" s="381">
        <f>+B174+B173</f>
        <v>28.761904761904759</v>
      </c>
      <c r="C175" s="382" t="s">
        <v>80</v>
      </c>
      <c r="D175" s="393"/>
      <c r="E175" s="394"/>
      <c r="F175" s="395"/>
      <c r="G175" s="393"/>
      <c r="H175" s="393"/>
      <c r="I175" s="395"/>
      <c r="J175" s="393"/>
      <c r="K175" s="396"/>
      <c r="L175" s="396"/>
      <c r="M175" s="383"/>
      <c r="O175" s="1053">
        <f>+O174+O173</f>
        <v>28.761904761904759</v>
      </c>
      <c r="P175" s="1053"/>
      <c r="AD175" s="440"/>
      <c r="AE175" s="436"/>
      <c r="AF175" s="436"/>
      <c r="AG175" s="441" t="s">
        <v>96</v>
      </c>
      <c r="AH175" s="442"/>
      <c r="AI175" s="434"/>
      <c r="AJ175" s="436"/>
      <c r="AK175" s="1079">
        <f>SUM(AJ170:AK174)</f>
        <v>139.99999999999997</v>
      </c>
      <c r="AL175" s="1080"/>
      <c r="AM175" s="387"/>
      <c r="AN175" s="387"/>
      <c r="AO175" s="387"/>
      <c r="AP175" s="397"/>
      <c r="AQ175" s="267"/>
      <c r="AR175" s="267"/>
      <c r="AS175" s="267"/>
      <c r="AT175" s="267"/>
    </row>
    <row r="176" spans="2:46">
      <c r="B176" s="168"/>
      <c r="AD176" s="443"/>
      <c r="AE176" s="444"/>
      <c r="AF176" s="444"/>
      <c r="AG176" s="445"/>
      <c r="AH176" s="446"/>
      <c r="AI176" s="447" t="s">
        <v>97</v>
      </c>
      <c r="AJ176" s="444"/>
      <c r="AK176" s="444"/>
      <c r="AL176" s="448"/>
      <c r="AM176" s="296"/>
      <c r="AN176" s="296"/>
      <c r="AO176" s="296"/>
      <c r="AP176" s="267"/>
      <c r="AQ176" s="267"/>
      <c r="AR176" s="267"/>
      <c r="AS176" s="267"/>
      <c r="AT176" s="267"/>
    </row>
    <row r="177" spans="2:46">
      <c r="B177" s="168">
        <f>+B175*6</f>
        <v>172.57142857142856</v>
      </c>
      <c r="C177" s="240" t="s">
        <v>81</v>
      </c>
      <c r="O177" s="1053" t="s">
        <v>82</v>
      </c>
      <c r="P177" s="1053"/>
      <c r="Q177" s="1053"/>
      <c r="R177" s="1053"/>
      <c r="S177" s="1053"/>
      <c r="T177" s="1053"/>
      <c r="U177" s="1053"/>
      <c r="V177" s="1053"/>
      <c r="W177" s="1053"/>
      <c r="X177" s="1053"/>
      <c r="Y177" s="1053"/>
      <c r="Z177" s="1053"/>
      <c r="AD177" s="296"/>
      <c r="AE177" s="296"/>
      <c r="AF177" s="296"/>
      <c r="AG177" s="296"/>
      <c r="AH177" s="296"/>
      <c r="AI177" s="385"/>
      <c r="AJ177" s="385"/>
      <c r="AK177" s="387"/>
      <c r="AL177" s="555"/>
      <c r="AM177" s="556"/>
      <c r="AN177" s="555"/>
      <c r="AO177" s="296"/>
      <c r="AP177" s="267"/>
      <c r="AQ177" s="267"/>
      <c r="AR177" s="267"/>
      <c r="AS177" s="267"/>
      <c r="AT177" s="267"/>
    </row>
    <row r="178" spans="2:46">
      <c r="B178" s="399">
        <f>+B173</f>
        <v>25.761904761904759</v>
      </c>
      <c r="C178" s="400" t="s">
        <v>83</v>
      </c>
      <c r="D178" s="401"/>
      <c r="E178" s="402"/>
      <c r="F178" s="403"/>
      <c r="G178" s="401"/>
      <c r="H178" s="401"/>
      <c r="I178" s="403"/>
      <c r="J178" s="401"/>
      <c r="K178" s="404"/>
      <c r="L178" s="405"/>
      <c r="O178" s="1053">
        <f>+O170*1.1</f>
        <v>935.00000000000011</v>
      </c>
      <c r="P178" s="1053"/>
      <c r="Q178" s="1053" t="s">
        <v>71</v>
      </c>
      <c r="R178" s="1053"/>
      <c r="S178" s="1053"/>
      <c r="T178" s="1053"/>
      <c r="U178" s="1053"/>
      <c r="V178" s="1053"/>
      <c r="W178" s="1053"/>
      <c r="X178" s="1053"/>
      <c r="Y178" s="1053"/>
      <c r="Z178" s="1053"/>
      <c r="AA178" s="7" t="s">
        <v>84</v>
      </c>
      <c r="AG178" s="267"/>
      <c r="AH178" s="267"/>
      <c r="AI178" s="386"/>
      <c r="AJ178" s="386"/>
      <c r="AK178" s="386"/>
      <c r="AL178" s="267"/>
      <c r="AM178" s="267"/>
      <c r="AN178" s="267"/>
      <c r="AO178" s="267"/>
    </row>
    <row r="179" spans="2:46">
      <c r="B179" s="381">
        <f>+B178+B177</f>
        <v>198.33333333333331</v>
      </c>
      <c r="C179" s="382" t="s">
        <v>85</v>
      </c>
      <c r="D179" s="393"/>
      <c r="E179" s="394"/>
      <c r="F179" s="395"/>
      <c r="G179" s="393"/>
      <c r="H179" s="393"/>
      <c r="I179" s="395"/>
      <c r="J179" s="393"/>
      <c r="K179" s="406"/>
      <c r="L179" s="405"/>
      <c r="O179" s="1053">
        <f>+O178/30*7</f>
        <v>218.16666666666669</v>
      </c>
      <c r="P179" s="1053"/>
      <c r="Q179" s="1053" t="s">
        <v>74</v>
      </c>
      <c r="R179" s="1053"/>
      <c r="S179" s="1053"/>
      <c r="T179" s="1053"/>
      <c r="U179" s="1053"/>
      <c r="V179" s="1053"/>
      <c r="W179" s="1053"/>
      <c r="X179" s="1053"/>
      <c r="Y179" s="1053"/>
      <c r="Z179" s="1053"/>
      <c r="AA179" s="1064">
        <f>+O179*0.87</f>
        <v>189.80500000000001</v>
      </c>
      <c r="AB179" s="1064"/>
      <c r="AG179" s="267"/>
      <c r="AH179" s="267"/>
      <c r="AI179" s="386"/>
      <c r="AJ179" s="386"/>
      <c r="AK179" s="407"/>
      <c r="AL179" s="267"/>
      <c r="AM179" s="267"/>
      <c r="AN179" s="267"/>
      <c r="AO179" s="267"/>
    </row>
    <row r="180" spans="2:46">
      <c r="B180" s="408"/>
      <c r="C180" s="409"/>
      <c r="D180" s="333"/>
      <c r="E180" s="410"/>
      <c r="F180" s="411"/>
      <c r="G180" s="333"/>
      <c r="H180" s="333"/>
      <c r="I180" s="411"/>
      <c r="J180" s="333"/>
      <c r="K180" s="405"/>
      <c r="L180" s="405"/>
      <c r="O180" s="1053">
        <f>+O179/7</f>
        <v>31.166666666666668</v>
      </c>
      <c r="P180" s="1053"/>
      <c r="Q180" s="1053" t="s">
        <v>75</v>
      </c>
      <c r="R180" s="1053"/>
      <c r="S180" s="1053"/>
      <c r="T180" s="1053"/>
      <c r="U180" s="1053"/>
      <c r="V180" s="1053"/>
      <c r="W180" s="1053"/>
      <c r="X180" s="1053"/>
      <c r="Y180" s="1053"/>
      <c r="Z180" s="1053"/>
      <c r="AG180" s="267"/>
      <c r="AH180" s="267"/>
      <c r="AI180" s="412"/>
      <c r="AJ180" s="413"/>
      <c r="AK180" s="407"/>
      <c r="AL180" s="267"/>
      <c r="AM180" s="267"/>
      <c r="AN180" s="267"/>
      <c r="AO180" s="267"/>
    </row>
    <row r="181" spans="2:46">
      <c r="B181" s="449">
        <f>+B179/7</f>
        <v>28.333333333333332</v>
      </c>
      <c r="C181" s="450" t="s">
        <v>86</v>
      </c>
      <c r="F181" s="411"/>
      <c r="G181" s="333"/>
      <c r="H181" s="333"/>
      <c r="I181" s="411"/>
      <c r="J181" s="333"/>
      <c r="K181" s="405"/>
      <c r="L181" s="405"/>
      <c r="O181" s="1065">
        <f>(O179-18)/7</f>
        <v>28.595238095238098</v>
      </c>
      <c r="P181" s="1065"/>
      <c r="Q181" s="1065" t="s">
        <v>77</v>
      </c>
      <c r="R181" s="1065"/>
      <c r="S181" s="1065"/>
      <c r="T181" s="1065"/>
      <c r="U181" s="1065"/>
      <c r="V181" s="1065"/>
      <c r="W181" s="1065"/>
      <c r="X181" s="1065"/>
      <c r="Y181" s="1065"/>
      <c r="Z181" s="1065"/>
      <c r="AG181" s="267"/>
      <c r="AH181" s="267"/>
      <c r="AI181" s="267"/>
      <c r="AJ181" s="267"/>
      <c r="AK181" s="407"/>
      <c r="AL181" s="267"/>
      <c r="AM181" s="267"/>
      <c r="AN181" s="267"/>
      <c r="AO181" s="267"/>
    </row>
    <row r="182" spans="2:46">
      <c r="B182" s="408"/>
      <c r="C182" s="409"/>
      <c r="D182" s="333"/>
      <c r="E182" s="410"/>
      <c r="F182" s="411"/>
      <c r="G182" s="333"/>
      <c r="H182" s="333"/>
      <c r="I182" s="411"/>
      <c r="J182" s="333"/>
      <c r="K182" s="405"/>
      <c r="L182" s="405"/>
      <c r="O182" s="1053">
        <v>3</v>
      </c>
      <c r="P182" s="1053"/>
      <c r="Q182" s="1053" t="s">
        <v>79</v>
      </c>
      <c r="R182" s="1053"/>
      <c r="S182" s="1053"/>
      <c r="T182" s="1053"/>
      <c r="U182" s="1053"/>
      <c r="V182" s="1053"/>
      <c r="W182" s="1053"/>
      <c r="X182" s="1053"/>
      <c r="Y182" s="1053"/>
      <c r="Z182" s="1053"/>
      <c r="AG182" s="267"/>
      <c r="AH182" s="267"/>
      <c r="AI182" s="267"/>
      <c r="AJ182" s="267"/>
      <c r="AK182" s="267"/>
      <c r="AL182" s="267"/>
      <c r="AM182" s="267"/>
      <c r="AN182" s="267"/>
      <c r="AO182" s="267"/>
    </row>
    <row r="183" spans="2:46">
      <c r="B183" s="408"/>
      <c r="C183" s="409"/>
      <c r="D183" s="333"/>
      <c r="E183" s="410"/>
      <c r="F183" s="411"/>
      <c r="G183" s="333"/>
      <c r="H183" s="333"/>
      <c r="I183" s="411"/>
      <c r="J183" s="333"/>
      <c r="K183" s="405"/>
      <c r="L183" s="405"/>
      <c r="O183" s="1053">
        <f>+O182+O181</f>
        <v>31.595238095238098</v>
      </c>
      <c r="P183" s="1053"/>
      <c r="AG183" s="267"/>
      <c r="AH183" s="267"/>
      <c r="AI183" s="267"/>
      <c r="AJ183" s="267"/>
      <c r="AK183" s="267"/>
      <c r="AL183" s="267"/>
      <c r="AM183" s="267"/>
      <c r="AN183" s="267"/>
      <c r="AO183" s="267"/>
    </row>
    <row r="184" spans="2:46">
      <c r="B184" s="168"/>
      <c r="AG184" s="267"/>
      <c r="AH184" s="267"/>
      <c r="AI184" s="267"/>
      <c r="AJ184" s="267"/>
      <c r="AK184" s="267"/>
      <c r="AL184" s="267"/>
      <c r="AM184" s="267"/>
      <c r="AN184" s="267"/>
      <c r="AO184" s="267"/>
    </row>
    <row r="185" spans="2:46">
      <c r="AG185" s="267"/>
      <c r="AH185" s="267"/>
      <c r="AI185" s="267"/>
      <c r="AJ185" s="267"/>
      <c r="AK185" s="267"/>
      <c r="AL185" s="267"/>
      <c r="AM185" s="267"/>
      <c r="AN185" s="267"/>
      <c r="AO185" s="267"/>
    </row>
    <row r="186" spans="2:46" ht="15.75" thickBot="1">
      <c r="AG186" s="267"/>
      <c r="AH186" s="267"/>
      <c r="AI186" s="267"/>
      <c r="AJ186" s="267"/>
      <c r="AK186" s="267"/>
      <c r="AL186" s="267"/>
      <c r="AM186" s="267"/>
      <c r="AN186" s="267"/>
      <c r="AO186" s="267"/>
    </row>
    <row r="187" spans="2:46" ht="17.25" thickTop="1" thickBot="1">
      <c r="B187" s="451">
        <f>850+80</f>
        <v>930</v>
      </c>
      <c r="C187" s="452" t="s">
        <v>67</v>
      </c>
      <c r="D187" s="453"/>
      <c r="E187" s="454" t="s">
        <v>98</v>
      </c>
      <c r="F187" s="455"/>
      <c r="G187" s="453"/>
      <c r="H187" s="453"/>
      <c r="I187" s="455"/>
      <c r="J187" s="453"/>
      <c r="K187" s="456"/>
      <c r="L187" s="456"/>
      <c r="M187" s="453"/>
      <c r="N187" s="453"/>
      <c r="O187" s="453"/>
      <c r="P187" s="453"/>
      <c r="Q187" s="453"/>
      <c r="R187" s="453"/>
      <c r="S187" s="453"/>
      <c r="T187" s="453"/>
      <c r="U187" s="453"/>
      <c r="V187" s="453"/>
      <c r="W187" s="453"/>
      <c r="X187" s="453"/>
      <c r="Y187" s="453"/>
      <c r="Z187" s="453"/>
      <c r="AA187" s="457"/>
      <c r="AB187" s="457"/>
      <c r="AC187" s="458"/>
      <c r="AD187" s="296"/>
      <c r="AE187" s="296"/>
      <c r="AF187" s="296"/>
      <c r="AG187" s="296"/>
      <c r="AH187" s="296"/>
      <c r="AI187" s="296"/>
      <c r="AJ187" s="296"/>
      <c r="AK187" s="296"/>
      <c r="AL187" s="296"/>
      <c r="AM187" s="296"/>
      <c r="AN187" s="296"/>
      <c r="AO187" s="296"/>
      <c r="AP187" s="267"/>
      <c r="AQ187" s="267"/>
      <c r="AR187" s="267"/>
      <c r="AS187" s="267"/>
      <c r="AT187" s="267"/>
    </row>
    <row r="188" spans="2:46" ht="15.75">
      <c r="B188" s="459">
        <f>+B187/30*7</f>
        <v>217</v>
      </c>
      <c r="C188" s="409" t="s">
        <v>68</v>
      </c>
      <c r="D188" s="460"/>
      <c r="E188" s="410"/>
      <c r="F188" s="411"/>
      <c r="G188" s="333"/>
      <c r="H188" s="333"/>
      <c r="I188" s="411"/>
      <c r="J188" s="333"/>
      <c r="K188" s="405"/>
      <c r="L188" s="405"/>
      <c r="M188" s="333"/>
      <c r="N188" s="333"/>
      <c r="O188" s="1053" t="s">
        <v>69</v>
      </c>
      <c r="P188" s="1053"/>
      <c r="Q188" s="1053"/>
      <c r="R188" s="1053"/>
      <c r="S188" s="1053"/>
      <c r="T188" s="1053"/>
      <c r="U188" s="1053"/>
      <c r="V188" s="1053"/>
      <c r="W188" s="1053"/>
      <c r="X188" s="1053"/>
      <c r="Y188" s="1053"/>
      <c r="Z188" s="1053"/>
      <c r="AA188" s="167"/>
      <c r="AB188" s="167"/>
      <c r="AC188" s="461"/>
      <c r="AD188" s="296"/>
      <c r="AE188" s="556"/>
      <c r="AF188" s="556"/>
      <c r="AG188" s="296"/>
      <c r="AH188" s="296"/>
      <c r="AI188" s="296"/>
      <c r="AJ188" s="556"/>
      <c r="AK188" s="556"/>
      <c r="AL188" s="296"/>
      <c r="AM188" s="296"/>
      <c r="AN188" s="296"/>
      <c r="AO188" s="296"/>
      <c r="AP188" s="267"/>
      <c r="AQ188" s="267"/>
      <c r="AR188" s="267"/>
      <c r="AS188" s="267"/>
      <c r="AT188" s="267"/>
    </row>
    <row r="189" spans="2:46">
      <c r="B189" s="459">
        <f>+B188-18</f>
        <v>199</v>
      </c>
      <c r="C189" s="409" t="s">
        <v>70</v>
      </c>
      <c r="D189" s="333"/>
      <c r="E189" s="410"/>
      <c r="F189" s="411"/>
      <c r="G189" s="333"/>
      <c r="H189" s="333"/>
      <c r="I189" s="411"/>
      <c r="J189" s="333"/>
      <c r="K189" s="405"/>
      <c r="L189" s="405"/>
      <c r="M189" s="333"/>
      <c r="N189" s="333"/>
      <c r="O189" s="1053">
        <f>+B187</f>
        <v>930</v>
      </c>
      <c r="P189" s="1053"/>
      <c r="Q189" s="1053" t="s">
        <v>71</v>
      </c>
      <c r="R189" s="1053"/>
      <c r="S189" s="1053"/>
      <c r="T189" s="1053"/>
      <c r="U189" s="1053"/>
      <c r="V189" s="1053"/>
      <c r="W189" s="1053"/>
      <c r="X189" s="1053"/>
      <c r="Y189" s="1053"/>
      <c r="Z189" s="1053"/>
      <c r="AA189" s="167" t="s">
        <v>72</v>
      </c>
      <c r="AB189" s="167"/>
      <c r="AC189" s="461"/>
      <c r="AD189" s="296"/>
      <c r="AE189" s="556"/>
      <c r="AF189" s="556"/>
      <c r="AG189" s="296"/>
      <c r="AH189" s="296"/>
      <c r="AI189" s="296"/>
      <c r="AJ189" s="556"/>
      <c r="AK189" s="556"/>
      <c r="AL189" s="296"/>
      <c r="AM189" s="296"/>
      <c r="AN189" s="296"/>
      <c r="AO189" s="296"/>
      <c r="AP189" s="267"/>
      <c r="AQ189" s="267"/>
      <c r="AR189" s="267"/>
      <c r="AS189" s="267"/>
      <c r="AT189" s="267"/>
    </row>
    <row r="190" spans="2:46">
      <c r="B190" s="462">
        <f>+B189/7</f>
        <v>28.428571428571427</v>
      </c>
      <c r="C190" s="382" t="s">
        <v>73</v>
      </c>
      <c r="D190" s="383"/>
      <c r="E190" s="410"/>
      <c r="F190" s="411"/>
      <c r="G190" s="333"/>
      <c r="H190" s="333"/>
      <c r="I190" s="411"/>
      <c r="J190" s="333"/>
      <c r="K190" s="405"/>
      <c r="L190" s="405"/>
      <c r="M190" s="333"/>
      <c r="N190" s="333"/>
      <c r="O190" s="1053">
        <f>+O189/30*7</f>
        <v>217</v>
      </c>
      <c r="P190" s="1053"/>
      <c r="Q190" s="1053" t="s">
        <v>74</v>
      </c>
      <c r="R190" s="1053"/>
      <c r="S190" s="1053"/>
      <c r="T190" s="1053"/>
      <c r="U190" s="1053"/>
      <c r="V190" s="1053"/>
      <c r="W190" s="1053"/>
      <c r="X190" s="1053"/>
      <c r="Y190" s="1053"/>
      <c r="Z190" s="1053"/>
      <c r="AA190" s="1064">
        <f>+O190*0.87</f>
        <v>188.79</v>
      </c>
      <c r="AB190" s="1064"/>
      <c r="AC190" s="461"/>
      <c r="AD190" s="296"/>
      <c r="AE190" s="384"/>
      <c r="AF190" s="384"/>
      <c r="AG190" s="296"/>
      <c r="AH190" s="296"/>
      <c r="AI190" s="296"/>
      <c r="AJ190" s="384"/>
      <c r="AK190" s="384"/>
      <c r="AL190" s="385"/>
      <c r="AM190" s="385"/>
      <c r="AN190" s="385"/>
      <c r="AO190" s="385"/>
      <c r="AP190" s="386"/>
      <c r="AQ190" s="386"/>
      <c r="AR190" s="267"/>
      <c r="AS190" s="267"/>
      <c r="AT190" s="267"/>
    </row>
    <row r="191" spans="2:46">
      <c r="B191" s="463"/>
      <c r="C191" s="333"/>
      <c r="D191" s="333"/>
      <c r="E191" s="410"/>
      <c r="F191" s="411"/>
      <c r="G191" s="333"/>
      <c r="H191" s="333"/>
      <c r="I191" s="411"/>
      <c r="J191" s="333"/>
      <c r="K191" s="405"/>
      <c r="L191" s="405"/>
      <c r="M191" s="333"/>
      <c r="N191" s="333"/>
      <c r="O191" s="1053">
        <f>+O190/7</f>
        <v>31</v>
      </c>
      <c r="P191" s="1053"/>
      <c r="Q191" s="1053" t="s">
        <v>75</v>
      </c>
      <c r="R191" s="1053"/>
      <c r="S191" s="1053"/>
      <c r="T191" s="1053"/>
      <c r="U191" s="1053"/>
      <c r="V191" s="1053"/>
      <c r="W191" s="1053"/>
      <c r="X191" s="1053"/>
      <c r="Y191" s="1053"/>
      <c r="Z191" s="1053"/>
      <c r="AA191" s="167"/>
      <c r="AB191" s="167"/>
      <c r="AC191" s="461"/>
      <c r="AD191" s="296"/>
      <c r="AE191" s="556"/>
      <c r="AF191" s="556"/>
      <c r="AG191" s="296"/>
      <c r="AH191" s="296"/>
      <c r="AI191" s="296"/>
      <c r="AJ191" s="556"/>
      <c r="AK191" s="556"/>
      <c r="AL191" s="387"/>
      <c r="AM191" s="387"/>
      <c r="AN191" s="385"/>
      <c r="AO191" s="385"/>
      <c r="AP191" s="386"/>
      <c r="AQ191" s="386"/>
      <c r="AR191" s="267"/>
      <c r="AS191" s="267"/>
      <c r="AT191" s="267"/>
    </row>
    <row r="192" spans="2:46" ht="15.75">
      <c r="B192" s="464">
        <f>+B190</f>
        <v>28.428571428571427</v>
      </c>
      <c r="C192" s="465" t="s">
        <v>76</v>
      </c>
      <c r="D192" s="418"/>
      <c r="E192" s="418"/>
      <c r="F192" s="418"/>
      <c r="G192" s="333"/>
      <c r="H192" s="333"/>
      <c r="I192" s="411"/>
      <c r="J192" s="333"/>
      <c r="K192" s="405"/>
      <c r="L192" s="405"/>
      <c r="M192" s="333"/>
      <c r="N192" s="333"/>
      <c r="O192" s="1065">
        <f>(O190-18)/7</f>
        <v>28.428571428571427</v>
      </c>
      <c r="P192" s="1065"/>
      <c r="Q192" s="1065" t="s">
        <v>77</v>
      </c>
      <c r="R192" s="1065"/>
      <c r="S192" s="1065"/>
      <c r="T192" s="1065"/>
      <c r="U192" s="1065"/>
      <c r="V192" s="1065"/>
      <c r="W192" s="1065"/>
      <c r="X192" s="1065"/>
      <c r="Y192" s="1065"/>
      <c r="Z192" s="1065"/>
      <c r="AA192" s="167"/>
      <c r="AB192" s="167"/>
      <c r="AC192" s="461"/>
      <c r="AD192" s="296"/>
      <c r="AE192" s="391"/>
      <c r="AF192" s="391"/>
      <c r="AG192" s="392"/>
      <c r="AH192" s="392"/>
      <c r="AI192" s="392"/>
      <c r="AJ192" s="391"/>
      <c r="AK192" s="391"/>
      <c r="AL192" s="385"/>
      <c r="AM192" s="385"/>
      <c r="AN192" s="385"/>
      <c r="AO192" s="385"/>
      <c r="AP192" s="386"/>
      <c r="AQ192" s="386"/>
      <c r="AR192" s="267"/>
      <c r="AS192" s="267"/>
      <c r="AT192" s="267"/>
    </row>
    <row r="193" spans="2:50">
      <c r="B193" s="459">
        <v>3</v>
      </c>
      <c r="C193" s="409" t="s">
        <v>78</v>
      </c>
      <c r="D193" s="333"/>
      <c r="E193" s="410"/>
      <c r="F193" s="411"/>
      <c r="G193" s="333"/>
      <c r="H193" s="333"/>
      <c r="I193" s="411"/>
      <c r="J193" s="333"/>
      <c r="K193" s="405"/>
      <c r="L193" s="405"/>
      <c r="M193" s="333"/>
      <c r="N193" s="333"/>
      <c r="O193" s="1053">
        <v>3</v>
      </c>
      <c r="P193" s="1053"/>
      <c r="Q193" s="1053" t="s">
        <v>79</v>
      </c>
      <c r="R193" s="1053"/>
      <c r="S193" s="1053"/>
      <c r="T193" s="1053"/>
      <c r="U193" s="1053"/>
      <c r="V193" s="1053"/>
      <c r="W193" s="1053"/>
      <c r="X193" s="1053"/>
      <c r="Y193" s="1053"/>
      <c r="Z193" s="1053"/>
      <c r="AA193" s="167"/>
      <c r="AB193" s="167"/>
      <c r="AC193" s="461"/>
      <c r="AD193" s="296"/>
      <c r="AE193" s="296"/>
      <c r="AF193" s="391"/>
      <c r="AG193" s="392"/>
      <c r="AH193" s="392"/>
      <c r="AI193" s="392"/>
      <c r="AJ193" s="391"/>
      <c r="AK193" s="391"/>
      <c r="AL193" s="385"/>
      <c r="AM193" s="385"/>
      <c r="AN193" s="385"/>
      <c r="AO193" s="385"/>
      <c r="AP193" s="386"/>
      <c r="AQ193" s="386"/>
      <c r="AR193" s="267"/>
      <c r="AS193" s="267"/>
      <c r="AT193" s="267"/>
    </row>
    <row r="194" spans="2:50">
      <c r="B194" s="462">
        <f>+B193+B192</f>
        <v>31.428571428571427</v>
      </c>
      <c r="C194" s="382" t="s">
        <v>80</v>
      </c>
      <c r="D194" s="393"/>
      <c r="E194" s="394"/>
      <c r="F194" s="395"/>
      <c r="G194" s="393"/>
      <c r="H194" s="393"/>
      <c r="I194" s="395"/>
      <c r="J194" s="393"/>
      <c r="K194" s="396"/>
      <c r="L194" s="396"/>
      <c r="M194" s="383"/>
      <c r="N194" s="333"/>
      <c r="O194" s="1053">
        <f>+O193+O192</f>
        <v>31.428571428571427</v>
      </c>
      <c r="P194" s="105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167"/>
      <c r="AB194" s="167"/>
      <c r="AC194" s="461"/>
      <c r="AD194" s="296"/>
      <c r="AE194" s="556"/>
      <c r="AF194" s="556"/>
      <c r="AG194" s="296"/>
      <c r="AH194" s="296"/>
      <c r="AI194" s="296"/>
      <c r="AJ194" s="556"/>
      <c r="AK194" s="556"/>
      <c r="AL194" s="387"/>
      <c r="AM194" s="387"/>
      <c r="AN194" s="387"/>
      <c r="AO194" s="387"/>
      <c r="AP194" s="397"/>
      <c r="AQ194" s="267"/>
      <c r="AR194" s="267"/>
      <c r="AS194" s="267"/>
      <c r="AT194" s="267"/>
    </row>
    <row r="195" spans="2:50">
      <c r="B195" s="459"/>
      <c r="C195" s="333"/>
      <c r="D195" s="333"/>
      <c r="E195" s="410"/>
      <c r="F195" s="411"/>
      <c r="G195" s="333"/>
      <c r="H195" s="333"/>
      <c r="I195" s="411"/>
      <c r="J195" s="333"/>
      <c r="K195" s="405"/>
      <c r="L195" s="405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167"/>
      <c r="AB195" s="167"/>
      <c r="AC195" s="461"/>
      <c r="AD195" s="296"/>
      <c r="AE195" s="398"/>
      <c r="AF195" s="398"/>
      <c r="AG195" s="398"/>
      <c r="AH195" s="296"/>
      <c r="AI195" s="296"/>
      <c r="AJ195" s="398"/>
      <c r="AK195" s="398"/>
      <c r="AL195" s="385"/>
      <c r="AM195" s="296"/>
      <c r="AN195" s="296"/>
      <c r="AO195" s="296"/>
      <c r="AP195" s="267"/>
      <c r="AQ195" s="267"/>
      <c r="AR195" s="267"/>
      <c r="AS195" s="267"/>
      <c r="AT195" s="267"/>
    </row>
    <row r="196" spans="2:50">
      <c r="B196" s="459">
        <f>+B194*6</f>
        <v>188.57142857142856</v>
      </c>
      <c r="C196" s="409" t="s">
        <v>81</v>
      </c>
      <c r="D196" s="333"/>
      <c r="E196" s="410"/>
      <c r="F196" s="411"/>
      <c r="G196" s="333"/>
      <c r="H196" s="333"/>
      <c r="I196" s="411"/>
      <c r="J196" s="333"/>
      <c r="K196" s="405"/>
      <c r="L196" s="405"/>
      <c r="M196" s="333"/>
      <c r="N196" s="333"/>
      <c r="O196" s="1053" t="s">
        <v>82</v>
      </c>
      <c r="P196" s="1053"/>
      <c r="Q196" s="1053"/>
      <c r="R196" s="1053"/>
      <c r="S196" s="1053"/>
      <c r="T196" s="1053"/>
      <c r="U196" s="1053"/>
      <c r="V196" s="1053"/>
      <c r="W196" s="1053"/>
      <c r="X196" s="1053"/>
      <c r="Y196" s="1053"/>
      <c r="Z196" s="1053"/>
      <c r="AA196" s="167"/>
      <c r="AB196" s="167"/>
      <c r="AC196" s="461"/>
      <c r="AD196" s="296"/>
      <c r="AE196" s="296"/>
      <c r="AF196" s="296"/>
      <c r="AG196" s="296"/>
      <c r="AH196" s="296"/>
      <c r="AI196" s="385"/>
      <c r="AJ196" s="385"/>
      <c r="AK196" s="387"/>
      <c r="AL196" s="555"/>
      <c r="AM196" s="556"/>
      <c r="AN196" s="555"/>
      <c r="AO196" s="296"/>
      <c r="AP196" s="267"/>
      <c r="AQ196" s="267"/>
      <c r="AR196" s="267"/>
      <c r="AS196" s="267"/>
      <c r="AT196" s="267"/>
    </row>
    <row r="197" spans="2:50">
      <c r="B197" s="466">
        <f>+B192</f>
        <v>28.428571428571427</v>
      </c>
      <c r="C197" s="400" t="s">
        <v>83</v>
      </c>
      <c r="D197" s="401"/>
      <c r="E197" s="402"/>
      <c r="F197" s="403"/>
      <c r="G197" s="401"/>
      <c r="H197" s="401"/>
      <c r="I197" s="403"/>
      <c r="J197" s="401"/>
      <c r="K197" s="404"/>
      <c r="L197" s="405"/>
      <c r="M197" s="333"/>
      <c r="N197" s="333"/>
      <c r="O197" s="1053">
        <f>+O189*1.1</f>
        <v>1023.0000000000001</v>
      </c>
      <c r="P197" s="1053"/>
      <c r="Q197" s="1053" t="s">
        <v>71</v>
      </c>
      <c r="R197" s="1053"/>
      <c r="S197" s="1053"/>
      <c r="T197" s="1053"/>
      <c r="U197" s="1053"/>
      <c r="V197" s="1053"/>
      <c r="W197" s="1053"/>
      <c r="X197" s="1053"/>
      <c r="Y197" s="1053"/>
      <c r="Z197" s="1053"/>
      <c r="AA197" s="167" t="s">
        <v>84</v>
      </c>
      <c r="AB197" s="167"/>
      <c r="AC197" s="461"/>
      <c r="AG197" s="267"/>
      <c r="AH197" s="267"/>
      <c r="AI197" s="386"/>
      <c r="AJ197" s="386"/>
      <c r="AK197" s="386"/>
      <c r="AL197" s="267"/>
      <c r="AM197" s="267"/>
      <c r="AN197" s="267"/>
      <c r="AO197" s="267"/>
    </row>
    <row r="198" spans="2:50">
      <c r="B198" s="462">
        <f>+B197+B196</f>
        <v>216.99999999999997</v>
      </c>
      <c r="C198" s="382" t="s">
        <v>85</v>
      </c>
      <c r="D198" s="393"/>
      <c r="E198" s="394"/>
      <c r="F198" s="395"/>
      <c r="G198" s="393"/>
      <c r="H198" s="393"/>
      <c r="I198" s="395"/>
      <c r="J198" s="393"/>
      <c r="K198" s="406"/>
      <c r="L198" s="405"/>
      <c r="M198" s="333"/>
      <c r="N198" s="333"/>
      <c r="O198" s="1053">
        <f>+O197/30*7</f>
        <v>238.70000000000002</v>
      </c>
      <c r="P198" s="1053"/>
      <c r="Q198" s="1053" t="s">
        <v>74</v>
      </c>
      <c r="R198" s="1053"/>
      <c r="S198" s="1053"/>
      <c r="T198" s="1053"/>
      <c r="U198" s="1053"/>
      <c r="V198" s="1053"/>
      <c r="W198" s="1053"/>
      <c r="X198" s="1053"/>
      <c r="Y198" s="1053"/>
      <c r="Z198" s="1053"/>
      <c r="AA198" s="1064">
        <f>+O198*0.87</f>
        <v>207.66900000000001</v>
      </c>
      <c r="AB198" s="1064"/>
      <c r="AC198" s="461"/>
      <c r="AG198" s="267"/>
      <c r="AH198" s="267"/>
      <c r="AI198" s="386"/>
      <c r="AJ198" s="386"/>
      <c r="AK198" s="407"/>
      <c r="AL198" s="267"/>
      <c r="AM198" s="267"/>
      <c r="AN198" s="267"/>
      <c r="AO198" s="267"/>
    </row>
    <row r="199" spans="2:50">
      <c r="B199" s="459"/>
      <c r="C199" s="409"/>
      <c r="D199" s="333"/>
      <c r="E199" s="410"/>
      <c r="F199" s="411"/>
      <c r="G199" s="333"/>
      <c r="H199" s="333"/>
      <c r="I199" s="411"/>
      <c r="J199" s="333"/>
      <c r="K199" s="405"/>
      <c r="L199" s="405"/>
      <c r="M199" s="333"/>
      <c r="N199" s="333"/>
      <c r="O199" s="1053">
        <f>+O198/7</f>
        <v>34.1</v>
      </c>
      <c r="P199" s="1053"/>
      <c r="Q199" s="1053" t="s">
        <v>75</v>
      </c>
      <c r="R199" s="1053"/>
      <c r="S199" s="1053"/>
      <c r="T199" s="1053"/>
      <c r="U199" s="1053"/>
      <c r="V199" s="1053"/>
      <c r="W199" s="1053"/>
      <c r="X199" s="1053"/>
      <c r="Y199" s="1053"/>
      <c r="Z199" s="1053"/>
      <c r="AA199" s="167"/>
      <c r="AB199" s="167"/>
      <c r="AC199" s="461"/>
      <c r="AG199" s="267"/>
      <c r="AH199" s="267"/>
      <c r="AI199" s="412"/>
      <c r="AJ199" s="413"/>
      <c r="AK199" s="407"/>
      <c r="AL199" s="267"/>
      <c r="AM199" s="267"/>
      <c r="AN199" s="267"/>
      <c r="AO199" s="267"/>
    </row>
    <row r="200" spans="2:50">
      <c r="B200" s="467">
        <f>+B198/7</f>
        <v>30.999999999999996</v>
      </c>
      <c r="C200" s="468" t="s">
        <v>86</v>
      </c>
      <c r="D200" s="333"/>
      <c r="E200" s="410"/>
      <c r="F200" s="411"/>
      <c r="G200" s="333"/>
      <c r="H200" s="333"/>
      <c r="I200" s="411"/>
      <c r="J200" s="333"/>
      <c r="K200" s="405"/>
      <c r="L200" s="405"/>
      <c r="M200" s="333"/>
      <c r="N200" s="333"/>
      <c r="O200" s="1065">
        <f>(O198-18)/7</f>
        <v>31.528571428571432</v>
      </c>
      <c r="P200" s="1065"/>
      <c r="Q200" s="1065" t="s">
        <v>77</v>
      </c>
      <c r="R200" s="1065"/>
      <c r="S200" s="1065"/>
      <c r="T200" s="1065"/>
      <c r="U200" s="1065"/>
      <c r="V200" s="1065"/>
      <c r="W200" s="1065"/>
      <c r="X200" s="1065"/>
      <c r="Y200" s="1065"/>
      <c r="Z200" s="1065"/>
      <c r="AA200" s="167"/>
      <c r="AB200" s="167"/>
      <c r="AC200" s="461"/>
      <c r="AG200" s="267"/>
      <c r="AH200" s="267"/>
      <c r="AI200" s="267"/>
      <c r="AJ200" s="267"/>
      <c r="AK200" s="407"/>
      <c r="AL200" s="267"/>
      <c r="AM200" s="267"/>
      <c r="AN200" s="267"/>
      <c r="AO200" s="267"/>
    </row>
    <row r="201" spans="2:50">
      <c r="B201" s="459"/>
      <c r="C201" s="409"/>
      <c r="D201" s="333"/>
      <c r="E201" s="410"/>
      <c r="F201" s="411"/>
      <c r="G201" s="333"/>
      <c r="H201" s="333"/>
      <c r="I201" s="411"/>
      <c r="J201" s="333"/>
      <c r="K201" s="405"/>
      <c r="L201" s="405"/>
      <c r="M201" s="333"/>
      <c r="N201" s="333"/>
      <c r="O201" s="1053">
        <v>3</v>
      </c>
      <c r="P201" s="1053"/>
      <c r="Q201" s="1053" t="s">
        <v>79</v>
      </c>
      <c r="R201" s="1053"/>
      <c r="S201" s="1053"/>
      <c r="T201" s="1053"/>
      <c r="U201" s="1053"/>
      <c r="V201" s="1053"/>
      <c r="W201" s="1053"/>
      <c r="X201" s="1053"/>
      <c r="Y201" s="1053"/>
      <c r="Z201" s="1053"/>
      <c r="AA201" s="167"/>
      <c r="AB201" s="167"/>
      <c r="AC201" s="461"/>
      <c r="AG201" s="267"/>
      <c r="AH201" s="267"/>
      <c r="AI201" s="267"/>
      <c r="AJ201" s="267"/>
      <c r="AK201" s="267"/>
      <c r="AL201" s="267"/>
      <c r="AM201" s="267"/>
      <c r="AN201" s="267"/>
      <c r="AO201" s="267"/>
    </row>
    <row r="202" spans="2:50" ht="15.75" thickBot="1">
      <c r="B202" s="469"/>
      <c r="C202" s="470"/>
      <c r="D202" s="471"/>
      <c r="E202" s="472"/>
      <c r="F202" s="473"/>
      <c r="G202" s="471"/>
      <c r="H202" s="471"/>
      <c r="I202" s="473"/>
      <c r="J202" s="471"/>
      <c r="K202" s="474"/>
      <c r="L202" s="474"/>
      <c r="M202" s="471"/>
      <c r="N202" s="471"/>
      <c r="O202" s="1081">
        <f>+O201+O200</f>
        <v>34.528571428571432</v>
      </c>
      <c r="P202" s="1081"/>
      <c r="Q202" s="471"/>
      <c r="R202" s="471"/>
      <c r="S202" s="471"/>
      <c r="T202" s="471"/>
      <c r="U202" s="471"/>
      <c r="V202" s="471"/>
      <c r="W202" s="471"/>
      <c r="X202" s="471"/>
      <c r="Y202" s="471"/>
      <c r="Z202" s="471"/>
      <c r="AA202" s="475"/>
      <c r="AB202" s="475"/>
      <c r="AC202" s="476"/>
      <c r="AG202" s="267"/>
      <c r="AH202" s="267"/>
      <c r="AI202" s="267"/>
      <c r="AJ202" s="267"/>
      <c r="AK202" s="267"/>
      <c r="AL202" s="267"/>
      <c r="AM202" s="267"/>
      <c r="AN202" s="267"/>
      <c r="AO202" s="267"/>
    </row>
    <row r="203" spans="2:50" ht="15.75" thickTop="1">
      <c r="B203" s="168"/>
      <c r="AG203" s="267"/>
      <c r="AH203" s="267"/>
      <c r="AI203" s="267"/>
      <c r="AJ203" s="267"/>
      <c r="AK203" s="267"/>
      <c r="AL203" s="267"/>
      <c r="AM203" s="267"/>
      <c r="AN203" s="267"/>
      <c r="AO203" s="267"/>
    </row>
    <row r="204" spans="2:50" ht="3" customHeight="1">
      <c r="Q204" s="308"/>
      <c r="R204" s="309"/>
      <c r="S204" s="310"/>
      <c r="T204" s="311"/>
      <c r="AA204" s="3"/>
      <c r="AB204" s="256"/>
      <c r="AC204" s="256"/>
      <c r="AD204" s="256"/>
      <c r="AE204" s="256"/>
      <c r="AF204" s="256"/>
      <c r="AG204" s="256"/>
      <c r="AH204" s="256"/>
      <c r="AI204" s="256"/>
      <c r="AJ204" s="256"/>
      <c r="AK204" s="256"/>
      <c r="AL204" s="256"/>
      <c r="AM204" s="254"/>
      <c r="AN204" s="254"/>
      <c r="AO204" s="254"/>
      <c r="AP204" s="254"/>
      <c r="AQ204" s="253"/>
      <c r="AS204" s="255"/>
      <c r="AT204" s="255"/>
      <c r="AX204" s="257"/>
    </row>
    <row r="205" spans="2:50" ht="14.1" customHeight="1">
      <c r="B205" s="7" t="s">
        <v>29</v>
      </c>
      <c r="C205" s="997" t="s">
        <v>30</v>
      </c>
      <c r="D205" s="997"/>
      <c r="E205" s="997" t="s">
        <v>31</v>
      </c>
      <c r="F205" s="997"/>
      <c r="G205" s="998" t="s">
        <v>32</v>
      </c>
      <c r="H205" s="999"/>
      <c r="I205" s="1004" t="s">
        <v>33</v>
      </c>
      <c r="J205" s="1005"/>
      <c r="K205" s="1006" t="s">
        <v>34</v>
      </c>
      <c r="L205" s="1006"/>
      <c r="M205" s="6"/>
      <c r="N205" s="1007" t="s">
        <v>35</v>
      </c>
      <c r="O205" s="1007"/>
      <c r="P205" s="6"/>
      <c r="Q205" s="1008" t="s">
        <v>36</v>
      </c>
      <c r="R205" s="1009"/>
      <c r="U205" s="1019" t="s">
        <v>37</v>
      </c>
      <c r="V205" s="1022" t="s">
        <v>38</v>
      </c>
      <c r="W205" s="1025" t="s">
        <v>39</v>
      </c>
      <c r="X205" s="983" t="s">
        <v>40</v>
      </c>
      <c r="AA205" s="3"/>
      <c r="AB205" s="256"/>
      <c r="AC205" s="256"/>
      <c r="AD205" s="256"/>
      <c r="AE205" s="256"/>
      <c r="AF205" s="256"/>
      <c r="AG205" s="256"/>
      <c r="AH205" s="256"/>
      <c r="AI205" s="256"/>
      <c r="AJ205" s="256"/>
      <c r="AK205" s="256"/>
      <c r="AL205" s="256"/>
      <c r="AM205" s="254"/>
      <c r="AN205" s="254"/>
      <c r="AO205" s="254"/>
      <c r="AP205" s="254"/>
      <c r="AQ205" s="253"/>
      <c r="AS205" s="255"/>
      <c r="AT205" s="255"/>
      <c r="AX205" s="257"/>
    </row>
    <row r="206" spans="2:50" ht="14.1" customHeight="1">
      <c r="B206" s="7" t="s">
        <v>41</v>
      </c>
      <c r="C206" s="997"/>
      <c r="D206" s="997"/>
      <c r="E206" s="997"/>
      <c r="F206" s="997"/>
      <c r="G206" s="1000"/>
      <c r="H206" s="1001"/>
      <c r="I206" s="1004"/>
      <c r="J206" s="1005"/>
      <c r="K206" s="1006"/>
      <c r="L206" s="1006"/>
      <c r="M206" s="6"/>
      <c r="N206" s="1007"/>
      <c r="O206" s="1007"/>
      <c r="P206" s="6"/>
      <c r="Q206" s="1010"/>
      <c r="R206" s="1011"/>
      <c r="U206" s="1020"/>
      <c r="V206" s="1023"/>
      <c r="W206" s="1026"/>
      <c r="X206" s="984"/>
      <c r="AA206" s="3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254"/>
      <c r="AN206" s="254"/>
      <c r="AO206" s="254"/>
      <c r="AP206" s="254"/>
      <c r="AQ206" s="253"/>
      <c r="AS206" s="255"/>
      <c r="AT206" s="255"/>
      <c r="AX206" s="257"/>
    </row>
    <row r="207" spans="2:50" ht="14.1" customHeight="1">
      <c r="B207" s="7" t="s">
        <v>42</v>
      </c>
      <c r="C207" s="997"/>
      <c r="D207" s="997"/>
      <c r="E207" s="997"/>
      <c r="F207" s="997"/>
      <c r="G207" s="1000"/>
      <c r="H207" s="1001"/>
      <c r="I207" s="1004"/>
      <c r="J207" s="1005"/>
      <c r="K207" s="1006"/>
      <c r="L207" s="1006"/>
      <c r="M207" s="6"/>
      <c r="N207" s="1007"/>
      <c r="O207" s="1007"/>
      <c r="P207" s="6"/>
      <c r="Q207" s="1012"/>
      <c r="R207" s="1013"/>
      <c r="U207" s="1020"/>
      <c r="V207" s="1023"/>
      <c r="W207" s="1026"/>
      <c r="X207" s="984"/>
      <c r="AA207" s="3"/>
      <c r="AB207" s="256"/>
      <c r="AC207" s="256"/>
      <c r="AD207" s="256"/>
      <c r="AE207" s="256"/>
      <c r="AF207" s="256"/>
      <c r="AG207" s="256"/>
      <c r="AH207" s="256"/>
      <c r="AI207" s="256"/>
      <c r="AJ207" s="256"/>
      <c r="AK207" s="256"/>
      <c r="AL207" s="256"/>
      <c r="AM207" s="254"/>
      <c r="AN207" s="254"/>
      <c r="AO207" s="254"/>
      <c r="AP207" s="254"/>
      <c r="AQ207" s="253"/>
      <c r="AS207" s="255"/>
      <c r="AT207" s="255"/>
      <c r="AV207" s="254"/>
      <c r="AX207" s="257"/>
    </row>
    <row r="208" spans="2:50" ht="26.25">
      <c r="B208" s="325" t="s">
        <v>44</v>
      </c>
      <c r="C208" s="986">
        <f>+E208*7</f>
        <v>198.33333333333331</v>
      </c>
      <c r="D208" s="986"/>
      <c r="E208" s="987">
        <f>+K208/30</f>
        <v>28.333333333333332</v>
      </c>
      <c r="F208" s="987"/>
      <c r="G208" s="1000"/>
      <c r="H208" s="1001"/>
      <c r="I208" s="988">
        <f>+E208/8</f>
        <v>3.5416666666666665</v>
      </c>
      <c r="J208" s="989"/>
      <c r="K208" s="990">
        <v>850</v>
      </c>
      <c r="L208" s="990"/>
      <c r="M208" s="326"/>
      <c r="N208" s="991">
        <f>+I208/6*7</f>
        <v>4.1319444444444446</v>
      </c>
      <c r="O208" s="992"/>
      <c r="P208" s="326"/>
      <c r="Q208" s="993">
        <f>+$I$71-I208</f>
        <v>1.6895833333333337</v>
      </c>
      <c r="R208" s="993"/>
      <c r="U208" s="1020"/>
      <c r="V208" s="1023"/>
      <c r="W208" s="1026"/>
      <c r="X208" s="984"/>
      <c r="AA208" s="3"/>
      <c r="AB208" s="3"/>
      <c r="AC208" s="3"/>
      <c r="AD208" s="3"/>
    </row>
    <row r="209" spans="1:46" ht="24.75">
      <c r="B209" s="332" t="s">
        <v>46</v>
      </c>
      <c r="C209" s="1014">
        <f>+E209*7</f>
        <v>267.75</v>
      </c>
      <c r="D209" s="1014"/>
      <c r="E209" s="1015">
        <f>+K209/30</f>
        <v>38.25</v>
      </c>
      <c r="F209" s="1015"/>
      <c r="G209" s="1002"/>
      <c r="H209" s="1003"/>
      <c r="I209" s="1016">
        <f>+E209/8</f>
        <v>4.78125</v>
      </c>
      <c r="J209" s="1017"/>
      <c r="K209" s="1018">
        <f>+K208*1.35</f>
        <v>1147.5</v>
      </c>
      <c r="L209" s="1018"/>
      <c r="M209" s="326"/>
      <c r="N209" s="991">
        <f>+I209/6*7</f>
        <v>5.578125</v>
      </c>
      <c r="O209" s="992"/>
      <c r="P209" s="326"/>
      <c r="Q209" s="993">
        <f>+$I$71-I209</f>
        <v>0.45000000000000018</v>
      </c>
      <c r="R209" s="993"/>
      <c r="U209" s="1020"/>
      <c r="V209" s="1023"/>
      <c r="W209" s="1026"/>
      <c r="X209" s="984"/>
      <c r="Z209" s="477"/>
      <c r="AA209" s="557"/>
      <c r="AB209" s="557"/>
      <c r="AC209" s="557"/>
      <c r="AD209" s="557"/>
      <c r="AE209" s="296"/>
      <c r="AF209" s="296"/>
      <c r="AG209" s="478"/>
      <c r="AH209" s="296"/>
      <c r="AI209" s="296"/>
      <c r="AJ209" s="296"/>
      <c r="AK209" s="296"/>
      <c r="AL209" s="296"/>
      <c r="AM209" s="296"/>
      <c r="AN209" s="296"/>
      <c r="AO209" s="296"/>
      <c r="AP209" s="296"/>
      <c r="AQ209" s="296"/>
      <c r="AR209" s="296"/>
      <c r="AS209" s="296"/>
      <c r="AT209" s="296"/>
    </row>
    <row r="210" spans="1:46" ht="2.1" customHeight="1">
      <c r="B210" s="334"/>
      <c r="C210" s="258"/>
      <c r="D210" s="258"/>
      <c r="G210" s="335"/>
      <c r="H210" s="335"/>
      <c r="I210" s="336"/>
      <c r="J210" s="336"/>
      <c r="K210" s="337"/>
      <c r="L210" s="337"/>
      <c r="M210" s="6"/>
      <c r="N210" s="338"/>
      <c r="O210" s="338"/>
      <c r="P210" s="6"/>
      <c r="Q210" s="339"/>
      <c r="R210" s="339"/>
      <c r="U210" s="1021"/>
      <c r="V210" s="1024"/>
      <c r="W210" s="1027"/>
      <c r="X210" s="985"/>
      <c r="Z210" s="477"/>
      <c r="AA210" s="557"/>
      <c r="AB210" s="557"/>
      <c r="AC210" s="557"/>
      <c r="AD210" s="557"/>
      <c r="AE210" s="296"/>
      <c r="AF210" s="296"/>
      <c r="AG210" s="478"/>
      <c r="AH210" s="296"/>
      <c r="AI210" s="296"/>
      <c r="AJ210" s="296"/>
      <c r="AK210" s="296"/>
      <c r="AL210" s="296"/>
      <c r="AM210" s="296"/>
      <c r="AN210" s="296"/>
      <c r="AO210" s="296"/>
      <c r="AP210" s="296"/>
      <c r="AQ210" s="296"/>
      <c r="AR210" s="296"/>
      <c r="AS210" s="296"/>
      <c r="AT210" s="296"/>
    </row>
    <row r="211" spans="1:46" ht="16.5">
      <c r="A211" s="1">
        <v>1</v>
      </c>
      <c r="B211" s="340" t="s">
        <v>47</v>
      </c>
      <c r="C211" s="1040">
        <f>6*3+7*33.8</f>
        <v>254.59999999999997</v>
      </c>
      <c r="D211" s="1041"/>
      <c r="E211" s="1030">
        <f t="shared" ref="E211:E218" si="90">+C211/7</f>
        <v>36.371428571428567</v>
      </c>
      <c r="F211" s="1031"/>
      <c r="G211" s="341"/>
      <c r="H211" s="341"/>
      <c r="I211" s="1032">
        <f t="shared" ref="I211:I218" si="91">+E211/8</f>
        <v>4.5464285714285708</v>
      </c>
      <c r="J211" s="1033"/>
      <c r="K211" s="1034">
        <f t="shared" ref="K211:K221" si="92">+E211*30</f>
        <v>1091.1428571428569</v>
      </c>
      <c r="L211" s="1034"/>
      <c r="M211" s="6"/>
      <c r="N211" s="1035">
        <f t="shared" ref="N211:N225" si="93">+I211/6*7</f>
        <v>5.3041666666666654</v>
      </c>
      <c r="O211" s="1035"/>
      <c r="P211" s="6"/>
      <c r="Q211" s="1036">
        <f t="shared" ref="Q211:Q225" si="94">+$I$71-I211</f>
        <v>0.68482142857142936</v>
      </c>
      <c r="R211" s="1037"/>
      <c r="U211" s="342">
        <f t="shared" ref="U211:U217" si="95">+AE172+U172+K172+AO151+AE151+U151+K151</f>
        <v>0</v>
      </c>
      <c r="V211" s="343">
        <v>48</v>
      </c>
      <c r="W211" s="344">
        <f t="shared" ref="W211:W225" si="96">+V211-U211</f>
        <v>48</v>
      </c>
      <c r="X211" s="345" t="e">
        <f t="shared" ref="X211:X217" si="97">+J151+T151+AD151+J172+T172+AD172</f>
        <v>#VALUE!</v>
      </c>
      <c r="Z211" s="477"/>
      <c r="AA211" s="557"/>
      <c r="AB211" s="557"/>
      <c r="AC211" s="557"/>
      <c r="AD211" s="557"/>
      <c r="AE211" s="296"/>
      <c r="AF211" s="296"/>
      <c r="AG211" s="478"/>
      <c r="AH211" s="296"/>
      <c r="AI211" s="296"/>
      <c r="AJ211" s="296"/>
      <c r="AK211" s="296"/>
      <c r="AL211" s="296"/>
      <c r="AM211" s="296"/>
      <c r="AN211" s="296"/>
      <c r="AO211" s="296"/>
      <c r="AP211" s="296"/>
      <c r="AQ211" s="296"/>
      <c r="AR211" s="296"/>
      <c r="AS211" s="296"/>
      <c r="AT211" s="296"/>
    </row>
    <row r="212" spans="1:46" ht="16.5">
      <c r="A212" s="1">
        <v>2</v>
      </c>
      <c r="B212" s="340" t="s">
        <v>48</v>
      </c>
      <c r="C212" s="1040">
        <f>6*3+7*38.5</f>
        <v>287.5</v>
      </c>
      <c r="D212" s="1041"/>
      <c r="E212" s="1030">
        <f t="shared" si="90"/>
        <v>41.071428571428569</v>
      </c>
      <c r="F212" s="1031"/>
      <c r="G212" s="341"/>
      <c r="H212" s="341"/>
      <c r="I212" s="1032">
        <f t="shared" si="91"/>
        <v>5.1339285714285712</v>
      </c>
      <c r="J212" s="1033"/>
      <c r="K212" s="1034">
        <f t="shared" si="92"/>
        <v>1232.1428571428571</v>
      </c>
      <c r="L212" s="1034"/>
      <c r="M212" s="6"/>
      <c r="N212" s="1035">
        <f t="shared" si="93"/>
        <v>5.989583333333333</v>
      </c>
      <c r="O212" s="1035"/>
      <c r="P212" s="6"/>
      <c r="Q212" s="1036">
        <f t="shared" si="94"/>
        <v>9.7321428571429003E-2</v>
      </c>
      <c r="R212" s="1037"/>
      <c r="U212" s="342">
        <f t="shared" si="95"/>
        <v>0</v>
      </c>
      <c r="V212" s="343">
        <v>48</v>
      </c>
      <c r="W212" s="344">
        <f t="shared" si="96"/>
        <v>48</v>
      </c>
      <c r="X212" s="345" t="e">
        <f t="shared" si="97"/>
        <v>#VALUE!</v>
      </c>
      <c r="Z212" s="477"/>
      <c r="AA212" s="557"/>
      <c r="AB212" s="557"/>
      <c r="AC212" s="557"/>
      <c r="AD212" s="557"/>
      <c r="AE212" s="296"/>
      <c r="AF212" s="296"/>
      <c r="AG212" s="478"/>
      <c r="AH212" s="296"/>
      <c r="AI212" s="296"/>
      <c r="AJ212" s="296"/>
      <c r="AK212" s="296"/>
      <c r="AL212" s="296"/>
      <c r="AM212" s="296"/>
      <c r="AN212" s="296"/>
      <c r="AO212" s="296"/>
      <c r="AP212" s="296"/>
      <c r="AQ212" s="296"/>
      <c r="AR212" s="296"/>
      <c r="AS212" s="296"/>
      <c r="AT212" s="296"/>
    </row>
    <row r="213" spans="1:46" ht="16.5">
      <c r="A213" s="1">
        <v>2</v>
      </c>
      <c r="B213" s="340" t="s">
        <v>61</v>
      </c>
      <c r="C213" s="1040">
        <f>6*3+7*38.5</f>
        <v>287.5</v>
      </c>
      <c r="D213" s="1041"/>
      <c r="E213" s="1030">
        <f t="shared" si="90"/>
        <v>41.071428571428569</v>
      </c>
      <c r="F213" s="1031"/>
      <c r="G213" s="341"/>
      <c r="H213" s="341"/>
      <c r="I213" s="1032">
        <f t="shared" si="91"/>
        <v>5.1339285714285712</v>
      </c>
      <c r="J213" s="1033"/>
      <c r="K213" s="1034">
        <f t="shared" si="92"/>
        <v>1232.1428571428571</v>
      </c>
      <c r="L213" s="1034"/>
      <c r="M213" s="6"/>
      <c r="N213" s="1035">
        <f t="shared" si="93"/>
        <v>5.989583333333333</v>
      </c>
      <c r="O213" s="1035"/>
      <c r="P213" s="6"/>
      <c r="Q213" s="1036">
        <f t="shared" si="94"/>
        <v>9.7321428571429003E-2</v>
      </c>
      <c r="R213" s="1037"/>
      <c r="U213" s="342">
        <f t="shared" si="95"/>
        <v>0</v>
      </c>
      <c r="V213" s="343">
        <v>48</v>
      </c>
      <c r="W213" s="344">
        <f t="shared" si="96"/>
        <v>48</v>
      </c>
      <c r="X213" s="345" t="e">
        <f t="shared" si="97"/>
        <v>#VALUE!</v>
      </c>
      <c r="Z213" s="477"/>
      <c r="AA213" s="557"/>
      <c r="AB213" s="557"/>
      <c r="AC213" s="557"/>
      <c r="AD213" s="557"/>
      <c r="AE213" s="296"/>
      <c r="AF213" s="296"/>
      <c r="AG213" s="478"/>
      <c r="AH213" s="296"/>
      <c r="AI213" s="296"/>
      <c r="AJ213" s="296"/>
      <c r="AK213" s="296"/>
      <c r="AL213" s="296"/>
      <c r="AM213" s="296"/>
      <c r="AN213" s="296"/>
      <c r="AO213" s="296"/>
      <c r="AP213" s="296"/>
      <c r="AQ213" s="296"/>
      <c r="AR213" s="296"/>
      <c r="AS213" s="296"/>
      <c r="AT213" s="296"/>
    </row>
    <row r="214" spans="1:46" ht="16.5">
      <c r="A214" s="1">
        <v>4</v>
      </c>
      <c r="B214" s="359" t="s">
        <v>50</v>
      </c>
      <c r="C214" s="1028">
        <f>6*3+7*30.762</f>
        <v>233.334</v>
      </c>
      <c r="D214" s="1029"/>
      <c r="E214" s="1030">
        <f t="shared" si="90"/>
        <v>33.33342857142857</v>
      </c>
      <c r="F214" s="1031"/>
      <c r="G214" s="341"/>
      <c r="H214" s="341"/>
      <c r="I214" s="1032">
        <f t="shared" si="91"/>
        <v>4.1666785714285712</v>
      </c>
      <c r="J214" s="1033"/>
      <c r="K214" s="1034">
        <f t="shared" si="92"/>
        <v>1000.0028571428571</v>
      </c>
      <c r="L214" s="1034"/>
      <c r="M214" s="6"/>
      <c r="N214" s="1035">
        <f t="shared" si="93"/>
        <v>4.8611250000000004</v>
      </c>
      <c r="O214" s="1035"/>
      <c r="P214" s="6"/>
      <c r="Q214" s="1036">
        <f t="shared" si="94"/>
        <v>1.0645714285714289</v>
      </c>
      <c r="R214" s="1037"/>
      <c r="S214" s="1082">
        <f>20*30/180*117</f>
        <v>390</v>
      </c>
      <c r="T214" s="1083"/>
      <c r="U214" s="342">
        <f t="shared" si="95"/>
        <v>0</v>
      </c>
      <c r="V214" s="343">
        <v>48</v>
      </c>
      <c r="W214" s="344">
        <f t="shared" si="96"/>
        <v>48</v>
      </c>
      <c r="X214" s="345">
        <f t="shared" si="97"/>
        <v>0</v>
      </c>
      <c r="Z214" s="1084" t="s">
        <v>99</v>
      </c>
      <c r="AA214" s="1084"/>
      <c r="AB214" s="1084"/>
      <c r="AC214" s="1084"/>
      <c r="AD214" s="477" t="s">
        <v>100</v>
      </c>
      <c r="AE214" s="557"/>
      <c r="AF214" s="296"/>
      <c r="AG214" s="556"/>
      <c r="AH214" s="556"/>
      <c r="AI214" s="296"/>
      <c r="AJ214" s="296"/>
      <c r="AK214" s="555"/>
      <c r="AL214" s="555"/>
      <c r="AM214" s="555"/>
      <c r="AN214" s="555"/>
      <c r="AO214" s="555"/>
      <c r="AP214" s="555"/>
      <c r="AQ214" s="555"/>
      <c r="AR214" s="555"/>
      <c r="AS214" s="296"/>
      <c r="AT214" s="296"/>
    </row>
    <row r="215" spans="1:46" ht="16.5">
      <c r="A215" s="1">
        <v>5</v>
      </c>
      <c r="B215" s="340" t="s">
        <v>52</v>
      </c>
      <c r="C215" s="1028">
        <f>6*3+7*38.5</f>
        <v>287.5</v>
      </c>
      <c r="D215" s="1029"/>
      <c r="E215" s="1030">
        <f t="shared" si="90"/>
        <v>41.071428571428569</v>
      </c>
      <c r="F215" s="1031"/>
      <c r="G215" s="341"/>
      <c r="H215" s="341"/>
      <c r="I215" s="1032">
        <f t="shared" si="91"/>
        <v>5.1339285714285712</v>
      </c>
      <c r="J215" s="1033"/>
      <c r="K215" s="1034">
        <f t="shared" si="92"/>
        <v>1232.1428571428571</v>
      </c>
      <c r="L215" s="1034"/>
      <c r="M215" s="6"/>
      <c r="N215" s="1035">
        <f t="shared" si="93"/>
        <v>5.989583333333333</v>
      </c>
      <c r="O215" s="1035"/>
      <c r="P215" s="6"/>
      <c r="Q215" s="1036">
        <f t="shared" si="94"/>
        <v>9.7321428571429003E-2</v>
      </c>
      <c r="R215" s="1037"/>
      <c r="U215" s="342">
        <f t="shared" si="95"/>
        <v>0</v>
      </c>
      <c r="V215" s="343">
        <v>48</v>
      </c>
      <c r="W215" s="344">
        <f t="shared" si="96"/>
        <v>48</v>
      </c>
      <c r="X215" s="345">
        <f t="shared" si="97"/>
        <v>0</v>
      </c>
      <c r="Z215" s="557"/>
      <c r="AA215" s="557"/>
      <c r="AB215" s="557"/>
      <c r="AC215" s="557"/>
      <c r="AD215" s="557"/>
      <c r="AE215" s="296"/>
      <c r="AF215" s="296"/>
      <c r="AG215" s="479"/>
      <c r="AH215" s="479"/>
      <c r="AI215" s="556"/>
      <c r="AJ215" s="556"/>
      <c r="AK215" s="556"/>
      <c r="AL215" s="556"/>
      <c r="AM215" s="556"/>
      <c r="AN215" s="556"/>
      <c r="AO215" s="556"/>
      <c r="AP215" s="556"/>
      <c r="AQ215" s="556"/>
      <c r="AR215" s="556"/>
      <c r="AS215" s="296"/>
      <c r="AT215" s="296"/>
    </row>
    <row r="216" spans="1:46" ht="16.5">
      <c r="A216" s="1">
        <v>7</v>
      </c>
      <c r="B216" s="365" t="s">
        <v>53</v>
      </c>
      <c r="C216" s="1042">
        <f>6*3+7*(38.5)</f>
        <v>287.5</v>
      </c>
      <c r="D216" s="1043"/>
      <c r="E216" s="1030">
        <f t="shared" si="90"/>
        <v>41.071428571428569</v>
      </c>
      <c r="F216" s="1031"/>
      <c r="G216" s="1046"/>
      <c r="H216" s="1047"/>
      <c r="I216" s="1032">
        <f t="shared" si="91"/>
        <v>5.1339285714285712</v>
      </c>
      <c r="J216" s="1033"/>
      <c r="K216" s="1034">
        <f t="shared" si="92"/>
        <v>1232.1428571428571</v>
      </c>
      <c r="L216" s="1034"/>
      <c r="M216" s="6"/>
      <c r="N216" s="1035">
        <f t="shared" si="93"/>
        <v>5.989583333333333</v>
      </c>
      <c r="O216" s="1035"/>
      <c r="P216" s="6"/>
      <c r="Q216" s="1036">
        <f t="shared" si="94"/>
        <v>9.7321428571429003E-2</v>
      </c>
      <c r="R216" s="1037"/>
      <c r="U216" s="342">
        <f t="shared" si="95"/>
        <v>0</v>
      </c>
      <c r="V216" s="343">
        <v>48</v>
      </c>
      <c r="W216" s="344">
        <f t="shared" si="96"/>
        <v>48</v>
      </c>
      <c r="X216" s="345">
        <f t="shared" si="97"/>
        <v>0</v>
      </c>
      <c r="Z216" s="372"/>
      <c r="AA216" s="372"/>
      <c r="AB216" s="1085" t="s">
        <v>101</v>
      </c>
      <c r="AC216" s="1086"/>
      <c r="AD216" s="1086"/>
      <c r="AE216" s="1086"/>
      <c r="AF216" s="1086"/>
      <c r="AG216" s="1086"/>
      <c r="AH216" s="1086"/>
      <c r="AI216" s="1086"/>
      <c r="AJ216" s="1086"/>
      <c r="AK216" s="1086"/>
      <c r="AL216" s="370"/>
      <c r="AM216" s="556"/>
      <c r="AN216" s="556"/>
      <c r="AO216" s="556"/>
      <c r="AP216" s="556"/>
      <c r="AQ216" s="556"/>
      <c r="AR216" s="556"/>
      <c r="AS216" s="296"/>
      <c r="AT216" s="296"/>
    </row>
    <row r="217" spans="1:46" s="371" customFormat="1" ht="16.5">
      <c r="A217" s="366">
        <v>6</v>
      </c>
      <c r="B217" s="365" t="s">
        <v>102</v>
      </c>
      <c r="C217" s="1042">
        <f>6*3+7*(27)</f>
        <v>207</v>
      </c>
      <c r="D217" s="1043"/>
      <c r="E217" s="1030">
        <f t="shared" si="90"/>
        <v>29.571428571428573</v>
      </c>
      <c r="F217" s="1031"/>
      <c r="G217" s="1087"/>
      <c r="H217" s="1088"/>
      <c r="I217" s="1032">
        <f t="shared" si="91"/>
        <v>3.6964285714285716</v>
      </c>
      <c r="J217" s="1033"/>
      <c r="K217" s="1034">
        <f t="shared" si="92"/>
        <v>887.14285714285722</v>
      </c>
      <c r="L217" s="1034"/>
      <c r="M217" s="6"/>
      <c r="N217" s="1035">
        <f t="shared" si="93"/>
        <v>4.3125</v>
      </c>
      <c r="O217" s="1035"/>
      <c r="P217" s="6"/>
      <c r="Q217" s="1036">
        <f t="shared" si="94"/>
        <v>1.5348214285714286</v>
      </c>
      <c r="R217" s="1037"/>
      <c r="S217" s="1082">
        <f>20*30/180*117</f>
        <v>390</v>
      </c>
      <c r="T217" s="1083"/>
      <c r="U217" s="342">
        <f t="shared" si="95"/>
        <v>0</v>
      </c>
      <c r="V217" s="343">
        <v>48</v>
      </c>
      <c r="W217" s="344">
        <f t="shared" si="96"/>
        <v>48</v>
      </c>
      <c r="X217" s="345">
        <f t="shared" si="97"/>
        <v>0</v>
      </c>
      <c r="Y217" s="367"/>
      <c r="Z217" s="557"/>
      <c r="AA217" s="557"/>
      <c r="AB217" s="557"/>
      <c r="AC217" s="557"/>
      <c r="AD217" s="557"/>
      <c r="AE217" s="296"/>
      <c r="AF217" s="296"/>
      <c r="AG217" s="556"/>
      <c r="AH217" s="556"/>
      <c r="AI217" s="370"/>
      <c r="AJ217" s="370"/>
      <c r="AK217" s="370"/>
      <c r="AL217" s="370"/>
      <c r="AM217" s="556"/>
      <c r="AN217" s="556"/>
      <c r="AO217" s="556"/>
      <c r="AP217" s="556"/>
      <c r="AQ217" s="556"/>
      <c r="AR217" s="556"/>
      <c r="AS217" s="296"/>
      <c r="AT217" s="296"/>
    </row>
    <row r="218" spans="1:46" s="371" customFormat="1" ht="16.5">
      <c r="A218" s="1">
        <v>8</v>
      </c>
      <c r="B218" s="365" t="s">
        <v>87</v>
      </c>
      <c r="C218" s="1042">
        <f>6*3+7*(25.7619)</f>
        <v>198.33330000000001</v>
      </c>
      <c r="D218" s="1043"/>
      <c r="E218" s="1030">
        <f t="shared" si="90"/>
        <v>28.333328571428574</v>
      </c>
      <c r="F218" s="1031"/>
      <c r="G218" s="1044">
        <v>25.761900000000001</v>
      </c>
      <c r="H218" s="1045"/>
      <c r="I218" s="1032">
        <f t="shared" si="91"/>
        <v>3.5416660714285717</v>
      </c>
      <c r="J218" s="1033"/>
      <c r="K218" s="1034">
        <f t="shared" si="92"/>
        <v>849.99985714285719</v>
      </c>
      <c r="L218" s="1034"/>
      <c r="M218" s="6"/>
      <c r="N218" s="1035">
        <f t="shared" si="93"/>
        <v>4.1319437500000005</v>
      </c>
      <c r="O218" s="1035"/>
      <c r="P218" s="6"/>
      <c r="Q218" s="1036">
        <f t="shared" si="94"/>
        <v>1.6895839285714285</v>
      </c>
      <c r="R218" s="1037"/>
      <c r="S218" s="3"/>
      <c r="T218" s="3"/>
      <c r="U218" s="342">
        <f>+AE180+U180+K180+AO159+AE159+U159+K159</f>
        <v>0</v>
      </c>
      <c r="V218" s="343">
        <v>48</v>
      </c>
      <c r="W218" s="344">
        <f t="shared" si="96"/>
        <v>48</v>
      </c>
      <c r="X218" s="345">
        <f>+J159+T159+AD159+J180+T180+AD180</f>
        <v>0</v>
      </c>
      <c r="Y218" s="3"/>
      <c r="Z218" s="557"/>
      <c r="AA218" s="557"/>
      <c r="AB218" s="557"/>
      <c r="AC218" s="557"/>
      <c r="AD218" s="557"/>
      <c r="AE218" s="296"/>
      <c r="AF218" s="296"/>
      <c r="AG218" s="556"/>
      <c r="AH218" s="556"/>
      <c r="AI218" s="370"/>
      <c r="AJ218" s="370"/>
      <c r="AK218" s="370"/>
      <c r="AL218" s="370"/>
      <c r="AM218" s="556"/>
      <c r="AN218" s="556"/>
      <c r="AO218" s="556"/>
      <c r="AP218" s="556"/>
      <c r="AQ218" s="556"/>
      <c r="AR218" s="556"/>
      <c r="AS218" s="296"/>
      <c r="AT218" s="296"/>
    </row>
    <row r="219" spans="1:46" ht="16.5">
      <c r="B219" s="365" t="s">
        <v>54</v>
      </c>
      <c r="C219" s="1042"/>
      <c r="D219" s="1043"/>
      <c r="E219" s="1030"/>
      <c r="F219" s="1031"/>
      <c r="G219" s="1087"/>
      <c r="H219" s="1088"/>
      <c r="I219" s="1032"/>
      <c r="J219" s="1033"/>
      <c r="K219" s="1034">
        <f t="shared" si="92"/>
        <v>0</v>
      </c>
      <c r="L219" s="1034"/>
      <c r="M219" s="6"/>
      <c r="N219" s="1035">
        <f t="shared" si="93"/>
        <v>0</v>
      </c>
      <c r="O219" s="1035"/>
      <c r="P219" s="6"/>
      <c r="Q219" s="1036">
        <f t="shared" si="94"/>
        <v>5.2312500000000002</v>
      </c>
      <c r="R219" s="1037"/>
      <c r="U219" s="342">
        <f>+AE184+U184+K184+AO163+AE163+U163+K163</f>
        <v>0</v>
      </c>
      <c r="V219" s="343">
        <v>48</v>
      </c>
      <c r="W219" s="344">
        <f t="shared" si="96"/>
        <v>48</v>
      </c>
      <c r="X219" s="345" t="e">
        <f>+#REF!+#REF!+#REF!+#REF!+#REF!+#REF!</f>
        <v>#REF!</v>
      </c>
      <c r="Z219" s="372"/>
      <c r="AA219" s="372"/>
      <c r="AB219" s="557"/>
      <c r="AC219" s="557"/>
      <c r="AD219" s="557"/>
      <c r="AE219" s="296"/>
      <c r="AF219" s="296"/>
      <c r="AG219" s="556"/>
      <c r="AH219" s="556"/>
      <c r="AI219" s="556"/>
      <c r="AJ219" s="556"/>
      <c r="AK219" s="556"/>
      <c r="AL219" s="556"/>
      <c r="AM219" s="556"/>
      <c r="AN219" s="556"/>
      <c r="AO219" s="556"/>
      <c r="AP219" s="556"/>
      <c r="AQ219" s="556"/>
      <c r="AR219" s="556"/>
      <c r="AS219" s="296"/>
      <c r="AT219" s="296"/>
    </row>
    <row r="220" spans="1:46" ht="16.5">
      <c r="B220" s="365" t="s">
        <v>54</v>
      </c>
      <c r="C220" s="1028">
        <f>6*3+7*35</f>
        <v>263</v>
      </c>
      <c r="D220" s="1029"/>
      <c r="E220" s="1030">
        <f t="shared" ref="E220:E225" si="98">+C220/7</f>
        <v>37.571428571428569</v>
      </c>
      <c r="F220" s="1031"/>
      <c r="G220" s="341"/>
      <c r="H220" s="341"/>
      <c r="I220" s="1032">
        <f>+E220/8</f>
        <v>4.6964285714285712</v>
      </c>
      <c r="J220" s="1033"/>
      <c r="K220" s="1034">
        <f t="shared" si="92"/>
        <v>1127.1428571428571</v>
      </c>
      <c r="L220" s="1034"/>
      <c r="M220" s="374"/>
      <c r="N220" s="1035">
        <f t="shared" si="93"/>
        <v>5.479166666666667</v>
      </c>
      <c r="O220" s="1035"/>
      <c r="P220" s="6"/>
      <c r="Q220" s="1036">
        <f t="shared" si="94"/>
        <v>0.534821428571429</v>
      </c>
      <c r="R220" s="1037"/>
      <c r="U220" s="342">
        <f>+AE181+U181+K181+AO160+AE160+U160+K160</f>
        <v>0</v>
      </c>
      <c r="V220" s="343">
        <v>48</v>
      </c>
      <c r="W220" s="344">
        <f t="shared" si="96"/>
        <v>48</v>
      </c>
      <c r="X220" s="345">
        <f>+J160+T160+AD160+J181+T181+AD181</f>
        <v>0</v>
      </c>
      <c r="Z220" s="1084">
        <f>+K220/E220</f>
        <v>30</v>
      </c>
      <c r="AA220" s="1084"/>
      <c r="AB220" s="1084"/>
      <c r="AC220" s="1084"/>
      <c r="AD220" s="557"/>
      <c r="AE220" s="296"/>
      <c r="AF220" s="296"/>
      <c r="AG220" s="479"/>
      <c r="AH220" s="479"/>
      <c r="AI220" s="556"/>
      <c r="AJ220" s="556"/>
      <c r="AK220" s="556"/>
      <c r="AL220" s="556"/>
      <c r="AM220" s="556"/>
      <c r="AN220" s="556"/>
      <c r="AO220" s="556"/>
      <c r="AP220" s="556"/>
      <c r="AQ220" s="556"/>
      <c r="AR220" s="556"/>
      <c r="AS220" s="296"/>
      <c r="AT220" s="296"/>
    </row>
    <row r="221" spans="1:46" ht="16.5">
      <c r="A221" s="1">
        <v>3</v>
      </c>
      <c r="B221" s="340" t="s">
        <v>66</v>
      </c>
      <c r="C221" s="1028">
        <f>6*3+7*34.0952</f>
        <v>256.66639999999995</v>
      </c>
      <c r="D221" s="1029"/>
      <c r="E221" s="1030">
        <f t="shared" si="98"/>
        <v>36.666628571428568</v>
      </c>
      <c r="F221" s="1031"/>
      <c r="G221" s="1044">
        <f>(C221-18)/7</f>
        <v>34.095199999999991</v>
      </c>
      <c r="H221" s="1045"/>
      <c r="I221" s="1032">
        <f>+E221/8</f>
        <v>4.583328571428571</v>
      </c>
      <c r="J221" s="1089"/>
      <c r="K221" s="1090">
        <f t="shared" si="92"/>
        <v>1099.9988571428571</v>
      </c>
      <c r="L221" s="1091"/>
      <c r="M221" s="374"/>
      <c r="N221" s="1050">
        <f t="shared" si="93"/>
        <v>5.3472166666666663</v>
      </c>
      <c r="O221" s="1051"/>
      <c r="P221" s="6"/>
      <c r="Q221" s="1036">
        <f t="shared" si="94"/>
        <v>0.6479214285714292</v>
      </c>
      <c r="R221" s="1037"/>
      <c r="U221" s="342">
        <f>+AE182+U182+K182+AO161+AE161+U161+K161</f>
        <v>0</v>
      </c>
      <c r="V221" s="343">
        <v>48</v>
      </c>
      <c r="W221" s="344">
        <f t="shared" si="96"/>
        <v>48</v>
      </c>
      <c r="X221" s="345">
        <f>+J161+T161+AD161+J182+T182+AD182</f>
        <v>0</v>
      </c>
      <c r="Z221" s="481"/>
      <c r="AA221" s="482"/>
      <c r="AB221" s="477"/>
      <c r="AC221" s="557"/>
      <c r="AD221" s="557"/>
      <c r="AE221" s="296"/>
      <c r="AF221" s="296"/>
      <c r="AG221" s="556"/>
      <c r="AH221" s="556"/>
      <c r="AI221" s="370"/>
      <c r="AJ221" s="370"/>
      <c r="AK221" s="370"/>
      <c r="AL221" s="370"/>
      <c r="AM221" s="556"/>
      <c r="AN221" s="556"/>
      <c r="AO221" s="556"/>
      <c r="AP221" s="556"/>
      <c r="AQ221" s="556"/>
      <c r="AR221" s="556"/>
      <c r="AS221" s="296"/>
      <c r="AT221" s="296"/>
    </row>
    <row r="222" spans="1:46" ht="16.5">
      <c r="B222" s="483" t="s">
        <v>55</v>
      </c>
      <c r="C222" s="1104">
        <f>+G222*6</f>
        <v>169.99979999999999</v>
      </c>
      <c r="D222" s="1105"/>
      <c r="E222" s="1106">
        <f t="shared" si="98"/>
        <v>24.285685714285712</v>
      </c>
      <c r="F222" s="1107"/>
      <c r="G222" s="1108">
        <f>28.3333</f>
        <v>28.333300000000001</v>
      </c>
      <c r="H222" s="1109"/>
      <c r="I222" s="1106">
        <f>+G222/8</f>
        <v>3.5416625000000002</v>
      </c>
      <c r="J222" s="1107"/>
      <c r="K222" s="1110">
        <f>+G222*30</f>
        <v>849.99900000000002</v>
      </c>
      <c r="L222" s="1111"/>
      <c r="M222" s="6"/>
      <c r="N222" s="1050">
        <f t="shared" si="93"/>
        <v>4.1319395833333337</v>
      </c>
      <c r="O222" s="1051"/>
      <c r="P222" s="6"/>
      <c r="Q222" s="1048">
        <f t="shared" si="94"/>
        <v>1.6895875</v>
      </c>
      <c r="R222" s="1049"/>
      <c r="U222" s="342">
        <f>+AE184+U184+K184+AO163+AE163+U163+K163</f>
        <v>0</v>
      </c>
      <c r="V222" s="343">
        <v>48</v>
      </c>
      <c r="W222" s="344">
        <f t="shared" si="96"/>
        <v>48</v>
      </c>
      <c r="X222" s="345">
        <f>+J162+T162+AD162+J183+T183+AD183</f>
        <v>0</v>
      </c>
      <c r="Z222" s="481"/>
      <c r="AA222" s="482"/>
      <c r="AB222" s="477"/>
      <c r="AC222" s="557"/>
      <c r="AD222" s="557"/>
      <c r="AE222" s="296"/>
      <c r="AF222" s="296"/>
      <c r="AG222" s="370"/>
      <c r="AH222" s="370"/>
      <c r="AI222" s="556"/>
      <c r="AJ222" s="556"/>
      <c r="AK222" s="556"/>
      <c r="AL222" s="556"/>
      <c r="AM222" s="556"/>
      <c r="AN222" s="556"/>
      <c r="AO222" s="556"/>
      <c r="AP222" s="556"/>
      <c r="AQ222" s="556"/>
      <c r="AR222" s="556"/>
      <c r="AS222" s="296"/>
      <c r="AT222" s="296"/>
    </row>
    <row r="223" spans="1:46" ht="16.5">
      <c r="B223" s="483" t="s">
        <v>103</v>
      </c>
      <c r="C223" s="1104">
        <f>+G223*6</f>
        <v>199.99979999999999</v>
      </c>
      <c r="D223" s="1105"/>
      <c r="E223" s="1106">
        <f t="shared" si="98"/>
        <v>28.571400000000001</v>
      </c>
      <c r="F223" s="1107"/>
      <c r="G223" s="1108">
        <v>33.333300000000001</v>
      </c>
      <c r="H223" s="1109"/>
      <c r="I223" s="1106">
        <f>+G223/8</f>
        <v>4.1666625000000002</v>
      </c>
      <c r="J223" s="1107"/>
      <c r="K223" s="1110">
        <f>+G223*30</f>
        <v>999.99900000000002</v>
      </c>
      <c r="L223" s="1111"/>
      <c r="M223" s="6"/>
      <c r="N223" s="1050">
        <f t="shared" si="93"/>
        <v>4.8611062500000006</v>
      </c>
      <c r="O223" s="1051"/>
      <c r="P223" s="6"/>
      <c r="Q223" s="1048">
        <f t="shared" si="94"/>
        <v>1.0645875</v>
      </c>
      <c r="R223" s="1049"/>
      <c r="U223" s="342">
        <f>+AE185+U185+K185+AO164+AE164+U164+K164</f>
        <v>0</v>
      </c>
      <c r="V223" s="343">
        <v>48</v>
      </c>
      <c r="W223" s="344">
        <f t="shared" si="96"/>
        <v>48</v>
      </c>
      <c r="X223" s="345">
        <f>+J163+T163+AD163+J184+T184+AD184</f>
        <v>0</v>
      </c>
      <c r="Z223" s="372"/>
      <c r="AA223" s="372"/>
      <c r="AB223" s="557"/>
      <c r="AC223" s="557"/>
      <c r="AD223" s="557">
        <v>200</v>
      </c>
      <c r="AE223" s="296"/>
      <c r="AF223" s="1092">
        <f>+AD223/6</f>
        <v>33.333333333333336</v>
      </c>
      <c r="AG223" s="1092"/>
      <c r="AH223" s="1092"/>
      <c r="AI223" s="556"/>
      <c r="AJ223" s="556"/>
      <c r="AK223" s="556"/>
      <c r="AL223" s="556"/>
      <c r="AM223" s="556"/>
      <c r="AN223" s="556"/>
      <c r="AO223" s="556"/>
      <c r="AP223" s="556"/>
      <c r="AQ223" s="556"/>
      <c r="AR223" s="556"/>
      <c r="AS223" s="296"/>
      <c r="AT223" s="296"/>
    </row>
    <row r="224" spans="1:46" ht="16.5">
      <c r="A224" s="366"/>
      <c r="B224" s="483" t="s">
        <v>104</v>
      </c>
      <c r="C224" s="1093">
        <v>100</v>
      </c>
      <c r="D224" s="1094"/>
      <c r="E224" s="1095">
        <f t="shared" si="98"/>
        <v>14.285714285714286</v>
      </c>
      <c r="F224" s="1096"/>
      <c r="G224" s="1097">
        <f>+C224/6</f>
        <v>16.666666666666668</v>
      </c>
      <c r="H224" s="1098"/>
      <c r="I224" s="1099">
        <f>+E224/8/6*7</f>
        <v>2.0833333333333335</v>
      </c>
      <c r="J224" s="1100"/>
      <c r="K224" s="1101">
        <f>+G224*30</f>
        <v>500.00000000000006</v>
      </c>
      <c r="L224" s="1101"/>
      <c r="M224" s="6"/>
      <c r="N224" s="1035">
        <f t="shared" si="93"/>
        <v>2.4305555555555558</v>
      </c>
      <c r="O224" s="1035"/>
      <c r="P224" s="6"/>
      <c r="Q224" s="1102">
        <f t="shared" si="94"/>
        <v>3.1479166666666667</v>
      </c>
      <c r="R224" s="1103"/>
      <c r="U224" s="342">
        <f>+AE184+U184+K184+AO163+AE163+U163+K163</f>
        <v>0</v>
      </c>
      <c r="V224" s="343">
        <v>48</v>
      </c>
      <c r="W224" s="344">
        <f t="shared" si="96"/>
        <v>48</v>
      </c>
      <c r="X224" s="345">
        <f>+J163+T163+AD163+J184+T184+AD184</f>
        <v>0</v>
      </c>
      <c r="Y224" s="367"/>
      <c r="Z224" s="557"/>
      <c r="AA224" s="557"/>
      <c r="AB224" s="557"/>
      <c r="AC224" s="557"/>
      <c r="AG224" s="556"/>
      <c r="AH224" s="556"/>
      <c r="AI224" s="296"/>
      <c r="AJ224" s="296"/>
      <c r="AK224" s="555"/>
      <c r="AL224" s="555"/>
      <c r="AM224" s="555"/>
      <c r="AN224" s="555"/>
      <c r="AO224" s="555"/>
      <c r="AP224" s="555"/>
      <c r="AQ224" s="555"/>
      <c r="AR224" s="555"/>
      <c r="AS224" s="296"/>
      <c r="AT224" s="296"/>
    </row>
    <row r="225" spans="2:46" ht="16.5">
      <c r="B225" s="375" t="s">
        <v>65</v>
      </c>
      <c r="C225" s="1054">
        <f>6*3+7*(G225)</f>
        <v>548.33330000000001</v>
      </c>
      <c r="D225" s="1055"/>
      <c r="E225" s="1056">
        <f t="shared" si="98"/>
        <v>78.333328571428567</v>
      </c>
      <c r="F225" s="1057"/>
      <c r="G225" s="1058">
        <v>75.761899999999997</v>
      </c>
      <c r="H225" s="1059"/>
      <c r="I225" s="1060">
        <f>+E225/8</f>
        <v>9.7916660714285708</v>
      </c>
      <c r="J225" s="1061"/>
      <c r="K225" s="1062">
        <f>+E225*30</f>
        <v>2349.9998571428569</v>
      </c>
      <c r="L225" s="1063"/>
      <c r="M225" s="6"/>
      <c r="N225" s="1035">
        <f t="shared" si="93"/>
        <v>11.423610416666666</v>
      </c>
      <c r="O225" s="1035"/>
      <c r="P225" s="6"/>
      <c r="Q225" s="1048">
        <f t="shared" si="94"/>
        <v>-4.5604160714285706</v>
      </c>
      <c r="R225" s="1049"/>
      <c r="U225" s="342">
        <f>+AE188+U188+K188+AO167+AE167+U167+K167</f>
        <v>0</v>
      </c>
      <c r="V225" s="343">
        <v>48</v>
      </c>
      <c r="W225" s="344">
        <f t="shared" si="96"/>
        <v>48</v>
      </c>
      <c r="X225" s="345">
        <f>+J167+T167+AD167+J188+T188+AD188</f>
        <v>0</v>
      </c>
      <c r="Z225" s="372"/>
      <c r="AA225" s="372"/>
      <c r="AB225" s="557"/>
      <c r="AC225" s="557"/>
      <c r="AD225" s="557"/>
      <c r="AE225" s="296"/>
      <c r="AF225" s="296"/>
      <c r="AG225" s="556"/>
      <c r="AH225" s="556"/>
      <c r="AI225" s="556"/>
      <c r="AJ225" s="556"/>
      <c r="AK225" s="556"/>
      <c r="AL225" s="556"/>
      <c r="AM225" s="556"/>
      <c r="AN225" s="556"/>
      <c r="AO225" s="556"/>
      <c r="AP225" s="556"/>
      <c r="AQ225" s="296"/>
      <c r="AR225" s="296"/>
      <c r="AS225" s="296"/>
      <c r="AT225" s="296"/>
    </row>
    <row r="226" spans="2:46">
      <c r="AE226" s="376"/>
      <c r="AF226" s="376"/>
      <c r="AJ226" s="376"/>
      <c r="AK226" s="376"/>
    </row>
    <row r="227" spans="2:46" ht="15.75" thickBot="1">
      <c r="AE227" s="376"/>
      <c r="AF227" s="376"/>
      <c r="AJ227" s="376"/>
      <c r="AK227" s="376"/>
    </row>
    <row r="228" spans="2:46">
      <c r="C228" s="484"/>
      <c r="D228" s="485"/>
      <c r="E228" s="486"/>
      <c r="F228" s="487"/>
      <c r="G228" s="485"/>
      <c r="H228" s="485"/>
      <c r="I228" s="487"/>
      <c r="J228" s="485"/>
      <c r="K228" s="488"/>
      <c r="L228" s="488"/>
      <c r="M228" s="485"/>
      <c r="N228" s="485"/>
      <c r="O228" s="485"/>
      <c r="P228" s="485"/>
      <c r="Q228" s="485"/>
      <c r="R228" s="485"/>
      <c r="S228" s="485"/>
      <c r="T228" s="485"/>
      <c r="U228" s="485"/>
      <c r="V228" s="485"/>
      <c r="W228" s="485"/>
      <c r="X228" s="485"/>
      <c r="Y228" s="485"/>
      <c r="Z228" s="485"/>
      <c r="AA228" s="489"/>
      <c r="AB228" s="489"/>
      <c r="AC228" s="489"/>
      <c r="AD228" s="489"/>
      <c r="AE228" s="490"/>
      <c r="AF228" s="490"/>
      <c r="AG228" s="491"/>
      <c r="AJ228" s="376"/>
      <c r="AK228" s="376"/>
    </row>
    <row r="229" spans="2:46" ht="18">
      <c r="C229" s="492"/>
      <c r="D229" s="333"/>
      <c r="E229" s="493" t="s">
        <v>105</v>
      </c>
      <c r="F229" s="411"/>
      <c r="G229" s="333"/>
      <c r="H229" s="333"/>
      <c r="I229" s="411"/>
      <c r="J229" s="333"/>
      <c r="K229" s="405"/>
      <c r="L229" s="405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167"/>
      <c r="AB229" s="167"/>
      <c r="AC229" s="167"/>
      <c r="AD229" s="167"/>
      <c r="AE229" s="376"/>
      <c r="AF229" s="376"/>
      <c r="AG229" s="494"/>
      <c r="AJ229" s="376"/>
      <c r="AK229" s="376"/>
    </row>
    <row r="230" spans="2:46">
      <c r="C230" s="492"/>
      <c r="D230" s="333"/>
      <c r="E230" s="410"/>
      <c r="F230" s="411"/>
      <c r="G230" s="333"/>
      <c r="H230" s="333"/>
      <c r="I230" s="411"/>
      <c r="J230" s="333"/>
      <c r="K230" s="405"/>
      <c r="L230" s="405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  <c r="AA230" s="1112" t="s">
        <v>106</v>
      </c>
      <c r="AB230" s="1113"/>
      <c r="AC230" s="1114"/>
      <c r="AD230" s="1115" t="s">
        <v>107</v>
      </c>
      <c r="AE230" s="1116"/>
      <c r="AF230" s="1117"/>
      <c r="AG230" s="494"/>
      <c r="AH230" s="167"/>
      <c r="AI230" s="167"/>
      <c r="AJ230" s="376"/>
      <c r="AK230" s="376"/>
    </row>
    <row r="231" spans="2:46" ht="16.5" thickBot="1">
      <c r="C231" s="492"/>
      <c r="D231" s="1118" t="s">
        <v>108</v>
      </c>
      <c r="E231" s="1118"/>
      <c r="F231" s="1118"/>
      <c r="G231" s="1118"/>
      <c r="H231" s="1118"/>
      <c r="I231" s="1119" t="s">
        <v>109</v>
      </c>
      <c r="J231" s="1119"/>
      <c r="K231" s="1119"/>
      <c r="L231" s="1120" t="s">
        <v>110</v>
      </c>
      <c r="M231" s="1120"/>
      <c r="N231" s="1120"/>
      <c r="O231" s="1120" t="s">
        <v>111</v>
      </c>
      <c r="P231" s="1120"/>
      <c r="Q231" s="1120"/>
      <c r="R231" s="1121" t="s">
        <v>112</v>
      </c>
      <c r="S231" s="1121"/>
      <c r="T231" s="1121"/>
      <c r="U231" s="1120" t="s">
        <v>113</v>
      </c>
      <c r="V231" s="1120"/>
      <c r="W231" s="1122"/>
      <c r="X231" s="1123" t="s">
        <v>114</v>
      </c>
      <c r="Y231" s="1124"/>
      <c r="Z231" s="1125"/>
      <c r="AA231" s="1126" t="s">
        <v>115</v>
      </c>
      <c r="AB231" s="1126"/>
      <c r="AC231" s="1127"/>
      <c r="AD231" s="1128" t="s">
        <v>116</v>
      </c>
      <c r="AE231" s="1129"/>
      <c r="AF231" s="1130"/>
      <c r="AG231" s="494"/>
      <c r="AH231" s="167"/>
      <c r="AI231" s="167"/>
      <c r="AJ231" s="376"/>
      <c r="AK231" s="376"/>
    </row>
    <row r="232" spans="2:46" ht="19.5" thickTop="1">
      <c r="C232" s="495">
        <v>1</v>
      </c>
      <c r="D232" s="1131" t="s">
        <v>50</v>
      </c>
      <c r="E232" s="1131"/>
      <c r="F232" s="1131"/>
      <c r="G232" s="1131"/>
      <c r="H232" s="1131"/>
      <c r="I232" s="1132">
        <v>30.762</v>
      </c>
      <c r="J232" s="1132"/>
      <c r="K232" s="1132"/>
      <c r="L232" s="1133">
        <v>1</v>
      </c>
      <c r="M232" s="1133"/>
      <c r="N232" s="1133"/>
      <c r="O232" s="1133">
        <v>2</v>
      </c>
      <c r="P232" s="1133"/>
      <c r="Q232" s="1133"/>
      <c r="R232" s="1134">
        <f t="shared" ref="R232:R239" si="99">+I232+L232+O232</f>
        <v>33.762</v>
      </c>
      <c r="S232" s="1134"/>
      <c r="T232" s="1134"/>
      <c r="U232" s="1135">
        <f t="shared" ref="U232:U239" si="100">+I232*7+(L232+O232)*6</f>
        <v>233.334</v>
      </c>
      <c r="V232" s="1135"/>
      <c r="W232" s="1136"/>
      <c r="X232" s="1137">
        <f t="shared" ref="X232:X239" si="101">+U232/7*30</f>
        <v>1000.0028571428571</v>
      </c>
      <c r="Y232" s="1138"/>
      <c r="Z232" s="1139"/>
      <c r="AA232" s="1140">
        <v>31</v>
      </c>
      <c r="AB232" s="1141"/>
      <c r="AC232" s="1141"/>
      <c r="AD232" s="1142">
        <f>+AA232-I232</f>
        <v>0.23799999999999955</v>
      </c>
      <c r="AE232" s="1142"/>
      <c r="AF232" s="1142"/>
      <c r="AG232" s="494"/>
      <c r="AH232" s="167"/>
      <c r="AI232" s="1143">
        <f>+AD232+I232</f>
        <v>31</v>
      </c>
      <c r="AJ232" s="1143"/>
      <c r="AK232" s="1143"/>
    </row>
    <row r="233" spans="2:46" ht="18.75">
      <c r="C233" s="495">
        <v>2</v>
      </c>
      <c r="D233" s="1144" t="s">
        <v>117</v>
      </c>
      <c r="E233" s="1144"/>
      <c r="F233" s="1144"/>
      <c r="G233" s="1144"/>
      <c r="H233" s="1144"/>
      <c r="I233" s="1145">
        <v>25.762</v>
      </c>
      <c r="J233" s="1145"/>
      <c r="K233" s="1145"/>
      <c r="L233" s="1146">
        <v>1</v>
      </c>
      <c r="M233" s="1146"/>
      <c r="N233" s="1146"/>
      <c r="O233" s="1146">
        <v>2</v>
      </c>
      <c r="P233" s="1146"/>
      <c r="Q233" s="1146"/>
      <c r="R233" s="1147">
        <f t="shared" si="99"/>
        <v>28.762</v>
      </c>
      <c r="S233" s="1147"/>
      <c r="T233" s="1147"/>
      <c r="U233" s="1148">
        <f t="shared" si="100"/>
        <v>198.334</v>
      </c>
      <c r="V233" s="1148"/>
      <c r="W233" s="1149"/>
      <c r="X233" s="1150">
        <f t="shared" si="101"/>
        <v>850.00285714285724</v>
      </c>
      <c r="Y233" s="1151"/>
      <c r="Z233" s="1152"/>
      <c r="AA233" s="1153">
        <v>31</v>
      </c>
      <c r="AB233" s="1154"/>
      <c r="AC233" s="1154"/>
      <c r="AD233" s="1143">
        <f>+AA233-I233</f>
        <v>5.2379999999999995</v>
      </c>
      <c r="AE233" s="1143"/>
      <c r="AF233" s="1143"/>
      <c r="AG233" s="494"/>
      <c r="AH233" s="167"/>
      <c r="AI233" s="1142">
        <f>+AD233+I233</f>
        <v>31</v>
      </c>
      <c r="AJ233" s="1142"/>
      <c r="AK233" s="1142"/>
    </row>
    <row r="234" spans="2:46" ht="18.75">
      <c r="C234" s="495">
        <v>3</v>
      </c>
      <c r="D234" s="1144" t="s">
        <v>118</v>
      </c>
      <c r="E234" s="1144"/>
      <c r="F234" s="1144"/>
      <c r="G234" s="1144"/>
      <c r="H234" s="1144"/>
      <c r="I234" s="1145">
        <v>38.5</v>
      </c>
      <c r="J234" s="1145"/>
      <c r="K234" s="1145"/>
      <c r="L234" s="1146">
        <v>1</v>
      </c>
      <c r="M234" s="1146"/>
      <c r="N234" s="1146"/>
      <c r="O234" s="1146">
        <v>2</v>
      </c>
      <c r="P234" s="1146"/>
      <c r="Q234" s="1146"/>
      <c r="R234" s="1147">
        <f t="shared" si="99"/>
        <v>41.5</v>
      </c>
      <c r="S234" s="1147"/>
      <c r="T234" s="1147"/>
      <c r="U234" s="1148">
        <f t="shared" si="100"/>
        <v>287.5</v>
      </c>
      <c r="V234" s="1148"/>
      <c r="W234" s="1149"/>
      <c r="X234" s="1150">
        <f t="shared" si="101"/>
        <v>1232.1428571428571</v>
      </c>
      <c r="Y234" s="1151"/>
      <c r="Z234" s="1152"/>
      <c r="AA234" s="1153">
        <v>31</v>
      </c>
      <c r="AB234" s="1154"/>
      <c r="AC234" s="1154"/>
      <c r="AD234" s="1143">
        <v>0</v>
      </c>
      <c r="AE234" s="1143"/>
      <c r="AF234" s="1143"/>
      <c r="AG234" s="494"/>
      <c r="AH234" s="167"/>
      <c r="AI234" s="167"/>
      <c r="AJ234" s="376"/>
      <c r="AK234" s="376"/>
    </row>
    <row r="235" spans="2:46" ht="18.75">
      <c r="C235" s="495">
        <v>4</v>
      </c>
      <c r="D235" s="1144" t="s">
        <v>119</v>
      </c>
      <c r="E235" s="1144"/>
      <c r="F235" s="1144"/>
      <c r="G235" s="1144"/>
      <c r="H235" s="1144"/>
      <c r="I235" s="1145">
        <v>38.5</v>
      </c>
      <c r="J235" s="1145"/>
      <c r="K235" s="1145"/>
      <c r="L235" s="1146">
        <v>1</v>
      </c>
      <c r="M235" s="1146"/>
      <c r="N235" s="1146"/>
      <c r="O235" s="1146">
        <v>2</v>
      </c>
      <c r="P235" s="1146"/>
      <c r="Q235" s="1146"/>
      <c r="R235" s="1147">
        <f t="shared" si="99"/>
        <v>41.5</v>
      </c>
      <c r="S235" s="1147"/>
      <c r="T235" s="1147"/>
      <c r="U235" s="1148">
        <f t="shared" si="100"/>
        <v>287.5</v>
      </c>
      <c r="V235" s="1148"/>
      <c r="W235" s="1149"/>
      <c r="X235" s="1150">
        <f t="shared" si="101"/>
        <v>1232.1428571428571</v>
      </c>
      <c r="Y235" s="1151"/>
      <c r="Z235" s="1152"/>
      <c r="AA235" s="1153">
        <v>31</v>
      </c>
      <c r="AB235" s="1154"/>
      <c r="AC235" s="1154"/>
      <c r="AD235" s="1143">
        <v>0</v>
      </c>
      <c r="AE235" s="1143"/>
      <c r="AF235" s="1143"/>
      <c r="AG235" s="494"/>
      <c r="AH235" s="167"/>
      <c r="AI235" s="167"/>
      <c r="AJ235" s="376"/>
      <c r="AK235" s="376"/>
    </row>
    <row r="236" spans="2:46" ht="18.75">
      <c r="C236" s="495">
        <v>5</v>
      </c>
      <c r="D236" s="1144" t="s">
        <v>120</v>
      </c>
      <c r="E236" s="1144"/>
      <c r="F236" s="1144"/>
      <c r="G236" s="1144"/>
      <c r="H236" s="1144"/>
      <c r="I236" s="1145">
        <v>38.5</v>
      </c>
      <c r="J236" s="1145"/>
      <c r="K236" s="1145"/>
      <c r="L236" s="1146">
        <v>1</v>
      </c>
      <c r="M236" s="1146"/>
      <c r="N236" s="1146"/>
      <c r="O236" s="1146">
        <v>2</v>
      </c>
      <c r="P236" s="1146"/>
      <c r="Q236" s="1146"/>
      <c r="R236" s="1147">
        <f t="shared" si="99"/>
        <v>41.5</v>
      </c>
      <c r="S236" s="1147"/>
      <c r="T236" s="1147"/>
      <c r="U236" s="1148">
        <f t="shared" si="100"/>
        <v>287.5</v>
      </c>
      <c r="V236" s="1148"/>
      <c r="W236" s="1149"/>
      <c r="X236" s="1150">
        <f t="shared" si="101"/>
        <v>1232.1428571428571</v>
      </c>
      <c r="Y236" s="1151"/>
      <c r="Z236" s="1152"/>
      <c r="AA236" s="1153">
        <v>31</v>
      </c>
      <c r="AB236" s="1154"/>
      <c r="AC236" s="1154"/>
      <c r="AD236" s="1143">
        <v>0</v>
      </c>
      <c r="AE236" s="1143"/>
      <c r="AF236" s="1143"/>
      <c r="AG236" s="494"/>
      <c r="AH236" s="167"/>
      <c r="AI236" s="167"/>
      <c r="AJ236" s="376"/>
      <c r="AK236" s="376"/>
    </row>
    <row r="237" spans="2:46" ht="18.75">
      <c r="C237" s="495">
        <v>6</v>
      </c>
      <c r="D237" s="1144" t="s">
        <v>121</v>
      </c>
      <c r="E237" s="1144"/>
      <c r="F237" s="1144"/>
      <c r="G237" s="1144"/>
      <c r="H237" s="1144"/>
      <c r="I237" s="1145">
        <v>33.799999999999997</v>
      </c>
      <c r="J237" s="1145"/>
      <c r="K237" s="1145"/>
      <c r="L237" s="1146">
        <v>1</v>
      </c>
      <c r="M237" s="1146"/>
      <c r="N237" s="1146"/>
      <c r="O237" s="1146">
        <v>2</v>
      </c>
      <c r="P237" s="1146"/>
      <c r="Q237" s="1146"/>
      <c r="R237" s="1147">
        <f t="shared" si="99"/>
        <v>36.799999999999997</v>
      </c>
      <c r="S237" s="1147"/>
      <c r="T237" s="1147"/>
      <c r="U237" s="1148">
        <f t="shared" si="100"/>
        <v>254.59999999999997</v>
      </c>
      <c r="V237" s="1148"/>
      <c r="W237" s="1149"/>
      <c r="X237" s="1150">
        <f t="shared" si="101"/>
        <v>1091.1428571428569</v>
      </c>
      <c r="Y237" s="1151"/>
      <c r="Z237" s="1152"/>
      <c r="AA237" s="1153">
        <v>31</v>
      </c>
      <c r="AB237" s="1154"/>
      <c r="AC237" s="1154"/>
      <c r="AD237" s="1143">
        <v>0</v>
      </c>
      <c r="AE237" s="1143"/>
      <c r="AF237" s="1143"/>
      <c r="AG237" s="494"/>
      <c r="AH237" s="167"/>
      <c r="AI237" s="167"/>
      <c r="AJ237" s="376"/>
      <c r="AK237" s="376"/>
    </row>
    <row r="238" spans="2:46" ht="18.75">
      <c r="C238" s="495">
        <v>7</v>
      </c>
      <c r="D238" s="1144" t="s">
        <v>122</v>
      </c>
      <c r="E238" s="1144"/>
      <c r="F238" s="1144"/>
      <c r="G238" s="1144"/>
      <c r="H238" s="1144"/>
      <c r="I238" s="1145">
        <v>38.5</v>
      </c>
      <c r="J238" s="1145"/>
      <c r="K238" s="1145"/>
      <c r="L238" s="1146">
        <v>1</v>
      </c>
      <c r="M238" s="1146"/>
      <c r="N238" s="1146"/>
      <c r="O238" s="1146">
        <v>2</v>
      </c>
      <c r="P238" s="1146"/>
      <c r="Q238" s="1146"/>
      <c r="R238" s="1147">
        <f t="shared" si="99"/>
        <v>41.5</v>
      </c>
      <c r="S238" s="1147"/>
      <c r="T238" s="1147"/>
      <c r="U238" s="1148">
        <f t="shared" si="100"/>
        <v>287.5</v>
      </c>
      <c r="V238" s="1148"/>
      <c r="W238" s="1149"/>
      <c r="X238" s="1150">
        <f t="shared" si="101"/>
        <v>1232.1428571428571</v>
      </c>
      <c r="Y238" s="1151"/>
      <c r="Z238" s="1152"/>
      <c r="AA238" s="1153">
        <v>31</v>
      </c>
      <c r="AB238" s="1154"/>
      <c r="AC238" s="1154"/>
      <c r="AD238" s="1143">
        <v>0</v>
      </c>
      <c r="AE238" s="1143"/>
      <c r="AF238" s="1143"/>
      <c r="AG238" s="494"/>
      <c r="AH238" s="167"/>
      <c r="AI238" s="167"/>
      <c r="AJ238" s="376"/>
      <c r="AK238" s="376"/>
    </row>
    <row r="239" spans="2:46" ht="18.75">
      <c r="C239" s="495">
        <v>8</v>
      </c>
      <c r="D239" s="1144" t="s">
        <v>66</v>
      </c>
      <c r="E239" s="1144"/>
      <c r="F239" s="1144"/>
      <c r="G239" s="1144"/>
      <c r="H239" s="1144"/>
      <c r="I239" s="1145">
        <v>34.095199999999998</v>
      </c>
      <c r="J239" s="1145"/>
      <c r="K239" s="1145"/>
      <c r="L239" s="1146">
        <v>1</v>
      </c>
      <c r="M239" s="1146"/>
      <c r="N239" s="1146"/>
      <c r="O239" s="1146">
        <v>2</v>
      </c>
      <c r="P239" s="1146"/>
      <c r="Q239" s="1146"/>
      <c r="R239" s="1147">
        <f t="shared" si="99"/>
        <v>37.095199999999998</v>
      </c>
      <c r="S239" s="1147"/>
      <c r="T239" s="1147"/>
      <c r="U239" s="1148">
        <f t="shared" si="100"/>
        <v>256.66639999999995</v>
      </c>
      <c r="V239" s="1148"/>
      <c r="W239" s="1149"/>
      <c r="X239" s="1150">
        <f t="shared" si="101"/>
        <v>1099.9988571428571</v>
      </c>
      <c r="Y239" s="1151"/>
      <c r="Z239" s="1152"/>
      <c r="AA239" s="1153">
        <v>31</v>
      </c>
      <c r="AB239" s="1154"/>
      <c r="AC239" s="1154"/>
      <c r="AD239" s="1143">
        <v>0</v>
      </c>
      <c r="AE239" s="1143"/>
      <c r="AF239" s="1143"/>
      <c r="AG239" s="494"/>
      <c r="AH239" s="167"/>
      <c r="AI239" s="167"/>
      <c r="AJ239" s="376"/>
      <c r="AK239" s="376"/>
    </row>
    <row r="240" spans="2:46" ht="17.25">
      <c r="C240" s="495">
        <v>9</v>
      </c>
      <c r="D240" s="1144"/>
      <c r="E240" s="1144"/>
      <c r="F240" s="1144"/>
      <c r="G240" s="1144"/>
      <c r="H240" s="1144"/>
      <c r="I240" s="1165"/>
      <c r="J240" s="1165"/>
      <c r="K240" s="1165"/>
      <c r="L240" s="1146"/>
      <c r="M240" s="1146"/>
      <c r="N240" s="1146"/>
      <c r="O240" s="1146"/>
      <c r="P240" s="1146"/>
      <c r="Q240" s="1146"/>
      <c r="R240" s="1160"/>
      <c r="S240" s="1160"/>
      <c r="T240" s="1160"/>
      <c r="U240" s="1148"/>
      <c r="V240" s="1148"/>
      <c r="W240" s="1149"/>
      <c r="X240" s="1150"/>
      <c r="Y240" s="1151"/>
      <c r="Z240" s="1152"/>
      <c r="AA240" s="1153"/>
      <c r="AB240" s="1154"/>
      <c r="AC240" s="1154"/>
      <c r="AD240" s="1143"/>
      <c r="AE240" s="1143"/>
      <c r="AF240" s="1143"/>
      <c r="AG240" s="494"/>
      <c r="AH240" s="167"/>
      <c r="AI240" s="167"/>
      <c r="AJ240" s="376"/>
      <c r="AK240" s="376"/>
    </row>
    <row r="241" spans="2:46" ht="17.25">
      <c r="C241" s="492"/>
      <c r="D241" s="409"/>
      <c r="E241" s="410"/>
      <c r="F241" s="411"/>
      <c r="G241" s="333"/>
      <c r="H241" s="333"/>
      <c r="I241" s="411"/>
      <c r="J241" s="333"/>
      <c r="K241" s="405"/>
      <c r="L241" s="405"/>
      <c r="M241" s="333"/>
      <c r="N241" s="333"/>
      <c r="O241" s="333"/>
      <c r="P241" s="333"/>
      <c r="Q241" s="333"/>
      <c r="R241" s="333"/>
      <c r="S241" s="1160" t="s">
        <v>23</v>
      </c>
      <c r="T241" s="1160"/>
      <c r="U241" s="1160"/>
      <c r="V241" s="333"/>
      <c r="W241" s="333"/>
      <c r="X241" s="1161">
        <f>SUM(X232:Z240)</f>
        <v>8969.718857142856</v>
      </c>
      <c r="Y241" s="1162"/>
      <c r="Z241" s="1163"/>
      <c r="AA241" s="496"/>
      <c r="AB241" s="496"/>
      <c r="AC241" s="496"/>
      <c r="AD241" s="1164">
        <f>SUM(AD232:AF240)</f>
        <v>5.4759999999999991</v>
      </c>
      <c r="AE241" s="1164"/>
      <c r="AF241" s="1164"/>
      <c r="AG241" s="494"/>
      <c r="AH241" s="167"/>
      <c r="AI241" s="167"/>
      <c r="AJ241" s="376"/>
      <c r="AK241" s="376"/>
    </row>
    <row r="242" spans="2:46" ht="15.75" thickBot="1">
      <c r="C242" s="492"/>
      <c r="D242" s="1155">
        <v>28.333300000000001</v>
      </c>
      <c r="E242" s="1155"/>
      <c r="F242" s="1155"/>
      <c r="G242" s="497" t="s">
        <v>123</v>
      </c>
      <c r="H242" s="333"/>
      <c r="I242" s="411"/>
      <c r="J242" s="333"/>
      <c r="K242" s="405"/>
      <c r="L242" s="405"/>
      <c r="M242" s="333"/>
      <c r="N242" s="333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  <c r="Z242" s="333"/>
      <c r="AA242" s="167"/>
      <c r="AB242" s="167"/>
      <c r="AC242" s="167"/>
      <c r="AD242" s="167"/>
      <c r="AE242" s="376"/>
      <c r="AF242" s="376"/>
      <c r="AG242" s="494"/>
      <c r="AH242" s="167"/>
      <c r="AI242" s="167"/>
      <c r="AJ242" s="376"/>
      <c r="AK242" s="376"/>
    </row>
    <row r="243" spans="2:46" ht="15.75" thickBot="1">
      <c r="C243" s="492"/>
      <c r="D243" s="1155">
        <v>31</v>
      </c>
      <c r="E243" s="1155"/>
      <c r="F243" s="1155"/>
      <c r="G243" s="497" t="s">
        <v>124</v>
      </c>
      <c r="H243" s="333"/>
      <c r="I243" s="411"/>
      <c r="J243" s="333"/>
      <c r="K243" s="405"/>
      <c r="L243" s="405"/>
      <c r="M243" s="1155">
        <f>+D243-D242</f>
        <v>2.6666999999999987</v>
      </c>
      <c r="N243" s="1155"/>
      <c r="O243" s="1155"/>
      <c r="P243" s="498" t="s">
        <v>125</v>
      </c>
      <c r="Q243" s="333"/>
      <c r="R243" s="333"/>
      <c r="S243" s="333"/>
      <c r="T243" s="499"/>
      <c r="U243" s="333"/>
      <c r="V243" s="333"/>
      <c r="W243" s="499" t="s">
        <v>126</v>
      </c>
      <c r="X243" s="333"/>
      <c r="Y243" s="333"/>
      <c r="Z243" s="333"/>
      <c r="AA243" s="167"/>
      <c r="AB243" s="167"/>
      <c r="AC243" s="167"/>
      <c r="AD243" s="1156">
        <f>+AD241</f>
        <v>5.4759999999999991</v>
      </c>
      <c r="AE243" s="1157"/>
      <c r="AF243" s="1158"/>
      <c r="AG243" s="494"/>
      <c r="AH243" s="167"/>
      <c r="AI243" s="167"/>
      <c r="AJ243" s="376"/>
      <c r="AK243" s="376"/>
    </row>
    <row r="244" spans="2:46" ht="15.75" thickBot="1">
      <c r="C244" s="500"/>
      <c r="D244" s="501"/>
      <c r="E244" s="502"/>
      <c r="F244" s="503"/>
      <c r="G244" s="501"/>
      <c r="H244" s="501"/>
      <c r="I244" s="503"/>
      <c r="J244" s="501"/>
      <c r="K244" s="504"/>
      <c r="L244" s="504"/>
      <c r="M244" s="501"/>
      <c r="N244" s="501"/>
      <c r="O244" s="501"/>
      <c r="P244" s="501"/>
      <c r="Q244" s="501"/>
      <c r="R244" s="501"/>
      <c r="S244" s="501"/>
      <c r="T244" s="501"/>
      <c r="U244" s="501"/>
      <c r="V244" s="501"/>
      <c r="W244" s="501"/>
      <c r="X244" s="501"/>
      <c r="Y244" s="501"/>
      <c r="Z244" s="501"/>
      <c r="AA244" s="505"/>
      <c r="AB244" s="505"/>
      <c r="AC244" s="505"/>
      <c r="AD244" s="506"/>
      <c r="AE244" s="506"/>
      <c r="AF244" s="506"/>
      <c r="AG244" s="507"/>
      <c r="AH244" s="167"/>
      <c r="AI244" s="167"/>
      <c r="AJ244" s="376"/>
      <c r="AK244" s="376"/>
    </row>
    <row r="245" spans="2:46">
      <c r="AG245" s="267"/>
      <c r="AH245" s="267"/>
      <c r="AI245" s="267"/>
      <c r="AJ245" s="267"/>
      <c r="AK245" s="267"/>
      <c r="AL245" s="267"/>
      <c r="AM245" s="267"/>
      <c r="AN245" s="267"/>
      <c r="AO245" s="267"/>
    </row>
    <row r="246" spans="2:46" ht="15.75" thickBot="1">
      <c r="AG246" s="267"/>
      <c r="AH246" s="267"/>
      <c r="AI246" s="267"/>
      <c r="AJ246" s="267"/>
      <c r="AK246" s="267"/>
      <c r="AL246" s="267"/>
      <c r="AM246" s="267"/>
      <c r="AN246" s="267"/>
      <c r="AO246" s="267"/>
    </row>
    <row r="247" spans="2:46" ht="16.5" thickBot="1">
      <c r="B247" s="508">
        <v>850</v>
      </c>
      <c r="C247" s="509" t="s">
        <v>67</v>
      </c>
      <c r="D247" s="510"/>
      <c r="E247" s="511" t="s">
        <v>49</v>
      </c>
      <c r="F247" s="512"/>
      <c r="G247" s="510"/>
      <c r="H247" s="510"/>
      <c r="I247" s="512"/>
      <c r="J247" s="510"/>
      <c r="K247" s="512"/>
      <c r="L247" s="512"/>
      <c r="M247" s="510"/>
      <c r="N247" s="510"/>
      <c r="O247" s="510"/>
      <c r="P247" s="510"/>
      <c r="Q247" s="510"/>
      <c r="R247" s="510"/>
      <c r="S247" s="510"/>
      <c r="T247" s="510"/>
      <c r="U247" s="510"/>
      <c r="V247" s="510"/>
      <c r="W247" s="510"/>
      <c r="X247" s="510"/>
      <c r="Y247" s="510"/>
      <c r="Z247" s="510"/>
      <c r="AA247" s="513"/>
      <c r="AB247" s="513"/>
      <c r="AC247" s="514"/>
      <c r="AD247" s="296"/>
      <c r="AE247" s="296"/>
      <c r="AF247" s="296"/>
      <c r="AG247" s="296"/>
      <c r="AH247" s="296"/>
      <c r="AI247" s="296"/>
      <c r="AJ247" s="296"/>
      <c r="AK247" s="296"/>
      <c r="AL247" s="296"/>
      <c r="AM247" s="296"/>
      <c r="AN247" s="296"/>
      <c r="AO247" s="296"/>
      <c r="AP247" s="267"/>
      <c r="AQ247" s="267"/>
      <c r="AR247" s="267"/>
      <c r="AS247" s="267"/>
      <c r="AT247" s="267"/>
    </row>
    <row r="248" spans="2:46" ht="15.75">
      <c r="B248" s="515">
        <f>+B247/30*7</f>
        <v>198.33333333333331</v>
      </c>
      <c r="C248" s="516" t="s">
        <v>68</v>
      </c>
      <c r="D248" s="517"/>
      <c r="E248" s="518"/>
      <c r="F248" s="519"/>
      <c r="G248" s="518"/>
      <c r="H248" s="518"/>
      <c r="I248" s="519"/>
      <c r="J248" s="518"/>
      <c r="K248" s="519"/>
      <c r="L248" s="519"/>
      <c r="M248" s="518"/>
      <c r="N248" s="518"/>
      <c r="O248" s="1159" t="s">
        <v>127</v>
      </c>
      <c r="P248" s="1159"/>
      <c r="Q248" s="1159"/>
      <c r="R248" s="1159"/>
      <c r="S248" s="1159"/>
      <c r="T248" s="1159"/>
      <c r="U248" s="1159"/>
      <c r="V248" s="1159"/>
      <c r="W248" s="1159"/>
      <c r="X248" s="1159"/>
      <c r="Y248" s="1159"/>
      <c r="Z248" s="1159"/>
      <c r="AA248" s="520"/>
      <c r="AB248" s="520"/>
      <c r="AC248" s="521"/>
      <c r="AD248" s="296"/>
      <c r="AE248" s="556"/>
      <c r="AF248" s="556"/>
      <c r="AG248" s="296"/>
      <c r="AH248" s="296"/>
      <c r="AI248" s="296"/>
      <c r="AJ248" s="556"/>
      <c r="AK248" s="556"/>
      <c r="AL248" s="296"/>
      <c r="AM248" s="296"/>
      <c r="AN248" s="296"/>
      <c r="AO248" s="296"/>
      <c r="AP248" s="267"/>
      <c r="AQ248" s="267"/>
      <c r="AR248" s="267"/>
      <c r="AS248" s="267"/>
      <c r="AT248" s="267"/>
    </row>
    <row r="249" spans="2:46">
      <c r="B249" s="515">
        <f>+B248-18</f>
        <v>180.33333333333331</v>
      </c>
      <c r="C249" s="516" t="s">
        <v>70</v>
      </c>
      <c r="D249" s="518"/>
      <c r="E249" s="518"/>
      <c r="F249" s="519"/>
      <c r="G249" s="518"/>
      <c r="H249" s="518"/>
      <c r="I249" s="519"/>
      <c r="J249" s="518"/>
      <c r="K249" s="519"/>
      <c r="L249" s="519"/>
      <c r="M249" s="518"/>
      <c r="N249" s="518"/>
      <c r="O249" s="1159">
        <f>+B247</f>
        <v>850</v>
      </c>
      <c r="P249" s="1159"/>
      <c r="Q249" s="1159" t="s">
        <v>71</v>
      </c>
      <c r="R249" s="1159"/>
      <c r="S249" s="1159"/>
      <c r="T249" s="1159"/>
      <c r="U249" s="1159"/>
      <c r="V249" s="1159"/>
      <c r="W249" s="1159"/>
      <c r="X249" s="1159"/>
      <c r="Y249" s="1159"/>
      <c r="Z249" s="1159"/>
      <c r="AA249" s="520" t="s">
        <v>72</v>
      </c>
      <c r="AB249" s="520"/>
      <c r="AC249" s="521"/>
      <c r="AD249" s="296"/>
      <c r="AE249" s="556"/>
      <c r="AF249" s="556"/>
      <c r="AG249" s="296"/>
      <c r="AH249" s="296"/>
      <c r="AI249" s="296"/>
      <c r="AJ249" s="556"/>
      <c r="AK249" s="556"/>
      <c r="AL249" s="296"/>
      <c r="AM249" s="296"/>
      <c r="AN249" s="296"/>
      <c r="AO249" s="296"/>
      <c r="AP249" s="267"/>
      <c r="AQ249" s="267"/>
      <c r="AR249" s="267"/>
      <c r="AS249" s="267"/>
      <c r="AT249" s="267"/>
    </row>
    <row r="250" spans="2:46">
      <c r="B250" s="522">
        <f>+B249/7</f>
        <v>25.761904761904759</v>
      </c>
      <c r="C250" s="523" t="s">
        <v>73</v>
      </c>
      <c r="D250" s="524"/>
      <c r="E250" s="518"/>
      <c r="F250" s="519"/>
      <c r="G250" s="518"/>
      <c r="H250" s="518"/>
      <c r="I250" s="519"/>
      <c r="J250" s="518"/>
      <c r="K250" s="519"/>
      <c r="L250" s="519"/>
      <c r="M250" s="518"/>
      <c r="N250" s="518"/>
      <c r="O250" s="1159">
        <f>+O249/30*7</f>
        <v>198.33333333333331</v>
      </c>
      <c r="P250" s="1159"/>
      <c r="Q250" s="1159" t="s">
        <v>74</v>
      </c>
      <c r="R250" s="1159"/>
      <c r="S250" s="1159"/>
      <c r="T250" s="1159"/>
      <c r="U250" s="1159"/>
      <c r="V250" s="1159"/>
      <c r="W250" s="1159"/>
      <c r="X250" s="1159"/>
      <c r="Y250" s="1159"/>
      <c r="Z250" s="1159"/>
      <c r="AA250" s="1166">
        <f>+O250*0.87</f>
        <v>172.54999999999998</v>
      </c>
      <c r="AB250" s="1166"/>
      <c r="AC250" s="521"/>
      <c r="AD250" s="296"/>
      <c r="AE250" s="384"/>
      <c r="AF250" s="384"/>
      <c r="AG250" s="296"/>
      <c r="AH250" s="296"/>
      <c r="AI250" s="296"/>
      <c r="AJ250" s="384"/>
      <c r="AK250" s="384"/>
      <c r="AL250" s="385"/>
      <c r="AM250" s="385"/>
      <c r="AN250" s="385"/>
      <c r="AO250" s="385"/>
      <c r="AP250" s="386"/>
      <c r="AQ250" s="386"/>
      <c r="AR250" s="267"/>
      <c r="AS250" s="267"/>
      <c r="AT250" s="267"/>
    </row>
    <row r="251" spans="2:46">
      <c r="B251" s="525"/>
      <c r="C251" s="518"/>
      <c r="D251" s="518"/>
      <c r="E251" s="518"/>
      <c r="F251" s="519"/>
      <c r="G251" s="518"/>
      <c r="H251" s="518"/>
      <c r="I251" s="519"/>
      <c r="J251" s="518"/>
      <c r="K251" s="519"/>
      <c r="L251" s="519"/>
      <c r="M251" s="518"/>
      <c r="N251" s="518"/>
      <c r="O251" s="1159">
        <f>+O250/7</f>
        <v>28.333333333333332</v>
      </c>
      <c r="P251" s="1159"/>
      <c r="Q251" s="1159" t="s">
        <v>75</v>
      </c>
      <c r="R251" s="1159"/>
      <c r="S251" s="1159"/>
      <c r="T251" s="1159"/>
      <c r="U251" s="1159"/>
      <c r="V251" s="1159"/>
      <c r="W251" s="1159"/>
      <c r="X251" s="1159"/>
      <c r="Y251" s="1159"/>
      <c r="Z251" s="1159"/>
      <c r="AA251" s="520"/>
      <c r="AB251" s="520"/>
      <c r="AC251" s="521"/>
      <c r="AD251" s="296"/>
      <c r="AE251" s="556"/>
      <c r="AF251" s="556"/>
      <c r="AG251" s="296"/>
      <c r="AH251" s="296"/>
      <c r="AI251" s="296"/>
      <c r="AJ251" s="556"/>
      <c r="AK251" s="556"/>
      <c r="AL251" s="387"/>
      <c r="AM251" s="387"/>
      <c r="AN251" s="385"/>
      <c r="AO251" s="385"/>
      <c r="AP251" s="386"/>
      <c r="AQ251" s="386"/>
      <c r="AR251" s="267"/>
      <c r="AS251" s="267"/>
      <c r="AT251" s="267"/>
    </row>
    <row r="252" spans="2:46" ht="15.75">
      <c r="B252" s="526">
        <f>+B250</f>
        <v>25.761904761904759</v>
      </c>
      <c r="C252" s="527" t="s">
        <v>128</v>
      </c>
      <c r="D252" s="528"/>
      <c r="E252" s="528"/>
      <c r="F252" s="528"/>
      <c r="G252" s="518"/>
      <c r="H252" s="518"/>
      <c r="I252" s="519"/>
      <c r="J252" s="518"/>
      <c r="K252" s="519"/>
      <c r="L252" s="519"/>
      <c r="M252" s="518"/>
      <c r="N252" s="518"/>
      <c r="O252" s="1159">
        <f>(O250-18)/7</f>
        <v>25.761904761904759</v>
      </c>
      <c r="P252" s="1159"/>
      <c r="Q252" s="1159" t="s">
        <v>77</v>
      </c>
      <c r="R252" s="1159"/>
      <c r="S252" s="1159"/>
      <c r="T252" s="1159"/>
      <c r="U252" s="1159"/>
      <c r="V252" s="1159"/>
      <c r="W252" s="1159"/>
      <c r="X252" s="1159"/>
      <c r="Y252" s="1159"/>
      <c r="Z252" s="1159"/>
      <c r="AA252" s="520"/>
      <c r="AB252" s="520"/>
      <c r="AC252" s="521"/>
      <c r="AD252" s="296"/>
      <c r="AE252" s="391"/>
      <c r="AF252" s="391"/>
      <c r="AG252" s="392"/>
      <c r="AH252" s="392"/>
      <c r="AI252" s="392"/>
      <c r="AJ252" s="391"/>
      <c r="AK252" s="391"/>
      <c r="AL252" s="385"/>
      <c r="AM252" s="385"/>
      <c r="AN252" s="385"/>
      <c r="AO252" s="385"/>
      <c r="AP252" s="386"/>
      <c r="AQ252" s="386"/>
      <c r="AR252" s="267"/>
      <c r="AS252" s="267"/>
      <c r="AT252" s="267"/>
    </row>
    <row r="253" spans="2:46">
      <c r="B253" s="515">
        <v>3</v>
      </c>
      <c r="C253" s="516" t="s">
        <v>78</v>
      </c>
      <c r="D253" s="518"/>
      <c r="E253" s="518"/>
      <c r="F253" s="519"/>
      <c r="G253" s="518"/>
      <c r="H253" s="518"/>
      <c r="I253" s="519"/>
      <c r="J253" s="518"/>
      <c r="K253" s="519"/>
      <c r="L253" s="519"/>
      <c r="M253" s="518"/>
      <c r="N253" s="518"/>
      <c r="O253" s="1159">
        <v>3</v>
      </c>
      <c r="P253" s="1159"/>
      <c r="Q253" s="1159" t="s">
        <v>79</v>
      </c>
      <c r="R253" s="1159"/>
      <c r="S253" s="1159"/>
      <c r="T253" s="1159"/>
      <c r="U253" s="1159"/>
      <c r="V253" s="1159"/>
      <c r="W253" s="1159"/>
      <c r="X253" s="1159"/>
      <c r="Y253" s="1159"/>
      <c r="Z253" s="1159"/>
      <c r="AA253" s="520"/>
      <c r="AB253" s="520"/>
      <c r="AC253" s="521"/>
      <c r="AD253" s="296"/>
      <c r="AE253" s="296"/>
      <c r="AF253" s="996">
        <v>993814365</v>
      </c>
      <c r="AG253" s="996"/>
      <c r="AH253" s="996"/>
      <c r="AI253" s="996"/>
      <c r="AJ253" s="996"/>
      <c r="AK253" s="296"/>
      <c r="AL253" s="385"/>
      <c r="AM253" s="385"/>
      <c r="AN253" s="385"/>
      <c r="AO253" s="385"/>
      <c r="AP253" s="386"/>
      <c r="AQ253" s="386"/>
      <c r="AR253" s="267"/>
      <c r="AS253" s="267"/>
      <c r="AT253" s="267"/>
    </row>
    <row r="254" spans="2:46">
      <c r="B254" s="522">
        <f>+B253+B252</f>
        <v>28.761904761904759</v>
      </c>
      <c r="C254" s="523" t="s">
        <v>80</v>
      </c>
      <c r="D254" s="529"/>
      <c r="E254" s="529"/>
      <c r="F254" s="530"/>
      <c r="G254" s="529"/>
      <c r="H254" s="529"/>
      <c r="I254" s="530"/>
      <c r="J254" s="529"/>
      <c r="K254" s="530"/>
      <c r="L254" s="530"/>
      <c r="M254" s="524"/>
      <c r="N254" s="518"/>
      <c r="O254" s="1159">
        <f>+O253+O252</f>
        <v>28.761904761904759</v>
      </c>
      <c r="P254" s="1159"/>
      <c r="Q254" s="518"/>
      <c r="R254" s="518"/>
      <c r="S254" s="518"/>
      <c r="T254" s="518"/>
      <c r="U254" s="518"/>
      <c r="V254" s="518"/>
      <c r="W254" s="518"/>
      <c r="X254" s="518"/>
      <c r="Y254" s="518"/>
      <c r="Z254" s="518"/>
      <c r="AA254" s="520"/>
      <c r="AB254" s="520"/>
      <c r="AC254" s="521"/>
      <c r="AD254" s="296"/>
      <c r="AE254" s="556"/>
      <c r="AF254" s="556"/>
      <c r="AG254" s="296"/>
      <c r="AH254" s="296"/>
      <c r="AI254" s="296"/>
      <c r="AJ254" s="556"/>
      <c r="AK254" s="556"/>
      <c r="AL254" s="387"/>
      <c r="AM254" s="387"/>
      <c r="AN254" s="387"/>
      <c r="AO254" s="387"/>
      <c r="AP254" s="397"/>
      <c r="AQ254" s="267"/>
      <c r="AR254" s="267"/>
      <c r="AS254" s="267"/>
      <c r="AT254" s="267"/>
    </row>
    <row r="255" spans="2:46">
      <c r="B255" s="515"/>
      <c r="C255" s="518"/>
      <c r="D255" s="518"/>
      <c r="E255" s="518"/>
      <c r="F255" s="519"/>
      <c r="G255" s="518"/>
      <c r="H255" s="518"/>
      <c r="I255" s="519"/>
      <c r="J255" s="518"/>
      <c r="K255" s="519"/>
      <c r="L255" s="519"/>
      <c r="M255" s="518"/>
      <c r="N255" s="518"/>
      <c r="O255" s="518"/>
      <c r="P255" s="518"/>
      <c r="Q255" s="518"/>
      <c r="R255" s="518"/>
      <c r="S255" s="518"/>
      <c r="T255" s="518"/>
      <c r="U255" s="518"/>
      <c r="V255" s="518"/>
      <c r="W255" s="518"/>
      <c r="X255" s="518"/>
      <c r="Y255" s="518"/>
      <c r="Z255" s="518"/>
      <c r="AA255" s="520"/>
      <c r="AB255" s="520"/>
      <c r="AC255" s="521"/>
      <c r="AD255" s="296"/>
      <c r="AE255" s="398"/>
      <c r="AF255" s="398"/>
      <c r="AG255" s="398"/>
      <c r="AH255" s="296"/>
      <c r="AI255" s="296"/>
      <c r="AJ255" s="398"/>
      <c r="AK255" s="398"/>
      <c r="AL255" s="385"/>
      <c r="AM255" s="296"/>
      <c r="AN255" s="296"/>
      <c r="AO255" s="296"/>
      <c r="AP255" s="267"/>
      <c r="AQ255" s="267"/>
      <c r="AR255" s="267"/>
      <c r="AS255" s="267"/>
      <c r="AT255" s="267"/>
    </row>
    <row r="256" spans="2:46">
      <c r="B256" s="515">
        <f>+B254*6</f>
        <v>172.57142857142856</v>
      </c>
      <c r="C256" s="516" t="s">
        <v>81</v>
      </c>
      <c r="D256" s="518"/>
      <c r="E256" s="518"/>
      <c r="F256" s="519"/>
      <c r="G256" s="518"/>
      <c r="H256" s="518"/>
      <c r="I256" s="519"/>
      <c r="J256" s="518"/>
      <c r="K256" s="519"/>
      <c r="L256" s="519"/>
      <c r="M256" s="518"/>
      <c r="N256" s="518"/>
      <c r="O256" s="1159" t="s">
        <v>129</v>
      </c>
      <c r="P256" s="1159"/>
      <c r="Q256" s="1159"/>
      <c r="R256" s="1159"/>
      <c r="S256" s="1159"/>
      <c r="T256" s="1159"/>
      <c r="U256" s="1159"/>
      <c r="V256" s="1159"/>
      <c r="W256" s="1159"/>
      <c r="X256" s="1159"/>
      <c r="Y256" s="1159"/>
      <c r="Z256" s="1159"/>
      <c r="AA256" s="520"/>
      <c r="AB256" s="520"/>
      <c r="AC256" s="521"/>
      <c r="AD256" s="296"/>
      <c r="AE256" s="296"/>
      <c r="AF256" s="296"/>
      <c r="AG256" s="296"/>
      <c r="AH256" s="296"/>
      <c r="AI256" s="385"/>
      <c r="AJ256" s="385"/>
      <c r="AK256" s="387"/>
      <c r="AL256" s="555"/>
      <c r="AM256" s="556"/>
      <c r="AN256" s="555"/>
      <c r="AO256" s="296"/>
      <c r="AP256" s="267"/>
      <c r="AQ256" s="267"/>
      <c r="AR256" s="267"/>
      <c r="AS256" s="267"/>
      <c r="AT256" s="267"/>
    </row>
    <row r="257" spans="2:41">
      <c r="B257" s="531">
        <f>+B252</f>
        <v>25.761904761904759</v>
      </c>
      <c r="C257" s="532" t="s">
        <v>83</v>
      </c>
      <c r="D257" s="533"/>
      <c r="E257" s="533"/>
      <c r="F257" s="534"/>
      <c r="G257" s="533"/>
      <c r="H257" s="533"/>
      <c r="I257" s="534"/>
      <c r="J257" s="533"/>
      <c r="K257" s="534"/>
      <c r="L257" s="519"/>
      <c r="M257" s="518"/>
      <c r="N257" s="518"/>
      <c r="O257" s="1159">
        <f>+O249*1.1</f>
        <v>935.00000000000011</v>
      </c>
      <c r="P257" s="1159"/>
      <c r="Q257" s="1159" t="s">
        <v>71</v>
      </c>
      <c r="R257" s="1159"/>
      <c r="S257" s="1159"/>
      <c r="T257" s="1159"/>
      <c r="U257" s="1159"/>
      <c r="V257" s="1159"/>
      <c r="W257" s="1159"/>
      <c r="X257" s="1159"/>
      <c r="Y257" s="1159"/>
      <c r="Z257" s="1159"/>
      <c r="AA257" s="520" t="s">
        <v>84</v>
      </c>
      <c r="AB257" s="520"/>
      <c r="AC257" s="521"/>
      <c r="AG257" s="267"/>
      <c r="AH257" s="267"/>
      <c r="AI257" s="386"/>
      <c r="AJ257" s="386"/>
      <c r="AK257" s="386"/>
      <c r="AL257" s="267"/>
      <c r="AM257" s="267"/>
      <c r="AN257" s="267"/>
      <c r="AO257" s="267"/>
    </row>
    <row r="258" spans="2:41">
      <c r="B258" s="522">
        <f>+B257+B256</f>
        <v>198.33333333333331</v>
      </c>
      <c r="C258" s="523" t="s">
        <v>85</v>
      </c>
      <c r="D258" s="529"/>
      <c r="E258" s="529"/>
      <c r="F258" s="530"/>
      <c r="G258" s="529"/>
      <c r="H258" s="529"/>
      <c r="I258" s="530"/>
      <c r="J258" s="529"/>
      <c r="K258" s="535"/>
      <c r="L258" s="519"/>
      <c r="M258" s="518"/>
      <c r="N258" s="518"/>
      <c r="O258" s="1159">
        <f>+O257/30*7</f>
        <v>218.16666666666669</v>
      </c>
      <c r="P258" s="1159"/>
      <c r="Q258" s="1159" t="s">
        <v>74</v>
      </c>
      <c r="R258" s="1159"/>
      <c r="S258" s="1159"/>
      <c r="T258" s="1159"/>
      <c r="U258" s="1159"/>
      <c r="V258" s="1159"/>
      <c r="W258" s="1159"/>
      <c r="X258" s="1159"/>
      <c r="Y258" s="1159"/>
      <c r="Z258" s="1159"/>
      <c r="AA258" s="1166">
        <f>+O258*0.87</f>
        <v>189.80500000000001</v>
      </c>
      <c r="AB258" s="1166"/>
      <c r="AC258" s="521"/>
      <c r="AG258" s="267"/>
      <c r="AH258" s="267"/>
      <c r="AI258" s="386"/>
      <c r="AJ258" s="386"/>
      <c r="AK258" s="407"/>
      <c r="AL258" s="267"/>
      <c r="AM258" s="267"/>
      <c r="AN258" s="267"/>
      <c r="AO258" s="267"/>
    </row>
    <row r="259" spans="2:41">
      <c r="B259" s="515"/>
      <c r="C259" s="516"/>
      <c r="D259" s="518"/>
      <c r="E259" s="518"/>
      <c r="F259" s="519"/>
      <c r="G259" s="518"/>
      <c r="H259" s="518"/>
      <c r="I259" s="519"/>
      <c r="J259" s="518"/>
      <c r="K259" s="519"/>
      <c r="L259" s="519"/>
      <c r="M259" s="518"/>
      <c r="N259" s="518"/>
      <c r="O259" s="1159">
        <f>+O258/7</f>
        <v>31.166666666666668</v>
      </c>
      <c r="P259" s="1159"/>
      <c r="Q259" s="1159" t="s">
        <v>75</v>
      </c>
      <c r="R259" s="1159"/>
      <c r="S259" s="1159"/>
      <c r="T259" s="1159"/>
      <c r="U259" s="1159"/>
      <c r="V259" s="1159"/>
      <c r="W259" s="1159"/>
      <c r="X259" s="1159"/>
      <c r="Y259" s="1159"/>
      <c r="Z259" s="1159"/>
      <c r="AA259" s="520"/>
      <c r="AB259" s="520"/>
      <c r="AC259" s="521"/>
      <c r="AG259" s="267"/>
      <c r="AH259" s="267"/>
      <c r="AI259" s="412"/>
      <c r="AJ259" s="413"/>
      <c r="AK259" s="407"/>
      <c r="AL259" s="267"/>
      <c r="AM259" s="267"/>
      <c r="AN259" s="267"/>
      <c r="AO259" s="267"/>
    </row>
    <row r="260" spans="2:41">
      <c r="B260" s="536">
        <f>+B258/7</f>
        <v>28.333333333333332</v>
      </c>
      <c r="C260" s="537" t="s">
        <v>86</v>
      </c>
      <c r="D260" s="518"/>
      <c r="E260" s="518"/>
      <c r="F260" s="519"/>
      <c r="G260" s="518"/>
      <c r="H260" s="518"/>
      <c r="I260" s="519"/>
      <c r="J260" s="518"/>
      <c r="K260" s="519"/>
      <c r="L260" s="519"/>
      <c r="M260" s="518"/>
      <c r="N260" s="518"/>
      <c r="O260" s="1159">
        <f>(O258-18)/7</f>
        <v>28.595238095238098</v>
      </c>
      <c r="P260" s="1159"/>
      <c r="Q260" s="1159" t="s">
        <v>77</v>
      </c>
      <c r="R260" s="1159"/>
      <c r="S260" s="1159"/>
      <c r="T260" s="1159"/>
      <c r="U260" s="1159"/>
      <c r="V260" s="1159"/>
      <c r="W260" s="1159"/>
      <c r="X260" s="1159"/>
      <c r="Y260" s="1159"/>
      <c r="Z260" s="1159"/>
      <c r="AA260" s="520"/>
      <c r="AB260" s="520"/>
      <c r="AC260" s="521"/>
      <c r="AG260" s="267"/>
      <c r="AH260" s="267"/>
      <c r="AI260" s="267"/>
      <c r="AJ260" s="267"/>
      <c r="AK260" s="407"/>
      <c r="AL260" s="267"/>
      <c r="AM260" s="267"/>
      <c r="AN260" s="267"/>
      <c r="AO260" s="267"/>
    </row>
    <row r="261" spans="2:41">
      <c r="B261" s="515"/>
      <c r="C261" s="516"/>
      <c r="D261" s="518"/>
      <c r="E261" s="518"/>
      <c r="F261" s="519"/>
      <c r="G261" s="518"/>
      <c r="H261" s="518"/>
      <c r="I261" s="519"/>
      <c r="J261" s="518"/>
      <c r="K261" s="519"/>
      <c r="L261" s="519"/>
      <c r="M261" s="518"/>
      <c r="N261" s="518"/>
      <c r="O261" s="1159">
        <v>3</v>
      </c>
      <c r="P261" s="1159"/>
      <c r="Q261" s="1159" t="s">
        <v>79</v>
      </c>
      <c r="R261" s="1159"/>
      <c r="S261" s="1159"/>
      <c r="T261" s="1159"/>
      <c r="U261" s="1159"/>
      <c r="V261" s="1159"/>
      <c r="W261" s="1159"/>
      <c r="X261" s="1159"/>
      <c r="Y261" s="1159"/>
      <c r="Z261" s="1159"/>
      <c r="AA261" s="520"/>
      <c r="AB261" s="520"/>
      <c r="AC261" s="521"/>
      <c r="AG261" s="267"/>
      <c r="AH261" s="267"/>
      <c r="AI261" s="267"/>
      <c r="AJ261" s="267"/>
      <c r="AK261" s="267"/>
      <c r="AL261" s="267"/>
      <c r="AM261" s="267"/>
      <c r="AN261" s="267"/>
      <c r="AO261" s="267"/>
    </row>
    <row r="262" spans="2:41" ht="15.75" thickBot="1">
      <c r="B262" s="538"/>
      <c r="C262" s="539"/>
      <c r="D262" s="540"/>
      <c r="E262" s="540"/>
      <c r="F262" s="541"/>
      <c r="G262" s="540"/>
      <c r="H262" s="540"/>
      <c r="I262" s="541"/>
      <c r="J262" s="540"/>
      <c r="K262" s="541"/>
      <c r="L262" s="541"/>
      <c r="M262" s="540"/>
      <c r="N262" s="540"/>
      <c r="O262" s="1167">
        <f>+O261+O260</f>
        <v>31.595238095238098</v>
      </c>
      <c r="P262" s="1167"/>
      <c r="Q262" s="540"/>
      <c r="R262" s="540"/>
      <c r="S262" s="540"/>
      <c r="T262" s="540"/>
      <c r="U262" s="540"/>
      <c r="V262" s="540"/>
      <c r="W262" s="540"/>
      <c r="X262" s="540"/>
      <c r="Y262" s="540"/>
      <c r="Z262" s="540"/>
      <c r="AA262" s="542"/>
      <c r="AB262" s="542"/>
      <c r="AC262" s="543"/>
      <c r="AG262" s="267"/>
      <c r="AH262" s="267"/>
      <c r="AI262" s="267"/>
      <c r="AJ262" s="267"/>
      <c r="AK262" s="267"/>
      <c r="AL262" s="267"/>
      <c r="AM262" s="267"/>
      <c r="AN262" s="267"/>
      <c r="AO262" s="267"/>
    </row>
    <row r="263" spans="2:41">
      <c r="B263" s="168"/>
      <c r="AG263" s="267"/>
      <c r="AH263" s="267"/>
      <c r="AI263" s="267"/>
      <c r="AJ263" s="267"/>
      <c r="AK263" s="267"/>
      <c r="AL263" s="267"/>
      <c r="AM263" s="267"/>
      <c r="AN263" s="267"/>
      <c r="AO263" s="267"/>
    </row>
    <row r="264" spans="2:41" ht="15.75" thickBot="1">
      <c r="AE264" s="376"/>
      <c r="AF264" s="376"/>
      <c r="AJ264" s="376"/>
      <c r="AK264" s="376"/>
    </row>
    <row r="265" spans="2:41">
      <c r="C265" s="484"/>
      <c r="D265" s="485"/>
      <c r="E265" s="486"/>
      <c r="F265" s="487"/>
      <c r="G265" s="485"/>
      <c r="H265" s="485"/>
      <c r="I265" s="487"/>
      <c r="J265" s="485"/>
      <c r="K265" s="488"/>
      <c r="L265" s="488"/>
      <c r="M265" s="485"/>
      <c r="N265" s="485"/>
      <c r="O265" s="485"/>
      <c r="P265" s="485"/>
      <c r="Q265" s="485"/>
      <c r="R265" s="485"/>
      <c r="S265" s="485"/>
      <c r="T265" s="485"/>
      <c r="U265" s="485"/>
      <c r="V265" s="485"/>
      <c r="W265" s="485"/>
      <c r="X265" s="485"/>
      <c r="Y265" s="485"/>
      <c r="Z265" s="485"/>
      <c r="AA265" s="489"/>
      <c r="AB265" s="489"/>
      <c r="AC265" s="489"/>
      <c r="AD265" s="489"/>
      <c r="AE265" s="490"/>
      <c r="AF265" s="490"/>
      <c r="AG265" s="491"/>
      <c r="AJ265" s="376"/>
      <c r="AK265" s="376"/>
    </row>
    <row r="266" spans="2:41" ht="18">
      <c r="C266" s="492"/>
      <c r="D266" s="333"/>
      <c r="E266" s="493" t="s">
        <v>130</v>
      </c>
      <c r="F266" s="411"/>
      <c r="G266" s="333"/>
      <c r="H266" s="333"/>
      <c r="I266" s="411"/>
      <c r="J266" s="333"/>
      <c r="K266" s="405"/>
      <c r="L266" s="405"/>
      <c r="M266" s="333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  <c r="AA266" s="167"/>
      <c r="AB266" s="167"/>
      <c r="AC266" s="167"/>
      <c r="AD266" s="167"/>
      <c r="AE266" s="376"/>
      <c r="AF266" s="376"/>
      <c r="AG266" s="494"/>
      <c r="AJ266" s="376"/>
      <c r="AK266" s="376"/>
    </row>
    <row r="267" spans="2:41">
      <c r="C267" s="492"/>
      <c r="D267" s="333"/>
      <c r="E267" s="410"/>
      <c r="F267" s="411"/>
      <c r="G267" s="333"/>
      <c r="H267" s="333"/>
      <c r="I267" s="411"/>
      <c r="J267" s="333"/>
      <c r="K267" s="405"/>
      <c r="L267" s="405"/>
      <c r="M267" s="333"/>
      <c r="N267" s="333"/>
      <c r="O267" s="333"/>
      <c r="P267" s="333"/>
      <c r="Q267" s="333"/>
      <c r="R267" s="333"/>
      <c r="S267" s="333"/>
      <c r="T267" s="333"/>
      <c r="U267" s="333"/>
      <c r="V267" s="333"/>
      <c r="W267" s="333"/>
      <c r="X267" s="333"/>
      <c r="Y267" s="333"/>
      <c r="Z267" s="333"/>
      <c r="AA267" s="1168" t="s">
        <v>106</v>
      </c>
      <c r="AB267" s="1169"/>
      <c r="AC267" s="1170"/>
      <c r="AD267" s="1115" t="s">
        <v>131</v>
      </c>
      <c r="AE267" s="1116"/>
      <c r="AF267" s="1117"/>
      <c r="AG267" s="494"/>
      <c r="AH267" s="167"/>
      <c r="AI267" s="167"/>
      <c r="AJ267" s="376"/>
      <c r="AK267" s="376"/>
    </row>
    <row r="268" spans="2:41" ht="16.5" thickBot="1">
      <c r="C268" s="492"/>
      <c r="D268" s="1118" t="s">
        <v>108</v>
      </c>
      <c r="E268" s="1118"/>
      <c r="F268" s="1118"/>
      <c r="G268" s="1118"/>
      <c r="H268" s="1118"/>
      <c r="I268" s="1119" t="s">
        <v>109</v>
      </c>
      <c r="J268" s="1119"/>
      <c r="K268" s="1119"/>
      <c r="L268" s="1120" t="s">
        <v>110</v>
      </c>
      <c r="M268" s="1120"/>
      <c r="N268" s="1120"/>
      <c r="O268" s="1120" t="s">
        <v>111</v>
      </c>
      <c r="P268" s="1120"/>
      <c r="Q268" s="1120"/>
      <c r="R268" s="1171" t="s">
        <v>132</v>
      </c>
      <c r="S268" s="1171"/>
      <c r="T268" s="1171"/>
      <c r="U268" s="1120" t="s">
        <v>113</v>
      </c>
      <c r="V268" s="1120"/>
      <c r="W268" s="1122"/>
      <c r="X268" s="1123" t="s">
        <v>114</v>
      </c>
      <c r="Y268" s="1124"/>
      <c r="Z268" s="1125"/>
      <c r="AA268" s="1172" t="s">
        <v>133</v>
      </c>
      <c r="AB268" s="1172"/>
      <c r="AC268" s="1173"/>
      <c r="AD268" s="1128" t="s">
        <v>133</v>
      </c>
      <c r="AE268" s="1129"/>
      <c r="AF268" s="1130"/>
      <c r="AG268" s="494"/>
      <c r="AH268" s="167"/>
      <c r="AI268" s="167"/>
      <c r="AJ268" s="376"/>
      <c r="AK268" s="376"/>
    </row>
    <row r="269" spans="2:41" ht="19.5" thickTop="1">
      <c r="C269" s="495">
        <v>1</v>
      </c>
      <c r="D269" s="1131" t="s">
        <v>119</v>
      </c>
      <c r="E269" s="1131"/>
      <c r="F269" s="1131"/>
      <c r="G269" s="1131"/>
      <c r="H269" s="1131"/>
      <c r="I269" s="1174">
        <v>38.5</v>
      </c>
      <c r="J269" s="1174"/>
      <c r="K269" s="1174"/>
      <c r="L269" s="1133">
        <v>1</v>
      </c>
      <c r="M269" s="1133"/>
      <c r="N269" s="1133"/>
      <c r="O269" s="1133">
        <v>2</v>
      </c>
      <c r="P269" s="1133"/>
      <c r="Q269" s="1133"/>
      <c r="R269" s="1175">
        <f t="shared" ref="R269:R275" si="102">+I269+L269+O269</f>
        <v>41.5</v>
      </c>
      <c r="S269" s="1175"/>
      <c r="T269" s="1175"/>
      <c r="U269" s="1135">
        <f t="shared" ref="U269:U275" si="103">+I269*7+(L269+O269)*6</f>
        <v>287.5</v>
      </c>
      <c r="V269" s="1135"/>
      <c r="W269" s="1136"/>
      <c r="X269" s="1137">
        <f t="shared" ref="X269:X275" si="104">+U269/7*30</f>
        <v>1232.1428571428571</v>
      </c>
      <c r="Y269" s="1138"/>
      <c r="Z269" s="1139"/>
      <c r="AA269" s="1176">
        <v>37.571399999999997</v>
      </c>
      <c r="AB269" s="1177"/>
      <c r="AC269" s="1177"/>
      <c r="AD269" s="1178">
        <f t="shared" ref="AD269:AD275" si="105">+AA269*30</f>
        <v>1127.1419999999998</v>
      </c>
      <c r="AE269" s="1178"/>
      <c r="AF269" s="1178"/>
      <c r="AG269" s="494"/>
      <c r="AH269" s="167" t="s">
        <v>134</v>
      </c>
      <c r="AI269" s="1149" t="s">
        <v>135</v>
      </c>
      <c r="AJ269" s="1179"/>
      <c r="AK269" s="1179"/>
      <c r="AL269" s="1179"/>
      <c r="AM269" s="1180"/>
    </row>
    <row r="270" spans="2:41" ht="17.25">
      <c r="C270" s="495">
        <v>2</v>
      </c>
      <c r="D270" s="1144" t="s">
        <v>120</v>
      </c>
      <c r="E270" s="1144"/>
      <c r="F270" s="1144"/>
      <c r="G270" s="1144"/>
      <c r="H270" s="1144"/>
      <c r="I270" s="1165">
        <v>38.5</v>
      </c>
      <c r="J270" s="1165"/>
      <c r="K270" s="1165"/>
      <c r="L270" s="1146">
        <v>1</v>
      </c>
      <c r="M270" s="1146"/>
      <c r="N270" s="1146"/>
      <c r="O270" s="1146">
        <v>2</v>
      </c>
      <c r="P270" s="1146"/>
      <c r="Q270" s="1146"/>
      <c r="R270" s="1160">
        <f t="shared" si="102"/>
        <v>41.5</v>
      </c>
      <c r="S270" s="1160"/>
      <c r="T270" s="1160"/>
      <c r="U270" s="1148">
        <f t="shared" si="103"/>
        <v>287.5</v>
      </c>
      <c r="V270" s="1148"/>
      <c r="W270" s="1149"/>
      <c r="X270" s="1150">
        <f t="shared" si="104"/>
        <v>1232.1428571428571</v>
      </c>
      <c r="Y270" s="1151"/>
      <c r="Z270" s="1152"/>
      <c r="AA270" s="1181">
        <v>35.571399999999997</v>
      </c>
      <c r="AB270" s="1182"/>
      <c r="AC270" s="1182"/>
      <c r="AD270" s="1183">
        <f t="shared" si="105"/>
        <v>1067.1419999999998</v>
      </c>
      <c r="AE270" s="1183"/>
      <c r="AF270" s="1183"/>
      <c r="AG270" s="494"/>
      <c r="AH270" s="167"/>
      <c r="AI270" s="167"/>
      <c r="AJ270" s="376"/>
      <c r="AK270" s="376"/>
    </row>
    <row r="271" spans="2:41" ht="17.25">
      <c r="C271" s="495">
        <v>3</v>
      </c>
      <c r="D271" s="1144" t="s">
        <v>118</v>
      </c>
      <c r="E271" s="1144"/>
      <c r="F271" s="1144"/>
      <c r="G271" s="1144"/>
      <c r="H271" s="1144"/>
      <c r="I271" s="1165">
        <v>38.5</v>
      </c>
      <c r="J271" s="1165"/>
      <c r="K271" s="1165"/>
      <c r="L271" s="1146">
        <v>1</v>
      </c>
      <c r="M271" s="1146"/>
      <c r="N271" s="1146"/>
      <c r="O271" s="1146">
        <v>2</v>
      </c>
      <c r="P271" s="1146"/>
      <c r="Q271" s="1146"/>
      <c r="R271" s="1160">
        <f t="shared" si="102"/>
        <v>41.5</v>
      </c>
      <c r="S271" s="1160"/>
      <c r="T271" s="1160"/>
      <c r="U271" s="1148">
        <f t="shared" si="103"/>
        <v>287.5</v>
      </c>
      <c r="V271" s="1148"/>
      <c r="W271" s="1149"/>
      <c r="X271" s="1150">
        <f t="shared" si="104"/>
        <v>1232.1428571428571</v>
      </c>
      <c r="Y271" s="1151"/>
      <c r="Z271" s="1152"/>
      <c r="AA271" s="1181">
        <v>32.571399999999997</v>
      </c>
      <c r="AB271" s="1182"/>
      <c r="AC271" s="1182"/>
      <c r="AD271" s="1183">
        <f t="shared" si="105"/>
        <v>977.14199999999994</v>
      </c>
      <c r="AE271" s="1183"/>
      <c r="AF271" s="1183"/>
      <c r="AG271" s="494"/>
      <c r="AH271" s="167"/>
      <c r="AI271" s="167"/>
      <c r="AJ271" s="376"/>
      <c r="AK271" s="376"/>
    </row>
    <row r="272" spans="2:41" ht="17.25">
      <c r="C272" s="495">
        <v>4</v>
      </c>
      <c r="D272" s="1144" t="s">
        <v>136</v>
      </c>
      <c r="E272" s="1144"/>
      <c r="F272" s="1144"/>
      <c r="G272" s="1144"/>
      <c r="H272" s="1144"/>
      <c r="I272" s="1165">
        <v>35</v>
      </c>
      <c r="J272" s="1165"/>
      <c r="K272" s="1165"/>
      <c r="L272" s="1146">
        <v>1</v>
      </c>
      <c r="M272" s="1146"/>
      <c r="N272" s="1146"/>
      <c r="O272" s="1146">
        <v>2</v>
      </c>
      <c r="P272" s="1146"/>
      <c r="Q272" s="1146"/>
      <c r="R272" s="1160">
        <f t="shared" si="102"/>
        <v>38</v>
      </c>
      <c r="S272" s="1160"/>
      <c r="T272" s="1160"/>
      <c r="U272" s="1148">
        <f t="shared" si="103"/>
        <v>263</v>
      </c>
      <c r="V272" s="1148"/>
      <c r="W272" s="1149"/>
      <c r="X272" s="1150">
        <f t="shared" si="104"/>
        <v>1127.1428571428571</v>
      </c>
      <c r="Y272" s="1151"/>
      <c r="Z272" s="1152"/>
      <c r="AA272" s="1181">
        <v>35.321399999999997</v>
      </c>
      <c r="AB272" s="1182"/>
      <c r="AC272" s="1182"/>
      <c r="AD272" s="1183">
        <f t="shared" si="105"/>
        <v>1059.6419999999998</v>
      </c>
      <c r="AE272" s="1183"/>
      <c r="AF272" s="1183"/>
      <c r="AG272" s="494"/>
      <c r="AH272" s="167"/>
      <c r="AI272" s="167"/>
      <c r="AJ272" s="376"/>
      <c r="AK272" s="376"/>
    </row>
    <row r="273" spans="3:41" ht="17.25">
      <c r="C273" s="495">
        <v>5</v>
      </c>
      <c r="D273" s="1144" t="s">
        <v>137</v>
      </c>
      <c r="E273" s="1144"/>
      <c r="F273" s="1144"/>
      <c r="G273" s="1144"/>
      <c r="H273" s="1144"/>
      <c r="I273" s="1165">
        <v>33.799999999999997</v>
      </c>
      <c r="J273" s="1165"/>
      <c r="K273" s="1165"/>
      <c r="L273" s="1146">
        <v>1</v>
      </c>
      <c r="M273" s="1146"/>
      <c r="N273" s="1146"/>
      <c r="O273" s="1146">
        <v>2</v>
      </c>
      <c r="P273" s="1146"/>
      <c r="Q273" s="1146"/>
      <c r="R273" s="1160">
        <f t="shared" si="102"/>
        <v>36.799999999999997</v>
      </c>
      <c r="S273" s="1160"/>
      <c r="T273" s="1160"/>
      <c r="U273" s="1148">
        <f t="shared" si="103"/>
        <v>254.59999999999997</v>
      </c>
      <c r="V273" s="1148"/>
      <c r="W273" s="1149"/>
      <c r="X273" s="1150">
        <f t="shared" si="104"/>
        <v>1091.1428571428569</v>
      </c>
      <c r="Y273" s="1151"/>
      <c r="Z273" s="1152"/>
      <c r="AA273" s="1181">
        <v>31.571400000000001</v>
      </c>
      <c r="AB273" s="1182"/>
      <c r="AC273" s="1182"/>
      <c r="AD273" s="1183">
        <f t="shared" si="105"/>
        <v>947.14200000000005</v>
      </c>
      <c r="AE273" s="1183"/>
      <c r="AF273" s="1183"/>
      <c r="AG273" s="494"/>
      <c r="AH273" s="167"/>
      <c r="AI273" s="167"/>
      <c r="AJ273" s="376"/>
      <c r="AK273" s="376"/>
    </row>
    <row r="274" spans="3:41" ht="17.25">
      <c r="C274" s="495">
        <v>6</v>
      </c>
      <c r="D274" s="1144" t="s">
        <v>138</v>
      </c>
      <c r="E274" s="1144"/>
      <c r="F274" s="1144"/>
      <c r="G274" s="1144"/>
      <c r="H274" s="1144"/>
      <c r="I274" s="1165">
        <v>33.799999999999997</v>
      </c>
      <c r="J274" s="1165"/>
      <c r="K274" s="1165"/>
      <c r="L274" s="1146">
        <v>1</v>
      </c>
      <c r="M274" s="1146"/>
      <c r="N274" s="1146"/>
      <c r="O274" s="1146">
        <v>2</v>
      </c>
      <c r="P274" s="1146"/>
      <c r="Q274" s="1146"/>
      <c r="R274" s="1160">
        <f t="shared" si="102"/>
        <v>36.799999999999997</v>
      </c>
      <c r="S274" s="1160"/>
      <c r="T274" s="1160"/>
      <c r="U274" s="1148">
        <f t="shared" si="103"/>
        <v>254.59999999999997</v>
      </c>
      <c r="V274" s="1148"/>
      <c r="W274" s="1149"/>
      <c r="X274" s="1150">
        <f t="shared" si="104"/>
        <v>1091.1428571428569</v>
      </c>
      <c r="Y274" s="1151"/>
      <c r="Z274" s="1152"/>
      <c r="AA274" s="1181">
        <v>33.333300000000001</v>
      </c>
      <c r="AB274" s="1182"/>
      <c r="AC274" s="1182"/>
      <c r="AD274" s="1183">
        <f t="shared" si="105"/>
        <v>999.99900000000002</v>
      </c>
      <c r="AE274" s="1183"/>
      <c r="AF274" s="1183"/>
      <c r="AG274" s="494"/>
      <c r="AH274" s="167"/>
      <c r="AI274" s="167"/>
      <c r="AJ274" s="376"/>
      <c r="AK274" s="376"/>
    </row>
    <row r="275" spans="3:41" ht="17.25">
      <c r="C275" s="495">
        <v>7</v>
      </c>
      <c r="D275" s="1144" t="s">
        <v>139</v>
      </c>
      <c r="E275" s="1144"/>
      <c r="F275" s="1144"/>
      <c r="G275" s="1144"/>
      <c r="H275" s="1144"/>
      <c r="I275" s="1165">
        <v>26</v>
      </c>
      <c r="J275" s="1165"/>
      <c r="K275" s="1165"/>
      <c r="L275" s="1146">
        <v>1</v>
      </c>
      <c r="M275" s="1146"/>
      <c r="N275" s="1146"/>
      <c r="O275" s="1146">
        <v>2</v>
      </c>
      <c r="P275" s="1146"/>
      <c r="Q275" s="1146"/>
      <c r="R275" s="1160">
        <f t="shared" si="102"/>
        <v>29</v>
      </c>
      <c r="S275" s="1160"/>
      <c r="T275" s="1160"/>
      <c r="U275" s="1148">
        <f t="shared" si="103"/>
        <v>200</v>
      </c>
      <c r="V275" s="1148"/>
      <c r="W275" s="1149"/>
      <c r="X275" s="1150">
        <f t="shared" si="104"/>
        <v>857.14285714285722</v>
      </c>
      <c r="Y275" s="1151"/>
      <c r="Z275" s="1152"/>
      <c r="AA275" s="1181">
        <v>25</v>
      </c>
      <c r="AB275" s="1182"/>
      <c r="AC275" s="1182"/>
      <c r="AD275" s="1183">
        <f t="shared" si="105"/>
        <v>750</v>
      </c>
      <c r="AE275" s="1183"/>
      <c r="AF275" s="1183"/>
      <c r="AG275" s="494"/>
      <c r="AH275" s="167"/>
      <c r="AI275" s="167"/>
      <c r="AJ275" s="376"/>
      <c r="AK275" s="376"/>
    </row>
    <row r="276" spans="3:41" ht="17.25">
      <c r="C276" s="492"/>
      <c r="D276" s="409"/>
      <c r="E276" s="410"/>
      <c r="F276" s="411"/>
      <c r="G276" s="333"/>
      <c r="H276" s="333"/>
      <c r="I276" s="411"/>
      <c r="J276" s="333"/>
      <c r="K276" s="405"/>
      <c r="L276" s="405"/>
      <c r="M276" s="333"/>
      <c r="N276" s="333"/>
      <c r="O276" s="333"/>
      <c r="P276" s="333"/>
      <c r="Q276" s="333"/>
      <c r="R276" s="333"/>
      <c r="S276" s="1160" t="s">
        <v>23</v>
      </c>
      <c r="T276" s="1160"/>
      <c r="U276" s="1160"/>
      <c r="V276" s="333"/>
      <c r="W276" s="333"/>
      <c r="X276" s="1161">
        <f>SUM(X269:Z275)</f>
        <v>7862.9999999999991</v>
      </c>
      <c r="Y276" s="1162"/>
      <c r="Z276" s="1163"/>
      <c r="AA276" s="496"/>
      <c r="AB276" s="496"/>
      <c r="AC276" s="496"/>
      <c r="AD276" s="1184">
        <f>SUM(AD269:AF275)</f>
        <v>6928.2089999999989</v>
      </c>
      <c r="AE276" s="1184"/>
      <c r="AF276" s="1184"/>
      <c r="AG276" s="494"/>
      <c r="AH276" s="167"/>
      <c r="AI276" s="167"/>
      <c r="AJ276" s="376"/>
      <c r="AK276" s="376"/>
    </row>
    <row r="277" spans="3:41" ht="15.75" thickBot="1">
      <c r="C277" s="492"/>
      <c r="D277" s="333"/>
      <c r="E277" s="410"/>
      <c r="F277" s="411"/>
      <c r="G277" s="333"/>
      <c r="H277" s="333"/>
      <c r="I277" s="411"/>
      <c r="J277" s="333"/>
      <c r="K277" s="405"/>
      <c r="L277" s="405"/>
      <c r="M277" s="333"/>
      <c r="N277" s="333"/>
      <c r="O277" s="333"/>
      <c r="P277" s="333"/>
      <c r="Q277" s="333"/>
      <c r="R277" s="333"/>
      <c r="S277" s="333"/>
      <c r="T277" s="333"/>
      <c r="U277" s="333"/>
      <c r="V277" s="333"/>
      <c r="W277" s="333"/>
      <c r="X277" s="333"/>
      <c r="Y277" s="333"/>
      <c r="Z277" s="333"/>
      <c r="AA277" s="167"/>
      <c r="AB277" s="167"/>
      <c r="AC277" s="167"/>
      <c r="AD277" s="167"/>
      <c r="AE277" s="376"/>
      <c r="AF277" s="376"/>
      <c r="AG277" s="494"/>
      <c r="AH277" s="167"/>
      <c r="AI277" s="167"/>
      <c r="AJ277" s="376"/>
      <c r="AK277" s="376"/>
    </row>
    <row r="278" spans="3:41" ht="15.75" thickBot="1">
      <c r="C278" s="492"/>
      <c r="D278" s="333"/>
      <c r="E278" s="410"/>
      <c r="F278" s="411"/>
      <c r="G278" s="333"/>
      <c r="H278" s="333"/>
      <c r="I278" s="411"/>
      <c r="J278" s="333"/>
      <c r="K278" s="405"/>
      <c r="L278" s="1185" t="s">
        <v>140</v>
      </c>
      <c r="M278" s="1185"/>
      <c r="N278" s="1185"/>
      <c r="O278" s="333"/>
      <c r="P278" s="333"/>
      <c r="Q278" s="333"/>
      <c r="R278" s="333"/>
      <c r="S278" s="333"/>
      <c r="T278" s="499" t="s">
        <v>141</v>
      </c>
      <c r="U278" s="333"/>
      <c r="V278" s="333"/>
      <c r="W278" s="333"/>
      <c r="X278" s="333"/>
      <c r="Y278" s="333"/>
      <c r="Z278" s="333"/>
      <c r="AA278" s="167"/>
      <c r="AB278" s="167"/>
      <c r="AC278" s="167"/>
      <c r="AD278" s="1156">
        <f>+X276-AD276+0.01</f>
        <v>934.80100000000016</v>
      </c>
      <c r="AE278" s="1157"/>
      <c r="AF278" s="1158"/>
      <c r="AG278" s="494"/>
      <c r="AH278" s="167"/>
      <c r="AI278" s="167"/>
      <c r="AJ278" s="376"/>
      <c r="AK278" s="376"/>
    </row>
    <row r="279" spans="3:41" ht="15.75" thickBot="1">
      <c r="C279" s="500"/>
      <c r="D279" s="501"/>
      <c r="E279" s="502"/>
      <c r="F279" s="503"/>
      <c r="G279" s="501"/>
      <c r="H279" s="501"/>
      <c r="I279" s="503"/>
      <c r="J279" s="501"/>
      <c r="K279" s="504"/>
      <c r="L279" s="504"/>
      <c r="M279" s="501"/>
      <c r="N279" s="501"/>
      <c r="O279" s="501"/>
      <c r="P279" s="501"/>
      <c r="Q279" s="501"/>
      <c r="R279" s="501"/>
      <c r="S279" s="501"/>
      <c r="T279" s="501"/>
      <c r="U279" s="501"/>
      <c r="V279" s="501"/>
      <c r="W279" s="501"/>
      <c r="X279" s="501"/>
      <c r="Y279" s="501"/>
      <c r="Z279" s="501"/>
      <c r="AA279" s="505"/>
      <c r="AB279" s="505"/>
      <c r="AC279" s="505"/>
      <c r="AD279" s="506"/>
      <c r="AE279" s="506"/>
      <c r="AF279" s="506"/>
      <c r="AG279" s="507"/>
      <c r="AH279" s="167"/>
      <c r="AI279" s="167"/>
      <c r="AJ279" s="376"/>
      <c r="AK279" s="376"/>
    </row>
    <row r="280" spans="3:41">
      <c r="AG280" s="267"/>
      <c r="AH280" s="267"/>
      <c r="AI280" s="267"/>
      <c r="AJ280" s="267"/>
      <c r="AK280" s="267"/>
      <c r="AL280" s="267"/>
      <c r="AM280" s="267"/>
      <c r="AN280" s="267"/>
      <c r="AO280" s="267"/>
    </row>
    <row r="281" spans="3:41">
      <c r="AG281" s="267"/>
      <c r="AH281" s="267"/>
      <c r="AI281" s="267"/>
      <c r="AJ281" s="267"/>
      <c r="AK281" s="267"/>
      <c r="AL281" s="267"/>
      <c r="AM281" s="267"/>
      <c r="AN281" s="267"/>
      <c r="AO281" s="267"/>
    </row>
    <row r="282" spans="3:41">
      <c r="AG282" s="267"/>
      <c r="AH282" s="267"/>
      <c r="AI282" s="267"/>
      <c r="AJ282" s="267"/>
      <c r="AK282" s="267"/>
      <c r="AL282" s="267"/>
      <c r="AM282" s="267"/>
      <c r="AN282" s="267"/>
      <c r="AO282" s="267"/>
    </row>
  </sheetData>
  <mergeCells count="862"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AP15:AQ15"/>
    <mergeCell ref="AR15:AS15"/>
    <mergeCell ref="AP16:AQ16"/>
    <mergeCell ref="AR16:AS16"/>
    <mergeCell ref="AP17:AQ17"/>
    <mergeCell ref="AR17:AS17"/>
    <mergeCell ref="AP13:AQ13"/>
    <mergeCell ref="AR13:AS13"/>
    <mergeCell ref="AP14:AQ14"/>
    <mergeCell ref="AR14:AS14"/>
    <mergeCell ref="AP21:AQ21"/>
    <mergeCell ref="AR21:AS21"/>
    <mergeCell ref="AP22:AQ22"/>
    <mergeCell ref="AR22:AS22"/>
    <mergeCell ref="AP23:AQ23"/>
    <mergeCell ref="AR23:AS23"/>
    <mergeCell ref="AP18:AQ18"/>
    <mergeCell ref="AR18:AS18"/>
    <mergeCell ref="AP19:AQ19"/>
    <mergeCell ref="AR19:AS19"/>
    <mergeCell ref="AP20:AQ20"/>
    <mergeCell ref="AR20:AS20"/>
    <mergeCell ref="AP25:AQ25"/>
    <mergeCell ref="AR25:AS25"/>
    <mergeCell ref="BE26:BE27"/>
    <mergeCell ref="BF26:BF27"/>
    <mergeCell ref="B27:B32"/>
    <mergeCell ref="C27:J28"/>
    <mergeCell ref="K27:L28"/>
    <mergeCell ref="M27:T28"/>
    <mergeCell ref="U27:V28"/>
    <mergeCell ref="W27:AD28"/>
    <mergeCell ref="AZ27:BC27"/>
    <mergeCell ref="AZ28:BB29"/>
    <mergeCell ref="C29:D32"/>
    <mergeCell ref="E29:E32"/>
    <mergeCell ref="F29:F32"/>
    <mergeCell ref="G29:H32"/>
    <mergeCell ref="I29:I32"/>
    <mergeCell ref="J29:J32"/>
    <mergeCell ref="AM27:AM32"/>
    <mergeCell ref="AN27:AN32"/>
    <mergeCell ref="AO27:AO32"/>
    <mergeCell ref="AP27:AP32"/>
    <mergeCell ref="AQ27:AQ32"/>
    <mergeCell ref="AR27:AS32"/>
    <mergeCell ref="AR33:AS33"/>
    <mergeCell ref="AW33:AX33"/>
    <mergeCell ref="AR34:AS34"/>
    <mergeCell ref="AW34:AX34"/>
    <mergeCell ref="AE27:AF28"/>
    <mergeCell ref="AH27:AH32"/>
    <mergeCell ref="AI27:AI32"/>
    <mergeCell ref="AJ27:AJ32"/>
    <mergeCell ref="AK27:AK32"/>
    <mergeCell ref="AL27:AL32"/>
    <mergeCell ref="Z29:Z32"/>
    <mergeCell ref="AA29:AB32"/>
    <mergeCell ref="AC29:AC32"/>
    <mergeCell ref="AD29:AD32"/>
    <mergeCell ref="AE29:AE32"/>
    <mergeCell ref="AF29:AF32"/>
    <mergeCell ref="AT27:AT32"/>
    <mergeCell ref="AW27:AX32"/>
    <mergeCell ref="K29:K32"/>
    <mergeCell ref="L29:L32"/>
    <mergeCell ref="M29:N32"/>
    <mergeCell ref="O29:O32"/>
    <mergeCell ref="P29:P32"/>
    <mergeCell ref="Q29:R32"/>
    <mergeCell ref="S29:S32"/>
    <mergeCell ref="T29:T32"/>
    <mergeCell ref="U29:U32"/>
    <mergeCell ref="V29:V32"/>
    <mergeCell ref="W29:X32"/>
    <mergeCell ref="Y29:Y32"/>
    <mergeCell ref="AR38:AS38"/>
    <mergeCell ref="AW38:AX38"/>
    <mergeCell ref="AR39:AS39"/>
    <mergeCell ref="AW39:AX39"/>
    <mergeCell ref="AR40:AS40"/>
    <mergeCell ref="AW40:AX40"/>
    <mergeCell ref="AR35:AS35"/>
    <mergeCell ref="AW35:AX35"/>
    <mergeCell ref="AR36:AS36"/>
    <mergeCell ref="AW36:AX36"/>
    <mergeCell ref="AR37:AS37"/>
    <mergeCell ref="AW37:AX37"/>
    <mergeCell ref="AR44:AS44"/>
    <mergeCell ref="AW44:AX44"/>
    <mergeCell ref="AR45:AS45"/>
    <mergeCell ref="AW45:AX45"/>
    <mergeCell ref="AR47:AS47"/>
    <mergeCell ref="AW47:AX47"/>
    <mergeCell ref="AR41:AS41"/>
    <mergeCell ref="AW41:AX41"/>
    <mergeCell ref="AR42:AS42"/>
    <mergeCell ref="AW42:AX42"/>
    <mergeCell ref="AR43:AS43"/>
    <mergeCell ref="AW43:AX43"/>
    <mergeCell ref="AW49:AX50"/>
    <mergeCell ref="C56:J57"/>
    <mergeCell ref="K56:L57"/>
    <mergeCell ref="M56:T57"/>
    <mergeCell ref="U56:V57"/>
    <mergeCell ref="W56:AD57"/>
    <mergeCell ref="AE56:AF57"/>
    <mergeCell ref="AG56:AN57"/>
    <mergeCell ref="AO56:AO57"/>
    <mergeCell ref="AP58:AQ58"/>
    <mergeCell ref="AR58:AS58"/>
    <mergeCell ref="C60:J61"/>
    <mergeCell ref="K60:L61"/>
    <mergeCell ref="M60:T61"/>
    <mergeCell ref="U60:V61"/>
    <mergeCell ref="W60:AD61"/>
    <mergeCell ref="AE60:AF61"/>
    <mergeCell ref="AR48:AS48"/>
    <mergeCell ref="E70:F70"/>
    <mergeCell ref="I70:J70"/>
    <mergeCell ref="K70:L70"/>
    <mergeCell ref="N70:O70"/>
    <mergeCell ref="Q70:R70"/>
    <mergeCell ref="AR62:AS62"/>
    <mergeCell ref="AW62:AX62"/>
    <mergeCell ref="AK63:AL63"/>
    <mergeCell ref="C67:D69"/>
    <mergeCell ref="E67:F69"/>
    <mergeCell ref="G67:H71"/>
    <mergeCell ref="I67:J69"/>
    <mergeCell ref="K67:L69"/>
    <mergeCell ref="N67:O69"/>
    <mergeCell ref="Q67:R69"/>
    <mergeCell ref="C71:D71"/>
    <mergeCell ref="E71:F71"/>
    <mergeCell ref="I71:J71"/>
    <mergeCell ref="K71:L71"/>
    <mergeCell ref="N71:O71"/>
    <mergeCell ref="Q71:R71"/>
    <mergeCell ref="U67:U72"/>
    <mergeCell ref="C75:D75"/>
    <mergeCell ref="E75:F75"/>
    <mergeCell ref="I75:J75"/>
    <mergeCell ref="K75:L75"/>
    <mergeCell ref="N75:O75"/>
    <mergeCell ref="Q75:R75"/>
    <mergeCell ref="V67:V72"/>
    <mergeCell ref="W67:W72"/>
    <mergeCell ref="Y73:Z73"/>
    <mergeCell ref="C74:D74"/>
    <mergeCell ref="E74:F74"/>
    <mergeCell ref="I74:J74"/>
    <mergeCell ref="K74:L74"/>
    <mergeCell ref="N74:O74"/>
    <mergeCell ref="Q74:R74"/>
    <mergeCell ref="Y74:Z74"/>
    <mergeCell ref="C73:D73"/>
    <mergeCell ref="E73:F73"/>
    <mergeCell ref="I73:J73"/>
    <mergeCell ref="K73:L73"/>
    <mergeCell ref="N73:O73"/>
    <mergeCell ref="Q73:R73"/>
    <mergeCell ref="X67:X72"/>
    <mergeCell ref="C70:D70"/>
    <mergeCell ref="C78:D78"/>
    <mergeCell ref="E78:F78"/>
    <mergeCell ref="G78:H78"/>
    <mergeCell ref="I78:J78"/>
    <mergeCell ref="K78:L78"/>
    <mergeCell ref="N78:O78"/>
    <mergeCell ref="Q78:R78"/>
    <mergeCell ref="Q76:R76"/>
    <mergeCell ref="C77:D77"/>
    <mergeCell ref="E77:F77"/>
    <mergeCell ref="G77:H77"/>
    <mergeCell ref="I77:J77"/>
    <mergeCell ref="K77:L77"/>
    <mergeCell ref="N77:O77"/>
    <mergeCell ref="Q77:R77"/>
    <mergeCell ref="C76:D76"/>
    <mergeCell ref="E76:F76"/>
    <mergeCell ref="G76:H76"/>
    <mergeCell ref="I76:J76"/>
    <mergeCell ref="K76:L76"/>
    <mergeCell ref="N76:O76"/>
    <mergeCell ref="Q79:R79"/>
    <mergeCell ref="Y79:Z79"/>
    <mergeCell ref="C80:D80"/>
    <mergeCell ref="E80:F80"/>
    <mergeCell ref="G80:H80"/>
    <mergeCell ref="I80:J80"/>
    <mergeCell ref="K80:L80"/>
    <mergeCell ref="N80:O80"/>
    <mergeCell ref="Q80:R80"/>
    <mergeCell ref="Y80:Z80"/>
    <mergeCell ref="C79:D79"/>
    <mergeCell ref="E79:F79"/>
    <mergeCell ref="G79:H79"/>
    <mergeCell ref="I79:J79"/>
    <mergeCell ref="K79:L79"/>
    <mergeCell ref="N79:O79"/>
    <mergeCell ref="Q81:R81"/>
    <mergeCell ref="Y81:Z81"/>
    <mergeCell ref="C82:D82"/>
    <mergeCell ref="E82:F82"/>
    <mergeCell ref="G82:H82"/>
    <mergeCell ref="I82:J82"/>
    <mergeCell ref="K82:L82"/>
    <mergeCell ref="N82:O82"/>
    <mergeCell ref="Q82:R82"/>
    <mergeCell ref="C81:D81"/>
    <mergeCell ref="E81:F81"/>
    <mergeCell ref="G81:H81"/>
    <mergeCell ref="I81:J81"/>
    <mergeCell ref="K81:L81"/>
    <mergeCell ref="N81:O81"/>
    <mergeCell ref="N86:O86"/>
    <mergeCell ref="C85:D85"/>
    <mergeCell ref="E85:F85"/>
    <mergeCell ref="I85:J85"/>
    <mergeCell ref="K85:L85"/>
    <mergeCell ref="N85:O85"/>
    <mergeCell ref="Q85:R85"/>
    <mergeCell ref="Q83:R83"/>
    <mergeCell ref="C84:D84"/>
    <mergeCell ref="E84:F84"/>
    <mergeCell ref="G84:H84"/>
    <mergeCell ref="I84:J84"/>
    <mergeCell ref="K84:L84"/>
    <mergeCell ref="N84:O84"/>
    <mergeCell ref="Q84:R84"/>
    <mergeCell ref="C83:D83"/>
    <mergeCell ref="E83:F83"/>
    <mergeCell ref="G83:H83"/>
    <mergeCell ref="I83:J83"/>
    <mergeCell ref="K83:L83"/>
    <mergeCell ref="N83:O83"/>
    <mergeCell ref="H92:N92"/>
    <mergeCell ref="O94:Z94"/>
    <mergeCell ref="O95:P95"/>
    <mergeCell ref="Q95:Z95"/>
    <mergeCell ref="O96:P96"/>
    <mergeCell ref="Q96:Z96"/>
    <mergeCell ref="Q89:R89"/>
    <mergeCell ref="C90:D90"/>
    <mergeCell ref="E90:F90"/>
    <mergeCell ref="G90:H90"/>
    <mergeCell ref="I90:J90"/>
    <mergeCell ref="K90:L90"/>
    <mergeCell ref="N90:O90"/>
    <mergeCell ref="Q90:R90"/>
    <mergeCell ref="C89:D89"/>
    <mergeCell ref="E89:F89"/>
    <mergeCell ref="G89:H89"/>
    <mergeCell ref="I89:J89"/>
    <mergeCell ref="K89:L89"/>
    <mergeCell ref="N89:O89"/>
    <mergeCell ref="O100:P100"/>
    <mergeCell ref="O102:Z102"/>
    <mergeCell ref="O103:P103"/>
    <mergeCell ref="Q103:Z103"/>
    <mergeCell ref="O104:P104"/>
    <mergeCell ref="Q104:Z104"/>
    <mergeCell ref="AA96:AB96"/>
    <mergeCell ref="O97:P97"/>
    <mergeCell ref="Q97:Z97"/>
    <mergeCell ref="O98:P98"/>
    <mergeCell ref="Q98:Z98"/>
    <mergeCell ref="O99:P99"/>
    <mergeCell ref="Q99:Z99"/>
    <mergeCell ref="O108:P108"/>
    <mergeCell ref="H110:N110"/>
    <mergeCell ref="O112:Z112"/>
    <mergeCell ref="O113:P113"/>
    <mergeCell ref="Q113:Z113"/>
    <mergeCell ref="AE113:AG113"/>
    <mergeCell ref="AA104:AB104"/>
    <mergeCell ref="O105:P105"/>
    <mergeCell ref="Q105:Z105"/>
    <mergeCell ref="O106:P106"/>
    <mergeCell ref="Q106:Z106"/>
    <mergeCell ref="O107:P107"/>
    <mergeCell ref="Q107:Z107"/>
    <mergeCell ref="O115:P115"/>
    <mergeCell ref="Q115:Z115"/>
    <mergeCell ref="AE115:AG115"/>
    <mergeCell ref="AI115:AK115"/>
    <mergeCell ref="AL115:AN115"/>
    <mergeCell ref="AO115:AQ115"/>
    <mergeCell ref="AI113:AK113"/>
    <mergeCell ref="AL113:AN113"/>
    <mergeCell ref="AO113:AQ113"/>
    <mergeCell ref="O114:P114"/>
    <mergeCell ref="Q114:Z114"/>
    <mergeCell ref="AA114:AB114"/>
    <mergeCell ref="AE114:AG114"/>
    <mergeCell ref="AI114:AK114"/>
    <mergeCell ref="AL114:AN114"/>
    <mergeCell ref="AO114:AQ114"/>
    <mergeCell ref="O118:P118"/>
    <mergeCell ref="AE118:AG118"/>
    <mergeCell ref="AI118:AK118"/>
    <mergeCell ref="O120:Z120"/>
    <mergeCell ref="O121:P121"/>
    <mergeCell ref="Q121:Z121"/>
    <mergeCell ref="O116:P116"/>
    <mergeCell ref="Q116:Z116"/>
    <mergeCell ref="AE116:AG116"/>
    <mergeCell ref="AI116:AK116"/>
    <mergeCell ref="O117:P117"/>
    <mergeCell ref="Q117:Z117"/>
    <mergeCell ref="AE117:AG117"/>
    <mergeCell ref="AI117:AK117"/>
    <mergeCell ref="H129:N129"/>
    <mergeCell ref="O131:Z131"/>
    <mergeCell ref="O132:P132"/>
    <mergeCell ref="Q132:Z132"/>
    <mergeCell ref="O122:P122"/>
    <mergeCell ref="Q122:Z122"/>
    <mergeCell ref="AA122:AB122"/>
    <mergeCell ref="O123:P123"/>
    <mergeCell ref="Q123:Z123"/>
    <mergeCell ref="O124:P124"/>
    <mergeCell ref="Q124:Z124"/>
    <mergeCell ref="O133:P133"/>
    <mergeCell ref="Q133:Z133"/>
    <mergeCell ref="AA133:AB133"/>
    <mergeCell ref="O134:P134"/>
    <mergeCell ref="Q134:Z134"/>
    <mergeCell ref="O135:P135"/>
    <mergeCell ref="Q135:Z135"/>
    <mergeCell ref="O125:P125"/>
    <mergeCell ref="Q125:Z125"/>
    <mergeCell ref="O126:P126"/>
    <mergeCell ref="AA141:AB141"/>
    <mergeCell ref="O142:P142"/>
    <mergeCell ref="Q142:Z142"/>
    <mergeCell ref="O143:P143"/>
    <mergeCell ref="Q143:Z143"/>
    <mergeCell ref="O136:P136"/>
    <mergeCell ref="Q136:Z136"/>
    <mergeCell ref="O137:P137"/>
    <mergeCell ref="O139:Z139"/>
    <mergeCell ref="O140:P140"/>
    <mergeCell ref="Q140:Z140"/>
    <mergeCell ref="O144:P144"/>
    <mergeCell ref="Q144:Z144"/>
    <mergeCell ref="O145:P145"/>
    <mergeCell ref="H147:N147"/>
    <mergeCell ref="O149:Z149"/>
    <mergeCell ref="O150:P150"/>
    <mergeCell ref="Q150:Z150"/>
    <mergeCell ref="O141:P141"/>
    <mergeCell ref="Q141:Z141"/>
    <mergeCell ref="O154:P154"/>
    <mergeCell ref="Q154:Z154"/>
    <mergeCell ref="AF154:AJ154"/>
    <mergeCell ref="O155:P155"/>
    <mergeCell ref="O157:Z157"/>
    <mergeCell ref="O158:P158"/>
    <mergeCell ref="Q158:Z158"/>
    <mergeCell ref="O151:P151"/>
    <mergeCell ref="Q151:Z151"/>
    <mergeCell ref="AA151:AB151"/>
    <mergeCell ref="O152:P152"/>
    <mergeCell ref="Q152:Z152"/>
    <mergeCell ref="O153:P153"/>
    <mergeCell ref="Q153:Z153"/>
    <mergeCell ref="H167:N167"/>
    <mergeCell ref="O169:Z169"/>
    <mergeCell ref="O170:P170"/>
    <mergeCell ref="Q170:Z170"/>
    <mergeCell ref="O159:P159"/>
    <mergeCell ref="Q159:Z159"/>
    <mergeCell ref="AA159:AB159"/>
    <mergeCell ref="O160:P160"/>
    <mergeCell ref="Q160:Z160"/>
    <mergeCell ref="O161:P161"/>
    <mergeCell ref="Q161:Z161"/>
    <mergeCell ref="AG170:AH170"/>
    <mergeCell ref="AJ170:AK170"/>
    <mergeCell ref="O171:P171"/>
    <mergeCell ref="Q171:Z171"/>
    <mergeCell ref="AA171:AB171"/>
    <mergeCell ref="AG171:AH171"/>
    <mergeCell ref="AJ171:AK171"/>
    <mergeCell ref="O162:P162"/>
    <mergeCell ref="Q162:Z162"/>
    <mergeCell ref="O163:P163"/>
    <mergeCell ref="AJ174:AK174"/>
    <mergeCell ref="O175:P175"/>
    <mergeCell ref="AK175:AL175"/>
    <mergeCell ref="O172:P172"/>
    <mergeCell ref="Q172:Z172"/>
    <mergeCell ref="AG172:AH172"/>
    <mergeCell ref="AJ172:AK172"/>
    <mergeCell ref="O173:P173"/>
    <mergeCell ref="Q173:Z173"/>
    <mergeCell ref="AG173:AH173"/>
    <mergeCell ref="AJ173:AK173"/>
    <mergeCell ref="O177:Z177"/>
    <mergeCell ref="O178:P178"/>
    <mergeCell ref="Q178:Z178"/>
    <mergeCell ref="O179:P179"/>
    <mergeCell ref="Q179:Z179"/>
    <mergeCell ref="AA179:AB179"/>
    <mergeCell ref="O174:P174"/>
    <mergeCell ref="Q174:Z174"/>
    <mergeCell ref="AG174:AH174"/>
    <mergeCell ref="O183:P183"/>
    <mergeCell ref="O188:Z188"/>
    <mergeCell ref="O189:P189"/>
    <mergeCell ref="Q189:Z189"/>
    <mergeCell ref="O190:P190"/>
    <mergeCell ref="Q190:Z190"/>
    <mergeCell ref="O180:P180"/>
    <mergeCell ref="Q180:Z180"/>
    <mergeCell ref="O181:P181"/>
    <mergeCell ref="Q181:Z181"/>
    <mergeCell ref="O182:P182"/>
    <mergeCell ref="Q182:Z182"/>
    <mergeCell ref="O194:P194"/>
    <mergeCell ref="O196:Z196"/>
    <mergeCell ref="O197:P197"/>
    <mergeCell ref="Q197:Z197"/>
    <mergeCell ref="O198:P198"/>
    <mergeCell ref="Q198:Z198"/>
    <mergeCell ref="AA190:AB190"/>
    <mergeCell ref="O191:P191"/>
    <mergeCell ref="Q191:Z191"/>
    <mergeCell ref="O192:P192"/>
    <mergeCell ref="Q192:Z192"/>
    <mergeCell ref="O193:P193"/>
    <mergeCell ref="Q193:Z193"/>
    <mergeCell ref="O202:P202"/>
    <mergeCell ref="C205:D207"/>
    <mergeCell ref="E205:F207"/>
    <mergeCell ref="G205:H209"/>
    <mergeCell ref="I205:J207"/>
    <mergeCell ref="K205:L207"/>
    <mergeCell ref="N205:O207"/>
    <mergeCell ref="AA198:AB198"/>
    <mergeCell ref="O199:P199"/>
    <mergeCell ref="Q199:Z199"/>
    <mergeCell ref="O200:P200"/>
    <mergeCell ref="Q200:Z200"/>
    <mergeCell ref="O201:P201"/>
    <mergeCell ref="Q201:Z201"/>
    <mergeCell ref="Q205:R207"/>
    <mergeCell ref="U205:U210"/>
    <mergeCell ref="V205:V210"/>
    <mergeCell ref="W205:W210"/>
    <mergeCell ref="X205:X210"/>
    <mergeCell ref="C208:D208"/>
    <mergeCell ref="E208:F208"/>
    <mergeCell ref="I208:J208"/>
    <mergeCell ref="K208:L208"/>
    <mergeCell ref="N208:O208"/>
    <mergeCell ref="C211:D211"/>
    <mergeCell ref="E211:F211"/>
    <mergeCell ref="I211:J211"/>
    <mergeCell ref="K211:L211"/>
    <mergeCell ref="N211:O211"/>
    <mergeCell ref="Q211:R211"/>
    <mergeCell ref="Q208:R208"/>
    <mergeCell ref="C209:D209"/>
    <mergeCell ref="E209:F209"/>
    <mergeCell ref="I209:J209"/>
    <mergeCell ref="K209:L209"/>
    <mergeCell ref="N209:O209"/>
    <mergeCell ref="Q209:R209"/>
    <mergeCell ref="C213:D213"/>
    <mergeCell ref="E213:F213"/>
    <mergeCell ref="I213:J213"/>
    <mergeCell ref="K213:L213"/>
    <mergeCell ref="N213:O213"/>
    <mergeCell ref="Q213:R213"/>
    <mergeCell ref="C212:D212"/>
    <mergeCell ref="E212:F212"/>
    <mergeCell ref="I212:J212"/>
    <mergeCell ref="K212:L212"/>
    <mergeCell ref="N212:O212"/>
    <mergeCell ref="Q212:R212"/>
    <mergeCell ref="S214:T214"/>
    <mergeCell ref="Z214:AC214"/>
    <mergeCell ref="C215:D215"/>
    <mergeCell ref="E215:F215"/>
    <mergeCell ref="I215:J215"/>
    <mergeCell ref="K215:L215"/>
    <mergeCell ref="N215:O215"/>
    <mergeCell ref="Q215:R215"/>
    <mergeCell ref="C214:D214"/>
    <mergeCell ref="E214:F214"/>
    <mergeCell ref="I214:J214"/>
    <mergeCell ref="K214:L214"/>
    <mergeCell ref="N214:O214"/>
    <mergeCell ref="Q214:R214"/>
    <mergeCell ref="Q216:R216"/>
    <mergeCell ref="AB216:AK216"/>
    <mergeCell ref="C217:D217"/>
    <mergeCell ref="E217:F217"/>
    <mergeCell ref="G217:H217"/>
    <mergeCell ref="I217:J217"/>
    <mergeCell ref="K217:L217"/>
    <mergeCell ref="N217:O217"/>
    <mergeCell ref="Q217:R217"/>
    <mergeCell ref="S217:T217"/>
    <mergeCell ref="C216:D216"/>
    <mergeCell ref="E216:F216"/>
    <mergeCell ref="G216:H216"/>
    <mergeCell ref="I216:J216"/>
    <mergeCell ref="K216:L216"/>
    <mergeCell ref="N216:O216"/>
    <mergeCell ref="Q218:R218"/>
    <mergeCell ref="C219:D219"/>
    <mergeCell ref="E219:F219"/>
    <mergeCell ref="G219:H219"/>
    <mergeCell ref="I219:J219"/>
    <mergeCell ref="K219:L219"/>
    <mergeCell ref="N219:O219"/>
    <mergeCell ref="Q219:R219"/>
    <mergeCell ref="C218:D218"/>
    <mergeCell ref="E218:F218"/>
    <mergeCell ref="G218:H218"/>
    <mergeCell ref="I218:J218"/>
    <mergeCell ref="K218:L218"/>
    <mergeCell ref="N218:O218"/>
    <mergeCell ref="Z220:AC220"/>
    <mergeCell ref="C221:D221"/>
    <mergeCell ref="E221:F221"/>
    <mergeCell ref="G221:H221"/>
    <mergeCell ref="I221:J221"/>
    <mergeCell ref="K221:L221"/>
    <mergeCell ref="N221:O221"/>
    <mergeCell ref="Q221:R221"/>
    <mergeCell ref="C220:D220"/>
    <mergeCell ref="E220:F220"/>
    <mergeCell ref="I220:J220"/>
    <mergeCell ref="K220:L220"/>
    <mergeCell ref="N220:O220"/>
    <mergeCell ref="Q220:R220"/>
    <mergeCell ref="AF223:AH223"/>
    <mergeCell ref="C224:D224"/>
    <mergeCell ref="E224:F224"/>
    <mergeCell ref="G224:H224"/>
    <mergeCell ref="I224:J224"/>
    <mergeCell ref="K224:L224"/>
    <mergeCell ref="N224:O224"/>
    <mergeCell ref="Q224:R224"/>
    <mergeCell ref="Q222:R222"/>
    <mergeCell ref="C223:D223"/>
    <mergeCell ref="E223:F223"/>
    <mergeCell ref="G223:H223"/>
    <mergeCell ref="I223:J223"/>
    <mergeCell ref="K223:L223"/>
    <mergeCell ref="N223:O223"/>
    <mergeCell ref="Q223:R223"/>
    <mergeCell ref="C222:D222"/>
    <mergeCell ref="E222:F222"/>
    <mergeCell ref="G222:H222"/>
    <mergeCell ref="I222:J222"/>
    <mergeCell ref="K222:L222"/>
    <mergeCell ref="N222:O222"/>
    <mergeCell ref="Q225:R225"/>
    <mergeCell ref="AA230:AC230"/>
    <mergeCell ref="AD230:AF230"/>
    <mergeCell ref="D231:H231"/>
    <mergeCell ref="I231:K231"/>
    <mergeCell ref="L231:N231"/>
    <mergeCell ref="O231:Q231"/>
    <mergeCell ref="R231:T231"/>
    <mergeCell ref="U231:W231"/>
    <mergeCell ref="X231:Z231"/>
    <mergeCell ref="C225:D225"/>
    <mergeCell ref="E225:F225"/>
    <mergeCell ref="G225:H225"/>
    <mergeCell ref="I225:J225"/>
    <mergeCell ref="K225:L225"/>
    <mergeCell ref="N225:O225"/>
    <mergeCell ref="AA231:AC231"/>
    <mergeCell ref="AD231:AF231"/>
    <mergeCell ref="AI232:AK232"/>
    <mergeCell ref="D233:H233"/>
    <mergeCell ref="I233:K233"/>
    <mergeCell ref="L233:N233"/>
    <mergeCell ref="O233:Q233"/>
    <mergeCell ref="R233:T233"/>
    <mergeCell ref="U233:W233"/>
    <mergeCell ref="X233:Z233"/>
    <mergeCell ref="AA233:AC233"/>
    <mergeCell ref="AD233:AF233"/>
    <mergeCell ref="AI233:AK233"/>
    <mergeCell ref="D232:H232"/>
    <mergeCell ref="I232:K232"/>
    <mergeCell ref="L232:N232"/>
    <mergeCell ref="O232:Q232"/>
    <mergeCell ref="R232:T232"/>
    <mergeCell ref="U232:W232"/>
    <mergeCell ref="X232:Z232"/>
    <mergeCell ref="AA232:AC232"/>
    <mergeCell ref="AD232:AF232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AD234:AF234"/>
    <mergeCell ref="D235:H235"/>
    <mergeCell ref="I235:K235"/>
    <mergeCell ref="L235:N235"/>
    <mergeCell ref="O235:Q235"/>
    <mergeCell ref="R235:T235"/>
    <mergeCell ref="U235:W235"/>
    <mergeCell ref="X235:Z235"/>
    <mergeCell ref="AA235:AC235"/>
    <mergeCell ref="AD235:AF235"/>
    <mergeCell ref="X236:Z236"/>
    <mergeCell ref="AA236:AC236"/>
    <mergeCell ref="AD236:AF236"/>
    <mergeCell ref="D237:H237"/>
    <mergeCell ref="I237:K237"/>
    <mergeCell ref="L237:N237"/>
    <mergeCell ref="O237:Q237"/>
    <mergeCell ref="R237:T237"/>
    <mergeCell ref="U237:W237"/>
    <mergeCell ref="X237:Z237"/>
    <mergeCell ref="D236:H236"/>
    <mergeCell ref="I236:K236"/>
    <mergeCell ref="L236:N236"/>
    <mergeCell ref="O236:Q236"/>
    <mergeCell ref="R236:T236"/>
    <mergeCell ref="U236:W236"/>
    <mergeCell ref="AA237:AC237"/>
    <mergeCell ref="AD237:AF237"/>
    <mergeCell ref="D238:H238"/>
    <mergeCell ref="I238:K238"/>
    <mergeCell ref="L238:N238"/>
    <mergeCell ref="O238:Q238"/>
    <mergeCell ref="R238:T238"/>
    <mergeCell ref="U238:W238"/>
    <mergeCell ref="X238:Z238"/>
    <mergeCell ref="AA238:AC238"/>
    <mergeCell ref="AD238:AF238"/>
    <mergeCell ref="D239:H239"/>
    <mergeCell ref="I239:K239"/>
    <mergeCell ref="L239:N239"/>
    <mergeCell ref="O239:Q239"/>
    <mergeCell ref="R239:T239"/>
    <mergeCell ref="U239:W239"/>
    <mergeCell ref="X239:Z239"/>
    <mergeCell ref="AA239:AC239"/>
    <mergeCell ref="AD239:AF239"/>
    <mergeCell ref="D242:F242"/>
    <mergeCell ref="D243:F243"/>
    <mergeCell ref="M243:O243"/>
    <mergeCell ref="AD243:AF243"/>
    <mergeCell ref="O248:Z248"/>
    <mergeCell ref="O249:P249"/>
    <mergeCell ref="Q249:Z249"/>
    <mergeCell ref="X240:Z240"/>
    <mergeCell ref="AA240:AC240"/>
    <mergeCell ref="AD240:AF240"/>
    <mergeCell ref="S241:U241"/>
    <mergeCell ref="X241:Z241"/>
    <mergeCell ref="AD241:AF241"/>
    <mergeCell ref="D240:H240"/>
    <mergeCell ref="I240:K240"/>
    <mergeCell ref="L240:N240"/>
    <mergeCell ref="O240:Q240"/>
    <mergeCell ref="R240:T240"/>
    <mergeCell ref="U240:W240"/>
    <mergeCell ref="AF253:AJ253"/>
    <mergeCell ref="O254:P254"/>
    <mergeCell ref="O256:Z256"/>
    <mergeCell ref="O257:P257"/>
    <mergeCell ref="Q257:Z257"/>
    <mergeCell ref="O250:P250"/>
    <mergeCell ref="Q250:Z250"/>
    <mergeCell ref="AA250:AB250"/>
    <mergeCell ref="O251:P251"/>
    <mergeCell ref="Q251:Z251"/>
    <mergeCell ref="O252:P252"/>
    <mergeCell ref="Q252:Z252"/>
    <mergeCell ref="O258:P258"/>
    <mergeCell ref="Q258:Z258"/>
    <mergeCell ref="AA258:AB258"/>
    <mergeCell ref="O259:P259"/>
    <mergeCell ref="Q259:Z259"/>
    <mergeCell ref="O260:P260"/>
    <mergeCell ref="Q260:Z260"/>
    <mergeCell ref="O253:P253"/>
    <mergeCell ref="Q253:Z253"/>
    <mergeCell ref="O261:P261"/>
    <mergeCell ref="Q261:Z261"/>
    <mergeCell ref="O262:P262"/>
    <mergeCell ref="AA267:AC267"/>
    <mergeCell ref="AD267:AF267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AI269:AM269"/>
    <mergeCell ref="D270:H270"/>
    <mergeCell ref="I270:K270"/>
    <mergeCell ref="L270:N270"/>
    <mergeCell ref="O270:Q270"/>
    <mergeCell ref="R270:T270"/>
    <mergeCell ref="U270:W270"/>
    <mergeCell ref="X270:Z270"/>
    <mergeCell ref="AA270:AC270"/>
    <mergeCell ref="AD270:AF270"/>
    <mergeCell ref="D269:H269"/>
    <mergeCell ref="I269:K269"/>
    <mergeCell ref="L269:N269"/>
    <mergeCell ref="O269:Q269"/>
    <mergeCell ref="R269:T269"/>
    <mergeCell ref="U269:W269"/>
    <mergeCell ref="X269:Z269"/>
    <mergeCell ref="AA269:AC269"/>
    <mergeCell ref="AD269:AF269"/>
    <mergeCell ref="D271:H271"/>
    <mergeCell ref="I271:K271"/>
    <mergeCell ref="L271:N271"/>
    <mergeCell ref="O271:Q271"/>
    <mergeCell ref="R271:T271"/>
    <mergeCell ref="U271:W271"/>
    <mergeCell ref="X271:Z271"/>
    <mergeCell ref="AA271:AC271"/>
    <mergeCell ref="AD271:AF271"/>
    <mergeCell ref="D272:H272"/>
    <mergeCell ref="I272:K272"/>
    <mergeCell ref="L272:N272"/>
    <mergeCell ref="O272:Q272"/>
    <mergeCell ref="R272:T272"/>
    <mergeCell ref="U272:W272"/>
    <mergeCell ref="X272:Z272"/>
    <mergeCell ref="AA272:AC272"/>
    <mergeCell ref="AD272:AF272"/>
    <mergeCell ref="D273:H273"/>
    <mergeCell ref="I273:K273"/>
    <mergeCell ref="L273:N273"/>
    <mergeCell ref="O273:Q273"/>
    <mergeCell ref="R273:T273"/>
    <mergeCell ref="U273:W273"/>
    <mergeCell ref="X273:Z273"/>
    <mergeCell ref="AA273:AC273"/>
    <mergeCell ref="AD273:AF273"/>
    <mergeCell ref="D275:H275"/>
    <mergeCell ref="I275:K275"/>
    <mergeCell ref="L275:N275"/>
    <mergeCell ref="O275:Q275"/>
    <mergeCell ref="R275:T275"/>
    <mergeCell ref="U275:W275"/>
    <mergeCell ref="X275:Z275"/>
    <mergeCell ref="D274:H274"/>
    <mergeCell ref="I274:K274"/>
    <mergeCell ref="L274:N274"/>
    <mergeCell ref="O274:Q274"/>
    <mergeCell ref="R274:T274"/>
    <mergeCell ref="U274:W274"/>
    <mergeCell ref="AA275:AC275"/>
    <mergeCell ref="AD275:AF275"/>
    <mergeCell ref="S276:U276"/>
    <mergeCell ref="X276:Z276"/>
    <mergeCell ref="AD276:AF276"/>
    <mergeCell ref="L278:N278"/>
    <mergeCell ref="AD278:AF278"/>
    <mergeCell ref="X274:Z274"/>
    <mergeCell ref="AA274:AC274"/>
    <mergeCell ref="AD274:AF274"/>
    <mergeCell ref="AP24:AQ24"/>
    <mergeCell ref="AR24:AS24"/>
    <mergeCell ref="AR46:AS46"/>
    <mergeCell ref="AW46:AX46"/>
    <mergeCell ref="C88:D88"/>
    <mergeCell ref="E88:F88"/>
    <mergeCell ref="G88:H88"/>
    <mergeCell ref="I88:J88"/>
    <mergeCell ref="K88:L88"/>
    <mergeCell ref="N88:O88"/>
    <mergeCell ref="Q88:R88"/>
    <mergeCell ref="Q86:R86"/>
    <mergeCell ref="C87:D87"/>
    <mergeCell ref="E87:F87"/>
    <mergeCell ref="G87:H87"/>
    <mergeCell ref="I87:J87"/>
    <mergeCell ref="K87:L87"/>
    <mergeCell ref="N87:O87"/>
    <mergeCell ref="Q87:R87"/>
    <mergeCell ref="C86:D86"/>
    <mergeCell ref="E86:F86"/>
    <mergeCell ref="G86:H86"/>
    <mergeCell ref="I86:J86"/>
    <mergeCell ref="K86:L86"/>
  </mergeCells>
  <conditionalFormatting sqref="AP204:AP207 AH62 AP62 AH33:AH50 AP33:AP50">
    <cfRule type="cellIs" dxfId="64" priority="19" stopIfTrue="1" operator="lessThanOrEqual">
      <formula>0</formula>
    </cfRule>
  </conditionalFormatting>
  <conditionalFormatting sqref="L292:L293 K263:L263 K292:K295 L295 K163:L164 K280:L283 K184:L184 K203:L245 K79:K82 K83:L84 K85:K89 K89:L146">
    <cfRule type="cellIs" dxfId="63" priority="18" stopIfTrue="1" operator="greaterThanOrEqual">
      <formula>$K$74</formula>
    </cfRule>
  </conditionalFormatting>
  <conditionalFormatting sqref="AR50:AT50 AR48:AT48 AP58:AT59 AR62:AS62 AS38 AS40 AR33:AS33 AR34:AR46 AT5 AP11:AT27 AR46:AS47">
    <cfRule type="cellIs" dxfId="62" priority="17" stopIfTrue="1" operator="lessThan">
      <formula>0</formula>
    </cfRule>
  </conditionalFormatting>
  <conditionalFormatting sqref="P204:P206 AJ58:AJ59 F62 Z62 F58:F60 P62:P68 P58:P60 Z58:Z60 F11:F26 AJ11:AJ27 P11:P27 Z11:Z27 P33:P55 F33:F50 Z33:Z50">
    <cfRule type="cellIs" dxfId="61" priority="16" stopIfTrue="1" operator="lessThanOrEqual">
      <formula>0</formula>
    </cfRule>
  </conditionalFormatting>
  <conditionalFormatting sqref="S204:S206 AM58:AM59 AC62 I62 AC58:AC60 S62:S68 S58:S60 I58:I60 AM11:AM27 I11:I26 S11:S27 AC11:AC27 S33:S55 I33:I50 AC33:AC50">
    <cfRule type="cellIs" dxfId="60" priority="15" stopIfTrue="1" operator="lessThanOrEqual">
      <formula>0</formula>
    </cfRule>
  </conditionalFormatting>
  <conditionalFormatting sqref="U204:V206 K58:L60 AO58:AO59 AE58:AE59 K62:L62 AE62:AF62 U62:V68 AE60:AF60 U58:V60 K48:L50 AE48:AF50 U48:V56 AF45:AF46 L45:L46 V45:V46 U42:V42 AE42:AF42 V38:V41 L39:L41 AF39:AF41 U33:V33 K26:L27 AE26:AF27 K33:L33 U26:V27 AE33:AF33 L23:L24 V23:V24 AE34:AE41 U34:U41 K15:L18 L19 V15:V19 K19:K25 K11:L11 U11:V11 K12:K14 U12:U25 K24:L24 AE11:AE25 AO11:AO27 U24:V24 U43:U47 AE43:AE47 K34:K47">
    <cfRule type="cellIs" dxfId="59" priority="14" stopIfTrue="1" operator="lessThanOrEqual">
      <formula>0</formula>
    </cfRule>
  </conditionalFormatting>
  <conditionalFormatting sqref="W214:X223 Z204:AA206 W225:X225 Z63:AA63 AA68:AB70 AA73:AB74 Z51:AA55 W75:X85 W87:X90">
    <cfRule type="cellIs" dxfId="58" priority="13" stopIfTrue="1" operator="lessThan">
      <formula>0</formula>
    </cfRule>
  </conditionalFormatting>
  <conditionalFormatting sqref="X204:X206 U225 U214:U223 X63:X68 X51 X53:X55 U75:U85 U87:U90">
    <cfRule type="cellIs" dxfId="57" priority="12" stopIfTrue="1" operator="greaterThan">
      <formula>48</formula>
    </cfRule>
  </conditionalFormatting>
  <conditionalFormatting sqref="C280:C284 C292:D295 C163:D163 D280:D291 C91:D146 C245:D245 C226:D226">
    <cfRule type="cellIs" dxfId="56" priority="11" stopIfTrue="1" operator="lessThan">
      <formula>$C$73</formula>
    </cfRule>
  </conditionalFormatting>
  <conditionalFormatting sqref="AI62:AO62 AI33:AO50">
    <cfRule type="cellIs" dxfId="55" priority="9" stopIfTrue="1" operator="equal">
      <formula>0</formula>
    </cfRule>
    <cfRule type="cellIs" dxfId="54" priority="10" stopIfTrue="1" operator="lessThan">
      <formula>0</formula>
    </cfRule>
  </conditionalFormatting>
  <conditionalFormatting sqref="AT62 AT33:AT47">
    <cfRule type="cellIs" dxfId="53" priority="7" stopIfTrue="1" operator="greaterThan">
      <formula>0</formula>
    </cfRule>
    <cfRule type="cellIs" dxfId="52" priority="8" stopIfTrue="1" operator="lessThan">
      <formula>1</formula>
    </cfRule>
  </conditionalFormatting>
  <conditionalFormatting sqref="K211:L221 K224:L224 K73:L89">
    <cfRule type="cellIs" dxfId="51" priority="6" stopIfTrue="1" operator="greaterThanOrEqual">
      <formula>$K$71</formula>
    </cfRule>
  </conditionalFormatting>
  <conditionalFormatting sqref="AF58:AF59 L12:L25 AF11:AF25 V12:V25 V33:V47 L33:L47 AF33:AF47">
    <cfRule type="cellIs" dxfId="50" priority="4" stopIfTrue="1" operator="equal">
      <formula>0</formula>
    </cfRule>
    <cfRule type="cellIs" dxfId="49" priority="5" stopIfTrue="1" operator="lessThan">
      <formula>0</formula>
    </cfRule>
  </conditionalFormatting>
  <conditionalFormatting sqref="K77:L77">
    <cfRule type="cellIs" dxfId="48" priority="3" stopIfTrue="1" operator="greaterThanOrEqual">
      <formula>$K$74</formula>
    </cfRule>
  </conditionalFormatting>
  <hyperlinks>
    <hyperlink ref="AB216" r:id="rId1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P19:AT21 AK36 AF14 AP18:AT18 AP22:AS22 AP24 AR46 I89" formula="1"/>
  </ignoredErrors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H282"/>
  <sheetViews>
    <sheetView zoomScale="95" zoomScaleNormal="95" workbookViewId="0">
      <pane xSplit="2" ySplit="4" topLeftCell="C5" activePane="bottomRight" state="frozen"/>
      <selection activeCell="C5" sqref="C5:J6"/>
      <selection pane="topRight" activeCell="C5" sqref="C5:J6"/>
      <selection pane="bottomLeft" activeCell="C5" sqref="C5:J6"/>
      <selection pane="bottomRight" activeCell="J22" sqref="J22"/>
    </sheetView>
  </sheetViews>
  <sheetFormatPr baseColWidth="10" defaultRowHeight="15"/>
  <cols>
    <col min="1" max="1" width="2.28515625" style="1" customWidth="1"/>
    <col min="2" max="2" width="13.7109375" style="7" customWidth="1"/>
    <col min="3" max="4" width="4.28515625" style="3" customWidth="1"/>
    <col min="5" max="5" width="4.28515625" style="4" customWidth="1"/>
    <col min="6" max="6" width="4.28515625" style="5" customWidth="1"/>
    <col min="7" max="8" width="4.28515625" style="3" customWidth="1"/>
    <col min="9" max="9" width="4.28515625" style="5" customWidth="1"/>
    <col min="10" max="10" width="4.28515625" style="3" customWidth="1"/>
    <col min="11" max="12" width="4.28515625" style="6" customWidth="1"/>
    <col min="13" max="26" width="4.28515625" style="3" customWidth="1"/>
    <col min="27" max="39" width="4.28515625" style="7" customWidth="1"/>
    <col min="40" max="40" width="4.7109375" style="7" customWidth="1"/>
    <col min="41" max="41" width="4.28515625" style="7" customWidth="1"/>
    <col min="42" max="42" width="4.7109375" style="7" customWidth="1"/>
    <col min="43" max="43" width="0.5703125" style="7" customWidth="1"/>
    <col min="44" max="45" width="4.140625" style="7" customWidth="1"/>
    <col min="46" max="46" width="7.7109375" style="7" customWidth="1"/>
    <col min="47" max="47" width="0.85546875" style="7" customWidth="1"/>
    <col min="48" max="54" width="2.7109375" style="7" customWidth="1"/>
    <col min="55" max="55" width="0.85546875" style="7" customWidth="1"/>
    <col min="56" max="56" width="8.42578125" style="7" bestFit="1" customWidth="1"/>
    <col min="57" max="57" width="10.28515625" style="7" customWidth="1"/>
    <col min="58" max="59" width="11.42578125" style="7"/>
    <col min="60" max="62" width="12.7109375" style="7" customWidth="1"/>
    <col min="63" max="16384" width="11.42578125" style="7"/>
  </cols>
  <sheetData>
    <row r="1" spans="1:58" ht="6" customHeight="1">
      <c r="B1" s="2">
        <f>+W27</f>
        <v>43845</v>
      </c>
      <c r="C1" s="3" t="s">
        <v>0</v>
      </c>
      <c r="AN1" s="8"/>
      <c r="AO1" s="8"/>
      <c r="AR1" s="1198">
        <f>+AR48+AT48</f>
        <v>177</v>
      </c>
      <c r="AS1" s="1199"/>
      <c r="AT1" s="1199"/>
      <c r="AU1" s="1200"/>
    </row>
    <row r="2" spans="1:58" ht="6" customHeight="1">
      <c r="AJ2" s="8"/>
      <c r="AK2" s="8"/>
      <c r="AL2" s="8"/>
      <c r="AM2" s="8"/>
      <c r="AN2" s="8"/>
      <c r="AO2" s="8"/>
      <c r="AR2" s="1201"/>
      <c r="AS2" s="1202"/>
      <c r="AT2" s="1202"/>
      <c r="AU2" s="1203"/>
    </row>
    <row r="3" spans="1:58" s="10" customFormat="1" ht="20.100000000000001" customHeight="1">
      <c r="A3" s="1"/>
      <c r="B3" s="740">
        <f>+B1+1</f>
        <v>43846</v>
      </c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740"/>
      <c r="AB3" s="740"/>
      <c r="AC3" s="740"/>
      <c r="AD3" s="740"/>
      <c r="AE3" s="740"/>
      <c r="AF3" s="740"/>
      <c r="AG3" s="740"/>
      <c r="AH3" s="740"/>
      <c r="AI3" s="740"/>
      <c r="AJ3" s="740"/>
      <c r="AK3" s="740"/>
      <c r="AL3" s="740"/>
      <c r="AM3" s="740"/>
      <c r="AN3" s="740"/>
      <c r="AO3" s="740"/>
      <c r="AP3" s="9"/>
      <c r="AT3" s="11"/>
    </row>
    <row r="4" spans="1:58" ht="3" customHeight="1" thickBot="1">
      <c r="B4" s="12"/>
      <c r="C4" s="3">
        <v>0</v>
      </c>
    </row>
    <row r="5" spans="1:58" ht="9.9499999999999993" customHeight="1">
      <c r="B5" s="741" t="s">
        <v>1</v>
      </c>
      <c r="C5" s="744">
        <v>43839</v>
      </c>
      <c r="D5" s="744"/>
      <c r="E5" s="744"/>
      <c r="F5" s="744"/>
      <c r="G5" s="744"/>
      <c r="H5" s="744"/>
      <c r="I5" s="744"/>
      <c r="J5" s="744"/>
      <c r="K5" s="746"/>
      <c r="L5" s="747"/>
      <c r="M5" s="744">
        <f>1+C5</f>
        <v>43840</v>
      </c>
      <c r="N5" s="744"/>
      <c r="O5" s="744"/>
      <c r="P5" s="744"/>
      <c r="Q5" s="744"/>
      <c r="R5" s="744"/>
      <c r="S5" s="744"/>
      <c r="T5" s="744"/>
      <c r="U5" s="746"/>
      <c r="V5" s="747"/>
      <c r="W5" s="750">
        <f>1+M5</f>
        <v>43841</v>
      </c>
      <c r="X5" s="750"/>
      <c r="Y5" s="750"/>
      <c r="Z5" s="750"/>
      <c r="AA5" s="750"/>
      <c r="AB5" s="750"/>
      <c r="AC5" s="750"/>
      <c r="AD5" s="750"/>
      <c r="AE5" s="752"/>
      <c r="AF5" s="753"/>
      <c r="AG5" s="756">
        <f>1+W5</f>
        <v>43842</v>
      </c>
      <c r="AH5" s="757"/>
      <c r="AI5" s="757"/>
      <c r="AJ5" s="757"/>
      <c r="AK5" s="757"/>
      <c r="AL5" s="757"/>
      <c r="AM5" s="757"/>
      <c r="AN5" s="757"/>
      <c r="AO5" s="791" t="s">
        <v>2</v>
      </c>
      <c r="AP5" s="793" t="s">
        <v>3</v>
      </c>
      <c r="AQ5" s="794"/>
      <c r="AR5" s="794"/>
      <c r="AS5" s="795"/>
      <c r="AT5" s="802" t="s">
        <v>4</v>
      </c>
      <c r="AV5" s="779" t="s">
        <v>5</v>
      </c>
      <c r="AW5" s="779"/>
      <c r="AX5" s="779"/>
      <c r="AY5" s="779"/>
      <c r="AZ5" s="779"/>
      <c r="BA5" s="779"/>
      <c r="BB5" s="779"/>
      <c r="BC5" s="13"/>
      <c r="BD5" s="804" t="s">
        <v>6</v>
      </c>
      <c r="BE5" s="805" t="s">
        <v>7</v>
      </c>
      <c r="BF5" s="776" t="s">
        <v>8</v>
      </c>
    </row>
    <row r="6" spans="1:58" ht="9.9499999999999993" customHeight="1">
      <c r="B6" s="742"/>
      <c r="C6" s="745"/>
      <c r="D6" s="745"/>
      <c r="E6" s="745"/>
      <c r="F6" s="745"/>
      <c r="G6" s="745"/>
      <c r="H6" s="745"/>
      <c r="I6" s="745"/>
      <c r="J6" s="745"/>
      <c r="K6" s="748"/>
      <c r="L6" s="749"/>
      <c r="M6" s="745"/>
      <c r="N6" s="745"/>
      <c r="O6" s="745"/>
      <c r="P6" s="745"/>
      <c r="Q6" s="745"/>
      <c r="R6" s="745"/>
      <c r="S6" s="745"/>
      <c r="T6" s="745"/>
      <c r="U6" s="748"/>
      <c r="V6" s="749"/>
      <c r="W6" s="751"/>
      <c r="X6" s="751"/>
      <c r="Y6" s="751"/>
      <c r="Z6" s="751"/>
      <c r="AA6" s="751"/>
      <c r="AB6" s="751"/>
      <c r="AC6" s="751"/>
      <c r="AD6" s="751"/>
      <c r="AE6" s="754"/>
      <c r="AF6" s="755"/>
      <c r="AG6" s="758"/>
      <c r="AH6" s="759"/>
      <c r="AI6" s="759"/>
      <c r="AJ6" s="759"/>
      <c r="AK6" s="759"/>
      <c r="AL6" s="759"/>
      <c r="AM6" s="759"/>
      <c r="AN6" s="759"/>
      <c r="AO6" s="792"/>
      <c r="AP6" s="796"/>
      <c r="AQ6" s="797"/>
      <c r="AR6" s="797"/>
      <c r="AS6" s="798"/>
      <c r="AT6" s="803"/>
      <c r="AV6" s="779" t="s">
        <v>9</v>
      </c>
      <c r="AW6" s="779"/>
      <c r="AX6" s="779"/>
      <c r="AY6" s="779"/>
      <c r="AZ6" s="779"/>
      <c r="BA6" s="779"/>
      <c r="BB6" s="779"/>
      <c r="BC6" s="13"/>
      <c r="BD6" s="804"/>
      <c r="BE6" s="805"/>
      <c r="BF6" s="777"/>
    </row>
    <row r="7" spans="1:58" ht="15.2" customHeight="1">
      <c r="B7" s="742"/>
      <c r="C7" s="780" t="s">
        <v>10</v>
      </c>
      <c r="D7" s="781"/>
      <c r="E7" s="766" t="s">
        <v>11</v>
      </c>
      <c r="F7" s="769" t="s">
        <v>12</v>
      </c>
      <c r="G7" s="772" t="s">
        <v>10</v>
      </c>
      <c r="H7" s="761"/>
      <c r="I7" s="769" t="s">
        <v>12</v>
      </c>
      <c r="J7" s="773" t="s">
        <v>13</v>
      </c>
      <c r="K7" s="786" t="s">
        <v>14</v>
      </c>
      <c r="L7" s="789" t="s">
        <v>15</v>
      </c>
      <c r="M7" s="760" t="s">
        <v>10</v>
      </c>
      <c r="N7" s="761"/>
      <c r="O7" s="766" t="s">
        <v>11</v>
      </c>
      <c r="P7" s="769" t="s">
        <v>12</v>
      </c>
      <c r="Q7" s="772" t="s">
        <v>10</v>
      </c>
      <c r="R7" s="761"/>
      <c r="S7" s="769" t="s">
        <v>12</v>
      </c>
      <c r="T7" s="773" t="s">
        <v>13</v>
      </c>
      <c r="U7" s="786" t="s">
        <v>14</v>
      </c>
      <c r="V7" s="789" t="s">
        <v>15</v>
      </c>
      <c r="W7" s="814" t="s">
        <v>10</v>
      </c>
      <c r="X7" s="810"/>
      <c r="Y7" s="766" t="s">
        <v>11</v>
      </c>
      <c r="Z7" s="769" t="s">
        <v>12</v>
      </c>
      <c r="AA7" s="809" t="s">
        <v>10</v>
      </c>
      <c r="AB7" s="810"/>
      <c r="AC7" s="769" t="s">
        <v>12</v>
      </c>
      <c r="AD7" s="773" t="s">
        <v>13</v>
      </c>
      <c r="AE7" s="807" t="s">
        <v>14</v>
      </c>
      <c r="AF7" s="789" t="s">
        <v>15</v>
      </c>
      <c r="AG7" s="809" t="s">
        <v>10</v>
      </c>
      <c r="AH7" s="810"/>
      <c r="AI7" s="766" t="s">
        <v>11</v>
      </c>
      <c r="AJ7" s="825" t="s">
        <v>12</v>
      </c>
      <c r="AK7" s="809" t="s">
        <v>10</v>
      </c>
      <c r="AL7" s="810"/>
      <c r="AM7" s="769" t="s">
        <v>12</v>
      </c>
      <c r="AN7" s="828" t="s">
        <v>16</v>
      </c>
      <c r="AO7" s="830" t="s">
        <v>14</v>
      </c>
      <c r="AP7" s="796"/>
      <c r="AQ7" s="797"/>
      <c r="AR7" s="797"/>
      <c r="AS7" s="798"/>
      <c r="AT7" s="803"/>
      <c r="AV7" s="806">
        <f>+C5</f>
        <v>43839</v>
      </c>
      <c r="AW7" s="806">
        <f>+M5</f>
        <v>43840</v>
      </c>
      <c r="AX7" s="806">
        <f>+W5</f>
        <v>43841</v>
      </c>
      <c r="AY7" s="832">
        <f>+AG5</f>
        <v>43842</v>
      </c>
      <c r="AZ7" s="806">
        <f>+C27</f>
        <v>43843</v>
      </c>
      <c r="BA7" s="806">
        <f>+M27</f>
        <v>43844</v>
      </c>
      <c r="BB7" s="806">
        <f>+W27</f>
        <v>43845</v>
      </c>
      <c r="BC7" s="14"/>
      <c r="BD7" s="804"/>
      <c r="BE7" s="805"/>
      <c r="BF7" s="777"/>
    </row>
    <row r="8" spans="1:58" ht="15.2" customHeight="1">
      <c r="B8" s="742"/>
      <c r="C8" s="782"/>
      <c r="D8" s="783"/>
      <c r="E8" s="767"/>
      <c r="F8" s="770"/>
      <c r="G8" s="763"/>
      <c r="H8" s="763"/>
      <c r="I8" s="770"/>
      <c r="J8" s="774"/>
      <c r="K8" s="787"/>
      <c r="L8" s="789"/>
      <c r="M8" s="762"/>
      <c r="N8" s="763"/>
      <c r="O8" s="767"/>
      <c r="P8" s="770"/>
      <c r="Q8" s="763"/>
      <c r="R8" s="763"/>
      <c r="S8" s="770"/>
      <c r="T8" s="774"/>
      <c r="U8" s="787"/>
      <c r="V8" s="789"/>
      <c r="W8" s="815"/>
      <c r="X8" s="810"/>
      <c r="Y8" s="767"/>
      <c r="Z8" s="770"/>
      <c r="AA8" s="811"/>
      <c r="AB8" s="810"/>
      <c r="AC8" s="770"/>
      <c r="AD8" s="774"/>
      <c r="AE8" s="807"/>
      <c r="AF8" s="789"/>
      <c r="AG8" s="811"/>
      <c r="AH8" s="810"/>
      <c r="AI8" s="767"/>
      <c r="AJ8" s="826"/>
      <c r="AK8" s="811"/>
      <c r="AL8" s="810"/>
      <c r="AM8" s="770"/>
      <c r="AN8" s="828"/>
      <c r="AO8" s="830"/>
      <c r="AP8" s="796"/>
      <c r="AQ8" s="797"/>
      <c r="AR8" s="797"/>
      <c r="AS8" s="798"/>
      <c r="AT8" s="803"/>
      <c r="AV8" s="806"/>
      <c r="AW8" s="806"/>
      <c r="AX8" s="806"/>
      <c r="AY8" s="832"/>
      <c r="AZ8" s="806"/>
      <c r="BA8" s="806"/>
      <c r="BB8" s="806"/>
      <c r="BC8" s="14"/>
      <c r="BD8" s="804"/>
      <c r="BE8" s="805"/>
      <c r="BF8" s="777"/>
    </row>
    <row r="9" spans="1:58" ht="15.2" customHeight="1">
      <c r="B9" s="742"/>
      <c r="C9" s="782"/>
      <c r="D9" s="783"/>
      <c r="E9" s="767"/>
      <c r="F9" s="770"/>
      <c r="G9" s="763"/>
      <c r="H9" s="763"/>
      <c r="I9" s="770"/>
      <c r="J9" s="774"/>
      <c r="K9" s="787"/>
      <c r="L9" s="789"/>
      <c r="M9" s="762"/>
      <c r="N9" s="763"/>
      <c r="O9" s="767"/>
      <c r="P9" s="770"/>
      <c r="Q9" s="763"/>
      <c r="R9" s="763"/>
      <c r="S9" s="770"/>
      <c r="T9" s="774"/>
      <c r="U9" s="787"/>
      <c r="V9" s="789"/>
      <c r="W9" s="815"/>
      <c r="X9" s="810"/>
      <c r="Y9" s="767"/>
      <c r="Z9" s="770"/>
      <c r="AA9" s="811"/>
      <c r="AB9" s="810"/>
      <c r="AC9" s="770"/>
      <c r="AD9" s="774"/>
      <c r="AE9" s="807"/>
      <c r="AF9" s="789"/>
      <c r="AG9" s="811"/>
      <c r="AH9" s="810"/>
      <c r="AI9" s="767"/>
      <c r="AJ9" s="826"/>
      <c r="AK9" s="811"/>
      <c r="AL9" s="810"/>
      <c r="AM9" s="770"/>
      <c r="AN9" s="828"/>
      <c r="AO9" s="830"/>
      <c r="AP9" s="796"/>
      <c r="AQ9" s="797"/>
      <c r="AR9" s="797"/>
      <c r="AS9" s="798"/>
      <c r="AT9" s="803"/>
      <c r="AV9" s="806"/>
      <c r="AW9" s="806"/>
      <c r="AX9" s="806"/>
      <c r="AY9" s="832"/>
      <c r="AZ9" s="806"/>
      <c r="BA9" s="806"/>
      <c r="BB9" s="806"/>
      <c r="BC9" s="14"/>
      <c r="BD9" s="804"/>
      <c r="BE9" s="805"/>
      <c r="BF9" s="777"/>
    </row>
    <row r="10" spans="1:58" ht="15.2" customHeight="1" thickBot="1">
      <c r="B10" s="743"/>
      <c r="C10" s="784"/>
      <c r="D10" s="785"/>
      <c r="E10" s="768"/>
      <c r="F10" s="771"/>
      <c r="G10" s="765"/>
      <c r="H10" s="765"/>
      <c r="I10" s="771"/>
      <c r="J10" s="775"/>
      <c r="K10" s="788"/>
      <c r="L10" s="790"/>
      <c r="M10" s="764"/>
      <c r="N10" s="765"/>
      <c r="O10" s="768"/>
      <c r="P10" s="771"/>
      <c r="Q10" s="765"/>
      <c r="R10" s="765"/>
      <c r="S10" s="771"/>
      <c r="T10" s="775"/>
      <c r="U10" s="788"/>
      <c r="V10" s="790"/>
      <c r="W10" s="816"/>
      <c r="X10" s="813"/>
      <c r="Y10" s="768"/>
      <c r="Z10" s="771"/>
      <c r="AA10" s="812"/>
      <c r="AB10" s="813"/>
      <c r="AC10" s="771"/>
      <c r="AD10" s="775"/>
      <c r="AE10" s="808"/>
      <c r="AF10" s="790"/>
      <c r="AG10" s="812"/>
      <c r="AH10" s="813"/>
      <c r="AI10" s="768"/>
      <c r="AJ10" s="827"/>
      <c r="AK10" s="812"/>
      <c r="AL10" s="813"/>
      <c r="AM10" s="771"/>
      <c r="AN10" s="829"/>
      <c r="AO10" s="831"/>
      <c r="AP10" s="799"/>
      <c r="AQ10" s="800"/>
      <c r="AR10" s="800"/>
      <c r="AS10" s="801"/>
      <c r="AT10" s="15">
        <v>4</v>
      </c>
      <c r="AV10" s="806"/>
      <c r="AW10" s="806"/>
      <c r="AX10" s="806"/>
      <c r="AY10" s="832"/>
      <c r="AZ10" s="806"/>
      <c r="BA10" s="806"/>
      <c r="BB10" s="806"/>
      <c r="BC10" s="14"/>
      <c r="BD10" s="804"/>
      <c r="BE10" s="805"/>
      <c r="BF10" s="778"/>
    </row>
    <row r="11" spans="1:58" ht="14.1" customHeight="1">
      <c r="A11" s="1">
        <v>1</v>
      </c>
      <c r="B11" s="16" t="str">
        <f t="shared" ref="B11:B16" si="0">+B73</f>
        <v>Eduardo Segura D.</v>
      </c>
      <c r="C11" s="17">
        <v>8</v>
      </c>
      <c r="D11" s="18">
        <v>16</v>
      </c>
      <c r="E11" s="19">
        <v>1</v>
      </c>
      <c r="F11" s="20">
        <f t="shared" ref="F11:F21" si="1">+D11-C11-E11</f>
        <v>7</v>
      </c>
      <c r="G11" s="21"/>
      <c r="H11" s="22"/>
      <c r="I11" s="20">
        <f t="shared" ref="I11:I21" si="2">+H11-G11</f>
        <v>0</v>
      </c>
      <c r="J11" s="23"/>
      <c r="K11" s="24">
        <f t="shared" ref="K11:K21" si="3">+I11+F11-L11</f>
        <v>8</v>
      </c>
      <c r="L11" s="25">
        <f t="shared" ref="L11:L25" si="4">IF(C11&gt;0,(F11+I11)+IF(K$5&gt;0,F11,-8),0)+IF(U$5&gt;0,I11,0)</f>
        <v>-1</v>
      </c>
      <c r="M11" s="26">
        <v>7</v>
      </c>
      <c r="N11" s="21">
        <v>12</v>
      </c>
      <c r="O11" s="23">
        <v>1</v>
      </c>
      <c r="P11" s="20">
        <f t="shared" ref="P11:P21" si="5">+N11-M11-O11</f>
        <v>4</v>
      </c>
      <c r="Q11" s="22"/>
      <c r="R11" s="544">
        <v>4</v>
      </c>
      <c r="S11" s="20">
        <f t="shared" ref="S11:S21" si="6">+R11-Q11</f>
        <v>4</v>
      </c>
      <c r="T11" s="23"/>
      <c r="U11" s="24">
        <f t="shared" ref="U11:U21" si="7">+S11+P11-V11</f>
        <v>8</v>
      </c>
      <c r="V11" s="25">
        <f t="shared" ref="V11:V21" si="8">IF(M11&gt;0,(P11+S11)+IF(U$5&gt;0,P11,-8),0)+IF(AE$5&gt;0,S11,0)</f>
        <v>0</v>
      </c>
      <c r="W11" s="26">
        <v>7</v>
      </c>
      <c r="X11" s="22">
        <v>16</v>
      </c>
      <c r="Y11" s="27">
        <v>1</v>
      </c>
      <c r="Z11" s="20">
        <f t="shared" ref="Z11:Z21" si="9">+X11-W11-Y11</f>
        <v>8</v>
      </c>
      <c r="AA11" s="22"/>
      <c r="AB11" s="28"/>
      <c r="AC11" s="20">
        <f t="shared" ref="AC11:AC21" si="10">+AB11-AA11</f>
        <v>0</v>
      </c>
      <c r="AD11" s="23"/>
      <c r="AE11" s="24">
        <f t="shared" ref="AE11:AE25" si="11">+AC11+Z11-IF(AE$5&gt;0,AF11/2,AF11)</f>
        <v>8</v>
      </c>
      <c r="AF11" s="25">
        <f>IF(W11&gt;0,IF(AE$5&gt;0,(Z11+AC11)*2,(Z11+AC11-8)),0)*IF(Z11&lt;9,IF(AE$5&gt;0,1,2),1)+IF(Z11&gt;8,AC11,0)</f>
        <v>0</v>
      </c>
      <c r="AG11" s="22">
        <v>8</v>
      </c>
      <c r="AH11" s="22">
        <v>16</v>
      </c>
      <c r="AI11" s="27">
        <v>1</v>
      </c>
      <c r="AJ11" s="29">
        <f t="shared" ref="AJ11:AJ25" si="12">+AH11-AG11-AI11</f>
        <v>7</v>
      </c>
      <c r="AK11" s="21"/>
      <c r="AL11" s="21"/>
      <c r="AM11" s="20">
        <f t="shared" ref="AM11:AM21" si="13">+AL11-AK11</f>
        <v>0</v>
      </c>
      <c r="AN11" s="30"/>
      <c r="AO11" s="31">
        <f t="shared" ref="AO11:AO21" si="14">(AJ11*2+AM11)</f>
        <v>14</v>
      </c>
      <c r="AP11" s="817">
        <f t="shared" ref="AP11:AP18" si="15">+L11+V11+AF11+AO11+L33+V33+AF33-AN11</f>
        <v>13</v>
      </c>
      <c r="AQ11" s="818"/>
      <c r="AR11" s="819">
        <f t="shared" ref="AR11:AR21" si="16">ROUND(BD11*AP11,1)</f>
        <v>59.1</v>
      </c>
      <c r="AS11" s="820"/>
      <c r="AT11" s="32">
        <f t="shared" ref="AT11:AT18" si="17">IF(AT33&gt;0,AT33*$AT$10,0)</f>
        <v>28</v>
      </c>
      <c r="AV11" s="33">
        <f t="shared" ref="AV11:AV21" si="18">+L11</f>
        <v>-1</v>
      </c>
      <c r="AW11" s="33">
        <f t="shared" ref="AW11:AW21" si="19">+V11</f>
        <v>0</v>
      </c>
      <c r="AX11" s="33">
        <f t="shared" ref="AX11:AX21" si="20">+AF11</f>
        <v>0</v>
      </c>
      <c r="AY11" s="34">
        <f t="shared" ref="AY11:AY21" si="21">+AO11</f>
        <v>14</v>
      </c>
      <c r="AZ11" s="33">
        <f t="shared" ref="AZ11:AZ18" si="22">+L33</f>
        <v>0</v>
      </c>
      <c r="BA11" s="33">
        <f t="shared" ref="BA11:BA18" si="23">+V33</f>
        <v>0</v>
      </c>
      <c r="BB11" s="33">
        <f t="shared" ref="BB11:BB18" si="24">+AF33</f>
        <v>0</v>
      </c>
      <c r="BC11" s="35"/>
      <c r="BD11" s="36">
        <f t="shared" ref="BD11:BD16" si="25">+I73</f>
        <v>4.5464285714285708</v>
      </c>
      <c r="BE11" s="37">
        <f t="shared" ref="BE11:BE21" si="26">+BD11*AP11</f>
        <v>59.103571428571421</v>
      </c>
      <c r="BF11" s="38">
        <f t="shared" ref="BF11:BF21" si="27">+BD11*AY11</f>
        <v>63.649999999999991</v>
      </c>
    </row>
    <row r="12" spans="1:58" ht="14.1" customHeight="1">
      <c r="A12" s="1">
        <v>2</v>
      </c>
      <c r="B12" s="558" t="str">
        <f t="shared" si="0"/>
        <v>Cesar Mendez M.</v>
      </c>
      <c r="C12" s="17"/>
      <c r="D12" s="18"/>
      <c r="E12" s="19"/>
      <c r="F12" s="40">
        <f t="shared" si="1"/>
        <v>0</v>
      </c>
      <c r="G12" s="18"/>
      <c r="H12" s="18"/>
      <c r="I12" s="40">
        <f t="shared" si="2"/>
        <v>0</v>
      </c>
      <c r="J12" s="19"/>
      <c r="K12" s="41">
        <f t="shared" si="3"/>
        <v>0</v>
      </c>
      <c r="L12" s="25">
        <f t="shared" si="4"/>
        <v>0</v>
      </c>
      <c r="M12" s="550"/>
      <c r="N12" s="18"/>
      <c r="O12" s="19"/>
      <c r="P12" s="40">
        <f t="shared" si="5"/>
        <v>0</v>
      </c>
      <c r="Q12" s="43"/>
      <c r="R12" s="43"/>
      <c r="S12" s="40">
        <f t="shared" si="6"/>
        <v>0</v>
      </c>
      <c r="T12" s="19"/>
      <c r="U12" s="41">
        <f t="shared" si="7"/>
        <v>0</v>
      </c>
      <c r="V12" s="25">
        <f t="shared" si="8"/>
        <v>0</v>
      </c>
      <c r="W12" s="18"/>
      <c r="X12" s="18"/>
      <c r="Y12" s="19"/>
      <c r="Z12" s="40">
        <f t="shared" si="9"/>
        <v>0</v>
      </c>
      <c r="AA12" s="44"/>
      <c r="AB12" s="28"/>
      <c r="AC12" s="40">
        <f t="shared" si="10"/>
        <v>0</v>
      </c>
      <c r="AD12" s="19"/>
      <c r="AE12" s="41">
        <f t="shared" si="11"/>
        <v>0</v>
      </c>
      <c r="AF12" s="25">
        <f>IF(W12&gt;0,IF(AE$5&gt;0,(Z12+AC12)*2,(Z12+AC12-8)),0)*IF(Z12&lt;9,IF(AE$5&gt;0,1,2),1)+IF(Z12&gt;8,AC12,0)</f>
        <v>0</v>
      </c>
      <c r="AG12" s="45"/>
      <c r="AH12" s="18"/>
      <c r="AI12" s="19"/>
      <c r="AJ12" s="46">
        <f>+AH12-AG12-AI12</f>
        <v>0</v>
      </c>
      <c r="AK12" s="18"/>
      <c r="AL12" s="18"/>
      <c r="AM12" s="40">
        <f t="shared" si="13"/>
        <v>0</v>
      </c>
      <c r="AN12" s="47"/>
      <c r="AO12" s="48">
        <f t="shared" si="14"/>
        <v>0</v>
      </c>
      <c r="AP12" s="821">
        <f t="shared" si="15"/>
        <v>1</v>
      </c>
      <c r="AQ12" s="822"/>
      <c r="AR12" s="823">
        <f t="shared" si="16"/>
        <v>5.0999999999999996</v>
      </c>
      <c r="AS12" s="824"/>
      <c r="AT12" s="49">
        <f t="shared" si="17"/>
        <v>12</v>
      </c>
      <c r="AV12" s="33">
        <f t="shared" si="18"/>
        <v>0</v>
      </c>
      <c r="AW12" s="33">
        <f t="shared" si="19"/>
        <v>0</v>
      </c>
      <c r="AX12" s="33">
        <f t="shared" si="20"/>
        <v>0</v>
      </c>
      <c r="AY12" s="34">
        <f t="shared" si="21"/>
        <v>0</v>
      </c>
      <c r="AZ12" s="33">
        <f t="shared" si="22"/>
        <v>0</v>
      </c>
      <c r="BA12" s="33">
        <f t="shared" si="23"/>
        <v>1</v>
      </c>
      <c r="BB12" s="33">
        <f t="shared" si="24"/>
        <v>0</v>
      </c>
      <c r="BC12" s="35"/>
      <c r="BD12" s="36">
        <f t="shared" si="25"/>
        <v>5.1339285714285712</v>
      </c>
      <c r="BE12" s="37">
        <f t="shared" si="26"/>
        <v>5.1339285714285712</v>
      </c>
      <c r="BF12" s="38">
        <f t="shared" si="27"/>
        <v>0</v>
      </c>
    </row>
    <row r="13" spans="1:58" ht="14.1" customHeight="1">
      <c r="A13" s="1">
        <v>3</v>
      </c>
      <c r="B13" s="39" t="str">
        <f t="shared" si="0"/>
        <v xml:space="preserve">  -  .  -  </v>
      </c>
      <c r="C13" s="50"/>
      <c r="D13" s="51"/>
      <c r="E13" s="52"/>
      <c r="F13" s="53">
        <f t="shared" si="1"/>
        <v>0</v>
      </c>
      <c r="G13" s="43"/>
      <c r="H13" s="43"/>
      <c r="I13" s="53">
        <f t="shared" si="2"/>
        <v>0</v>
      </c>
      <c r="J13" s="54"/>
      <c r="K13" s="55">
        <f t="shared" si="3"/>
        <v>0</v>
      </c>
      <c r="L13" s="25">
        <f t="shared" si="4"/>
        <v>0</v>
      </c>
      <c r="M13" s="56"/>
      <c r="N13" s="43"/>
      <c r="O13" s="54"/>
      <c r="P13" s="53">
        <f t="shared" si="5"/>
        <v>0</v>
      </c>
      <c r="Q13" s="43"/>
      <c r="R13" s="43"/>
      <c r="S13" s="53">
        <f t="shared" si="6"/>
        <v>0</v>
      </c>
      <c r="T13" s="54"/>
      <c r="U13" s="55">
        <f t="shared" si="7"/>
        <v>0</v>
      </c>
      <c r="V13" s="25">
        <f t="shared" si="8"/>
        <v>0</v>
      </c>
      <c r="W13" s="56"/>
      <c r="X13" s="43"/>
      <c r="Y13" s="54"/>
      <c r="Z13" s="53">
        <f t="shared" si="9"/>
        <v>0</v>
      </c>
      <c r="AA13" s="44"/>
      <c r="AB13" s="28"/>
      <c r="AC13" s="40">
        <f t="shared" si="10"/>
        <v>0</v>
      </c>
      <c r="AD13" s="54"/>
      <c r="AE13" s="55">
        <f t="shared" si="11"/>
        <v>0</v>
      </c>
      <c r="AF13" s="25">
        <f>IF(W13&gt;0,IF(AE$5&gt;0,(Z13+AC13)*2,(Z13+AC13-8)),0)*IF(Z13&lt;9,IF(AE$5&gt;0,1,2),1)+IF(Z13&gt;8,AC13,0)</f>
        <v>0</v>
      </c>
      <c r="AG13" s="45"/>
      <c r="AH13" s="18"/>
      <c r="AI13" s="19"/>
      <c r="AJ13" s="46">
        <f t="shared" si="12"/>
        <v>0</v>
      </c>
      <c r="AK13" s="18"/>
      <c r="AL13" s="18"/>
      <c r="AM13" s="40">
        <f t="shared" si="13"/>
        <v>0</v>
      </c>
      <c r="AN13" s="57"/>
      <c r="AO13" s="48">
        <f t="shared" si="14"/>
        <v>0</v>
      </c>
      <c r="AP13" s="821">
        <f t="shared" si="15"/>
        <v>0</v>
      </c>
      <c r="AQ13" s="822"/>
      <c r="AR13" s="823">
        <f t="shared" si="16"/>
        <v>0</v>
      </c>
      <c r="AS13" s="824"/>
      <c r="AT13" s="49">
        <f t="shared" si="17"/>
        <v>0</v>
      </c>
      <c r="AV13" s="33">
        <f t="shared" si="18"/>
        <v>0</v>
      </c>
      <c r="AW13" s="33">
        <f t="shared" si="19"/>
        <v>0</v>
      </c>
      <c r="AX13" s="33">
        <f t="shared" si="20"/>
        <v>0</v>
      </c>
      <c r="AY13" s="34">
        <f t="shared" si="21"/>
        <v>0</v>
      </c>
      <c r="AZ13" s="33">
        <f t="shared" si="22"/>
        <v>0</v>
      </c>
      <c r="BA13" s="33">
        <f t="shared" si="23"/>
        <v>0</v>
      </c>
      <c r="BB13" s="33">
        <f t="shared" si="24"/>
        <v>0</v>
      </c>
      <c r="BC13" s="35"/>
      <c r="BD13" s="36">
        <f t="shared" si="25"/>
        <v>4.1666785714285712</v>
      </c>
      <c r="BE13" s="37">
        <f t="shared" si="26"/>
        <v>0</v>
      </c>
      <c r="BF13" s="38">
        <f t="shared" si="27"/>
        <v>0</v>
      </c>
    </row>
    <row r="14" spans="1:58" ht="14.1" customHeight="1">
      <c r="A14" s="1">
        <v>4</v>
      </c>
      <c r="B14" s="559" t="str">
        <f t="shared" si="0"/>
        <v>Juan Manrique V.</v>
      </c>
      <c r="C14" s="17">
        <v>7</v>
      </c>
      <c r="D14" s="18">
        <v>16</v>
      </c>
      <c r="E14" s="19">
        <v>1</v>
      </c>
      <c r="F14" s="40">
        <f t="shared" si="1"/>
        <v>8</v>
      </c>
      <c r="G14" s="18"/>
      <c r="H14" s="43"/>
      <c r="I14" s="40">
        <f t="shared" si="2"/>
        <v>0</v>
      </c>
      <c r="J14" s="19"/>
      <c r="K14" s="41">
        <f t="shared" si="3"/>
        <v>8</v>
      </c>
      <c r="L14" s="25">
        <f t="shared" si="4"/>
        <v>0</v>
      </c>
      <c r="M14" s="550">
        <v>7</v>
      </c>
      <c r="N14" s="18">
        <v>16</v>
      </c>
      <c r="O14" s="19">
        <v>1</v>
      </c>
      <c r="P14" s="40">
        <f t="shared" si="5"/>
        <v>8</v>
      </c>
      <c r="Q14" s="43"/>
      <c r="R14" s="43"/>
      <c r="S14" s="40">
        <f t="shared" si="6"/>
        <v>0</v>
      </c>
      <c r="T14" s="19"/>
      <c r="U14" s="41">
        <f t="shared" si="7"/>
        <v>8</v>
      </c>
      <c r="V14" s="25">
        <f t="shared" si="8"/>
        <v>0</v>
      </c>
      <c r="W14" s="18">
        <v>8</v>
      </c>
      <c r="X14" s="18">
        <v>17</v>
      </c>
      <c r="Y14" s="19">
        <v>1</v>
      </c>
      <c r="Z14" s="40">
        <f t="shared" si="9"/>
        <v>8</v>
      </c>
      <c r="AA14" s="43"/>
      <c r="AB14" s="28"/>
      <c r="AC14" s="40">
        <f t="shared" si="10"/>
        <v>0</v>
      </c>
      <c r="AD14" s="19"/>
      <c r="AE14" s="41">
        <f t="shared" si="11"/>
        <v>8</v>
      </c>
      <c r="AF14" s="25">
        <f>IF(W14&gt;0,IF(AE$5&gt;0,(Z14+AC14)*2,(Z14+AC14-8)),0)*IF(Z14&lt;9,IF(AE$5&gt;0,1,2),1)+IF(Z14&gt;8,AC14,0)</f>
        <v>0</v>
      </c>
      <c r="AG14" s="45">
        <v>8</v>
      </c>
      <c r="AH14" s="18">
        <v>16</v>
      </c>
      <c r="AI14" s="19">
        <v>1</v>
      </c>
      <c r="AJ14" s="46">
        <f t="shared" si="12"/>
        <v>7</v>
      </c>
      <c r="AK14" s="18"/>
      <c r="AL14" s="18"/>
      <c r="AM14" s="40">
        <f t="shared" si="13"/>
        <v>0</v>
      </c>
      <c r="AN14" s="47"/>
      <c r="AO14" s="48">
        <f t="shared" si="14"/>
        <v>14</v>
      </c>
      <c r="AP14" s="845">
        <f t="shared" si="15"/>
        <v>15</v>
      </c>
      <c r="AQ14" s="846"/>
      <c r="AR14" s="823">
        <f t="shared" si="16"/>
        <v>77</v>
      </c>
      <c r="AS14" s="824"/>
      <c r="AT14" s="49">
        <f t="shared" si="17"/>
        <v>28</v>
      </c>
      <c r="AV14" s="33">
        <f t="shared" si="18"/>
        <v>0</v>
      </c>
      <c r="AW14" s="33">
        <f t="shared" si="19"/>
        <v>0</v>
      </c>
      <c r="AX14" s="33">
        <f t="shared" si="20"/>
        <v>0</v>
      </c>
      <c r="AY14" s="34">
        <f t="shared" si="21"/>
        <v>14</v>
      </c>
      <c r="AZ14" s="33">
        <f t="shared" si="22"/>
        <v>0</v>
      </c>
      <c r="BA14" s="33">
        <f t="shared" si="23"/>
        <v>2</v>
      </c>
      <c r="BB14" s="33">
        <f t="shared" si="24"/>
        <v>-1</v>
      </c>
      <c r="BC14" s="35"/>
      <c r="BD14" s="36">
        <f t="shared" si="25"/>
        <v>5.1339285714285712</v>
      </c>
      <c r="BE14" s="60">
        <f t="shared" si="26"/>
        <v>77.008928571428569</v>
      </c>
      <c r="BF14" s="61">
        <f t="shared" si="27"/>
        <v>71.875</v>
      </c>
    </row>
    <row r="15" spans="1:58" s="69" customFormat="1" ht="14.1" customHeight="1">
      <c r="A15" s="62">
        <v>5</v>
      </c>
      <c r="B15" s="63" t="str">
        <f t="shared" si="0"/>
        <v xml:space="preserve"> Irving Huaringa B.</v>
      </c>
      <c r="C15" s="17">
        <v>8</v>
      </c>
      <c r="D15" s="18">
        <v>16</v>
      </c>
      <c r="E15" s="19">
        <v>1</v>
      </c>
      <c r="F15" s="40">
        <f t="shared" si="1"/>
        <v>7</v>
      </c>
      <c r="G15" s="18"/>
      <c r="H15" s="43"/>
      <c r="I15" s="40">
        <f t="shared" si="2"/>
        <v>0</v>
      </c>
      <c r="J15" s="19"/>
      <c r="K15" s="41">
        <f t="shared" si="3"/>
        <v>8</v>
      </c>
      <c r="L15" s="25">
        <f t="shared" si="4"/>
        <v>-1</v>
      </c>
      <c r="M15" s="18">
        <v>7</v>
      </c>
      <c r="N15" s="18">
        <v>16</v>
      </c>
      <c r="O15" s="19">
        <v>1</v>
      </c>
      <c r="P15" s="40">
        <f t="shared" si="5"/>
        <v>8</v>
      </c>
      <c r="Q15" s="43"/>
      <c r="R15" s="43"/>
      <c r="S15" s="40">
        <f t="shared" si="6"/>
        <v>0</v>
      </c>
      <c r="T15" s="19"/>
      <c r="U15" s="41">
        <f t="shared" si="7"/>
        <v>8</v>
      </c>
      <c r="V15" s="25">
        <f t="shared" si="8"/>
        <v>0</v>
      </c>
      <c r="W15" s="18">
        <v>7</v>
      </c>
      <c r="X15" s="43">
        <v>16</v>
      </c>
      <c r="Y15" s="54">
        <v>1</v>
      </c>
      <c r="Z15" s="53">
        <f t="shared" si="9"/>
        <v>8</v>
      </c>
      <c r="AA15" s="64"/>
      <c r="AB15" s="28"/>
      <c r="AC15" s="40">
        <f t="shared" si="10"/>
        <v>0</v>
      </c>
      <c r="AD15" s="19"/>
      <c r="AE15" s="41">
        <f t="shared" si="11"/>
        <v>5</v>
      </c>
      <c r="AF15" s="25">
        <f>IF(W15&gt;0,IF(AE$5&gt;0,(Z15+AC15)*2,(Z15+AC15-5)),0)*IF(Z15&lt;6,IF(AE$5&gt;0,1,2),1)+IF(Z15&gt;5,AC15,0)</f>
        <v>3</v>
      </c>
      <c r="AG15" s="45"/>
      <c r="AH15" s="18"/>
      <c r="AI15" s="19"/>
      <c r="AJ15" s="46">
        <f>+AH15-AG15-AI15</f>
        <v>0</v>
      </c>
      <c r="AK15" s="18"/>
      <c r="AL15" s="18"/>
      <c r="AM15" s="40">
        <f>+AL15-AK15</f>
        <v>0</v>
      </c>
      <c r="AN15" s="65"/>
      <c r="AO15" s="48">
        <f>(AJ15*2+AM15)</f>
        <v>0</v>
      </c>
      <c r="AP15" s="821">
        <f t="shared" si="15"/>
        <v>2</v>
      </c>
      <c r="AQ15" s="822"/>
      <c r="AR15" s="823">
        <f>ROUND(BD15*AP15,1)</f>
        <v>10.3</v>
      </c>
      <c r="AS15" s="824"/>
      <c r="AT15" s="49">
        <f t="shared" si="17"/>
        <v>20</v>
      </c>
      <c r="AU15" s="7"/>
      <c r="AV15" s="33">
        <f>+L15</f>
        <v>-1</v>
      </c>
      <c r="AW15" s="33">
        <f>+V15</f>
        <v>0</v>
      </c>
      <c r="AX15" s="33">
        <f>+AF15</f>
        <v>3</v>
      </c>
      <c r="AY15" s="34">
        <f>+AO15</f>
        <v>0</v>
      </c>
      <c r="AZ15" s="33">
        <f t="shared" si="22"/>
        <v>0</v>
      </c>
      <c r="BA15" s="33">
        <f t="shared" si="23"/>
        <v>0</v>
      </c>
      <c r="BB15" s="33">
        <f t="shared" si="24"/>
        <v>0</v>
      </c>
      <c r="BC15" s="66"/>
      <c r="BD15" s="36">
        <f t="shared" si="25"/>
        <v>5.1339285714285712</v>
      </c>
      <c r="BE15" s="67">
        <f>+BD15*AP15</f>
        <v>10.267857142857142</v>
      </c>
      <c r="BF15" s="68">
        <f>+BD15*AY15</f>
        <v>0</v>
      </c>
    </row>
    <row r="16" spans="1:58" s="84" customFormat="1" ht="6.75" customHeight="1">
      <c r="A16" s="70"/>
      <c r="B16" s="71" t="str">
        <f t="shared" si="0"/>
        <v xml:space="preserve">  -  .  -  </v>
      </c>
      <c r="C16" s="72"/>
      <c r="D16" s="73"/>
      <c r="E16" s="74"/>
      <c r="F16" s="75">
        <f t="shared" si="1"/>
        <v>0</v>
      </c>
      <c r="G16" s="73"/>
      <c r="H16" s="43"/>
      <c r="I16" s="75">
        <f t="shared" si="2"/>
        <v>0</v>
      </c>
      <c r="J16" s="74"/>
      <c r="K16" s="76">
        <f t="shared" si="3"/>
        <v>0</v>
      </c>
      <c r="L16" s="77">
        <f t="shared" si="4"/>
        <v>0</v>
      </c>
      <c r="M16" s="72"/>
      <c r="N16" s="73"/>
      <c r="O16" s="74"/>
      <c r="P16" s="75">
        <f t="shared" si="5"/>
        <v>0</v>
      </c>
      <c r="Q16" s="78"/>
      <c r="R16" s="78"/>
      <c r="S16" s="75">
        <f t="shared" si="6"/>
        <v>0</v>
      </c>
      <c r="T16" s="74"/>
      <c r="U16" s="76">
        <f t="shared" si="7"/>
        <v>0</v>
      </c>
      <c r="V16" s="77">
        <f t="shared" si="8"/>
        <v>0</v>
      </c>
      <c r="W16" s="73"/>
      <c r="X16" s="73"/>
      <c r="Y16" s="74"/>
      <c r="Z16" s="79">
        <f t="shared" si="9"/>
        <v>0</v>
      </c>
      <c r="AA16" s="78"/>
      <c r="AB16" s="80"/>
      <c r="AC16" s="75">
        <f t="shared" si="10"/>
        <v>0</v>
      </c>
      <c r="AD16" s="74"/>
      <c r="AE16" s="76">
        <f t="shared" si="11"/>
        <v>0</v>
      </c>
      <c r="AF16" s="77">
        <f t="shared" ref="AF16:AF21" si="28">IF(W16&gt;0,IF(AE$5&gt;0,(Z16+AC16)*2,(Z16+AC16-8)),0)*IF(Z16&lt;9,IF(AE$5&gt;0,1,2),1)+IF(Z16&gt;8,AC16,0)</f>
        <v>0</v>
      </c>
      <c r="AG16" s="73"/>
      <c r="AH16" s="73"/>
      <c r="AI16" s="74"/>
      <c r="AJ16" s="46">
        <f t="shared" si="12"/>
        <v>0</v>
      </c>
      <c r="AK16" s="73"/>
      <c r="AL16" s="73"/>
      <c r="AM16" s="75">
        <f t="shared" si="13"/>
        <v>0</v>
      </c>
      <c r="AN16" s="81"/>
      <c r="AO16" s="82">
        <f t="shared" si="14"/>
        <v>0</v>
      </c>
      <c r="AP16" s="1186">
        <f t="shared" si="15"/>
        <v>0</v>
      </c>
      <c r="AQ16" s="1187"/>
      <c r="AR16" s="1188">
        <f t="shared" si="16"/>
        <v>0</v>
      </c>
      <c r="AS16" s="1189"/>
      <c r="AT16" s="83">
        <f t="shared" si="17"/>
        <v>0</v>
      </c>
      <c r="AV16" s="85">
        <f t="shared" si="18"/>
        <v>0</v>
      </c>
      <c r="AW16" s="85">
        <f t="shared" si="19"/>
        <v>0</v>
      </c>
      <c r="AX16" s="85">
        <f t="shared" si="20"/>
        <v>0</v>
      </c>
      <c r="AY16" s="86">
        <f t="shared" si="21"/>
        <v>0</v>
      </c>
      <c r="AZ16" s="85">
        <f t="shared" si="22"/>
        <v>0</v>
      </c>
      <c r="BA16" s="85">
        <f t="shared" si="23"/>
        <v>0</v>
      </c>
      <c r="BB16" s="85">
        <f t="shared" si="24"/>
        <v>0</v>
      </c>
      <c r="BC16" s="87"/>
      <c r="BD16" s="88">
        <f t="shared" si="25"/>
        <v>3.6964285714285716</v>
      </c>
      <c r="BE16" s="89">
        <f t="shared" si="26"/>
        <v>0</v>
      </c>
      <c r="BF16" s="90">
        <f t="shared" si="27"/>
        <v>0</v>
      </c>
    </row>
    <row r="17" spans="1:60" s="69" customFormat="1" ht="14.1" customHeight="1">
      <c r="A17" s="62">
        <v>6</v>
      </c>
      <c r="B17" s="91" t="str">
        <f>+B80</f>
        <v>Jose Cortez P.</v>
      </c>
      <c r="C17" s="92">
        <v>7</v>
      </c>
      <c r="D17" s="92">
        <v>17</v>
      </c>
      <c r="E17" s="92">
        <v>1</v>
      </c>
      <c r="F17" s="93">
        <f>+D17-C17-E17</f>
        <v>9</v>
      </c>
      <c r="G17" s="43"/>
      <c r="H17" s="43"/>
      <c r="I17" s="93">
        <f>+H17-G17</f>
        <v>0</v>
      </c>
      <c r="J17" s="92"/>
      <c r="K17" s="41">
        <f>+I17+F17-L17</f>
        <v>8</v>
      </c>
      <c r="L17" s="94">
        <f>IF(C17&gt;0,(F17+I17)+IF(K$5&gt;0,F17,-8),0)+IF(U$5&gt;0,I17,0)</f>
        <v>1</v>
      </c>
      <c r="M17" s="549">
        <v>7</v>
      </c>
      <c r="N17" s="92">
        <v>16</v>
      </c>
      <c r="O17" s="92">
        <v>1</v>
      </c>
      <c r="P17" s="93">
        <f>+N17-M17-O17</f>
        <v>8</v>
      </c>
      <c r="Q17" s="43"/>
      <c r="R17" s="43"/>
      <c r="S17" s="93">
        <f>+R17-Q17</f>
        <v>0</v>
      </c>
      <c r="T17" s="19"/>
      <c r="U17" s="41">
        <f>+S17+P17-V17</f>
        <v>8</v>
      </c>
      <c r="V17" s="94">
        <f>IF(M17&gt;0,(P17+S17)+IF(U$5&gt;0,P17,-8),0)+IF(AE$5&gt;0,S17,0)</f>
        <v>0</v>
      </c>
      <c r="W17" s="92">
        <v>7</v>
      </c>
      <c r="X17" s="92">
        <v>17</v>
      </c>
      <c r="Y17" s="92">
        <v>1</v>
      </c>
      <c r="Z17" s="93">
        <f>+X17-W17-Y17</f>
        <v>9</v>
      </c>
      <c r="AA17" s="92"/>
      <c r="AB17" s="28"/>
      <c r="AC17" s="93">
        <f>+AB17-AA17</f>
        <v>0</v>
      </c>
      <c r="AD17" s="92"/>
      <c r="AE17" s="41">
        <f t="shared" si="11"/>
        <v>8</v>
      </c>
      <c r="AF17" s="94">
        <f t="shared" si="28"/>
        <v>1</v>
      </c>
      <c r="AG17" s="92">
        <v>8</v>
      </c>
      <c r="AH17" s="92">
        <v>16</v>
      </c>
      <c r="AI17" s="92">
        <v>1</v>
      </c>
      <c r="AJ17" s="46">
        <f>+AH17-AG17-AI17</f>
        <v>7</v>
      </c>
      <c r="AK17" s="92"/>
      <c r="AL17" s="92"/>
      <c r="AM17" s="93">
        <f>+AL17-AK17</f>
        <v>0</v>
      </c>
      <c r="AN17" s="96"/>
      <c r="AO17" s="97">
        <f>(AJ17*2+AM17)</f>
        <v>14</v>
      </c>
      <c r="AP17" s="833">
        <f t="shared" si="15"/>
        <v>19</v>
      </c>
      <c r="AQ17" s="834"/>
      <c r="AR17" s="835">
        <f>ROUND(BD17*AP17,1)</f>
        <v>73.599999999999994</v>
      </c>
      <c r="AS17" s="836"/>
      <c r="AT17" s="99">
        <f t="shared" si="17"/>
        <v>28</v>
      </c>
      <c r="AV17" s="100">
        <f>+L17</f>
        <v>1</v>
      </c>
      <c r="AW17" s="100">
        <f>+V17</f>
        <v>0</v>
      </c>
      <c r="AX17" s="100">
        <f>+AF17</f>
        <v>1</v>
      </c>
      <c r="AY17" s="101">
        <f>+AO17</f>
        <v>14</v>
      </c>
      <c r="AZ17" s="100">
        <f t="shared" si="22"/>
        <v>2</v>
      </c>
      <c r="BA17" s="100">
        <f t="shared" si="23"/>
        <v>0</v>
      </c>
      <c r="BB17" s="100">
        <f t="shared" si="24"/>
        <v>1</v>
      </c>
      <c r="BC17" s="35"/>
      <c r="BD17" s="36">
        <f>+I80</f>
        <v>3.8750035714285715</v>
      </c>
      <c r="BE17" s="67">
        <f>+BD17*AP17</f>
        <v>73.625067857142852</v>
      </c>
      <c r="BF17" s="68">
        <f>+BD17*AY17</f>
        <v>54.250050000000002</v>
      </c>
    </row>
    <row r="18" spans="1:60" s="69" customFormat="1" ht="14.1" customHeight="1">
      <c r="A18" s="62">
        <v>7</v>
      </c>
      <c r="B18" s="91" t="str">
        <f>+B81</f>
        <v>Rafael Armas R.</v>
      </c>
      <c r="C18" s="102">
        <v>7</v>
      </c>
      <c r="D18" s="102">
        <v>16</v>
      </c>
      <c r="E18" s="102">
        <v>1</v>
      </c>
      <c r="F18" s="93">
        <f>+D18-C18-E18</f>
        <v>8</v>
      </c>
      <c r="G18" s="43"/>
      <c r="H18" s="43"/>
      <c r="I18" s="93">
        <f>+H18-G18</f>
        <v>0</v>
      </c>
      <c r="J18" s="92"/>
      <c r="K18" s="41">
        <f>+I18+F18-L18</f>
        <v>8</v>
      </c>
      <c r="L18" s="94">
        <f>IF(C18&gt;0,(F18+I18)+IF(K$5&gt;0,F18,-8),0)+IF(U$5&gt;0,I18,0)</f>
        <v>0</v>
      </c>
      <c r="M18" s="549">
        <v>7</v>
      </c>
      <c r="N18" s="92">
        <v>16</v>
      </c>
      <c r="O18" s="92">
        <v>1</v>
      </c>
      <c r="P18" s="93">
        <f>+N18-M18-O18</f>
        <v>8</v>
      </c>
      <c r="Q18" s="43"/>
      <c r="R18" s="43"/>
      <c r="S18" s="93">
        <f>+R18-Q18</f>
        <v>0</v>
      </c>
      <c r="T18" s="92"/>
      <c r="U18" s="41">
        <f>+S18+P18-V18</f>
        <v>8</v>
      </c>
      <c r="V18" s="94">
        <f>IF(M18&gt;0,(P18+S18)+IF(U$5&gt;0,P18,-8),0)+IF(AE$5&gt;0,S18,0)</f>
        <v>0</v>
      </c>
      <c r="W18" s="92">
        <v>7</v>
      </c>
      <c r="X18" s="92">
        <v>17</v>
      </c>
      <c r="Y18" s="92">
        <v>1</v>
      </c>
      <c r="Z18" s="93">
        <f>+X18-W18-Y18</f>
        <v>9</v>
      </c>
      <c r="AA18" s="92"/>
      <c r="AB18" s="28"/>
      <c r="AC18" s="93">
        <f>+AB18-AA18</f>
        <v>0</v>
      </c>
      <c r="AD18" s="92"/>
      <c r="AE18" s="41">
        <f t="shared" si="11"/>
        <v>8</v>
      </c>
      <c r="AF18" s="94">
        <f t="shared" si="28"/>
        <v>1</v>
      </c>
      <c r="AG18" s="92"/>
      <c r="AH18" s="92"/>
      <c r="AI18" s="92"/>
      <c r="AJ18" s="46">
        <f>+AH18-AG18-AI18</f>
        <v>0</v>
      </c>
      <c r="AK18" s="92"/>
      <c r="AL18" s="92"/>
      <c r="AM18" s="93">
        <f>+AL18-AK18</f>
        <v>0</v>
      </c>
      <c r="AN18" s="96"/>
      <c r="AO18" s="97">
        <f>(AJ18*2+AM18)</f>
        <v>0</v>
      </c>
      <c r="AP18" s="837">
        <f t="shared" si="15"/>
        <v>10</v>
      </c>
      <c r="AQ18" s="838"/>
      <c r="AR18" s="839">
        <f>ROUND(BD18*AP18,1)</f>
        <v>38.799999999999997</v>
      </c>
      <c r="AS18" s="840"/>
      <c r="AT18" s="103">
        <f t="shared" si="17"/>
        <v>24</v>
      </c>
      <c r="AV18" s="100">
        <f>+L18</f>
        <v>0</v>
      </c>
      <c r="AW18" s="100">
        <f>+V18</f>
        <v>0</v>
      </c>
      <c r="AX18" s="100">
        <f>+AF18</f>
        <v>1</v>
      </c>
      <c r="AY18" s="101">
        <f>+AO18</f>
        <v>0</v>
      </c>
      <c r="AZ18" s="100">
        <f t="shared" si="22"/>
        <v>1</v>
      </c>
      <c r="BA18" s="100">
        <f t="shared" si="23"/>
        <v>1</v>
      </c>
      <c r="BB18" s="100">
        <f t="shared" si="24"/>
        <v>7</v>
      </c>
      <c r="BC18" s="66"/>
      <c r="BD18" s="36">
        <f>+I81</f>
        <v>3.8750035714285715</v>
      </c>
      <c r="BE18" s="67">
        <f>+BD18*AP18</f>
        <v>38.750035714285715</v>
      </c>
      <c r="BF18" s="68">
        <f>+BD18*AY18</f>
        <v>0</v>
      </c>
    </row>
    <row r="19" spans="1:60" s="116" customFormat="1" ht="14.1" customHeight="1">
      <c r="A19" s="62">
        <v>8</v>
      </c>
      <c r="B19" s="91" t="str">
        <f>+B82</f>
        <v>Jose Ochoa I.</v>
      </c>
      <c r="C19" s="102">
        <v>7</v>
      </c>
      <c r="D19" s="102">
        <v>17</v>
      </c>
      <c r="E19" s="102">
        <v>1</v>
      </c>
      <c r="F19" s="104">
        <f>+D19-C19-E19</f>
        <v>9</v>
      </c>
      <c r="G19" s="51"/>
      <c r="H19" s="43"/>
      <c r="I19" s="104">
        <f>+H19-G19</f>
        <v>0</v>
      </c>
      <c r="J19" s="105"/>
      <c r="K19" s="106">
        <f>+I19+F19-L19</f>
        <v>8</v>
      </c>
      <c r="L19" s="107">
        <f>IF(C19&gt;0,(F19+I19)+IF(K$5&gt;0,F19,-8),0)+IF(U$5&gt;0,I19,0)</f>
        <v>1</v>
      </c>
      <c r="M19" s="108">
        <v>7</v>
      </c>
      <c r="N19" s="105">
        <v>16</v>
      </c>
      <c r="O19" s="105">
        <v>1</v>
      </c>
      <c r="P19" s="104">
        <f>+N19-M19-O19</f>
        <v>8</v>
      </c>
      <c r="Q19" s="43"/>
      <c r="R19" s="43"/>
      <c r="S19" s="104">
        <f>+R19-Q19</f>
        <v>0</v>
      </c>
      <c r="T19" s="105"/>
      <c r="U19" s="106">
        <f>+S19+P19-V19</f>
        <v>8</v>
      </c>
      <c r="V19" s="107">
        <f>IF(M19&gt;0,(P19+S19)+IF(U$5&gt;0,P19,-8),0)+IF(AE$5&gt;0,S19,0)</f>
        <v>0</v>
      </c>
      <c r="W19" s="105">
        <v>7</v>
      </c>
      <c r="X19" s="105">
        <v>12</v>
      </c>
      <c r="Y19" s="105">
        <v>1</v>
      </c>
      <c r="Z19" s="104">
        <f>+X19-W19-Y19</f>
        <v>4</v>
      </c>
      <c r="AA19" s="105"/>
      <c r="AB19" s="109">
        <v>4</v>
      </c>
      <c r="AC19" s="104">
        <f>+AB19-AA19</f>
        <v>4</v>
      </c>
      <c r="AD19" s="105"/>
      <c r="AE19" s="106">
        <f t="shared" si="11"/>
        <v>8</v>
      </c>
      <c r="AF19" s="107">
        <f t="shared" si="28"/>
        <v>0</v>
      </c>
      <c r="AG19" s="105">
        <v>7</v>
      </c>
      <c r="AH19" s="105">
        <v>16</v>
      </c>
      <c r="AI19" s="105">
        <v>1</v>
      </c>
      <c r="AJ19" s="110">
        <f>+AH19-AG19-AI19</f>
        <v>8</v>
      </c>
      <c r="AK19" s="105"/>
      <c r="AL19" s="105"/>
      <c r="AM19" s="104">
        <f>+AL19-AK19</f>
        <v>0</v>
      </c>
      <c r="AN19" s="111"/>
      <c r="AO19" s="112">
        <f>(AJ19*2+AM19)</f>
        <v>16</v>
      </c>
      <c r="AP19" s="841">
        <f>+L19+V19+AF19+AO19+L42+V42+AF41-AN19</f>
        <v>18</v>
      </c>
      <c r="AQ19" s="842"/>
      <c r="AR19" s="843">
        <f>ROUND(BD19*AP19,1)</f>
        <v>69.8</v>
      </c>
      <c r="AS19" s="844"/>
      <c r="AT19" s="113">
        <f>IF(AT42&gt;0,AT42*$AT$10,0)</f>
        <v>28</v>
      </c>
      <c r="AU19" s="69"/>
      <c r="AV19" s="114">
        <f>+L19</f>
        <v>1</v>
      </c>
      <c r="AW19" s="114">
        <f>+V19</f>
        <v>0</v>
      </c>
      <c r="AX19" s="114">
        <f>+AF19</f>
        <v>0</v>
      </c>
      <c r="AY19" s="114">
        <f>+AO19</f>
        <v>16</v>
      </c>
      <c r="AZ19" s="114">
        <f>+L42</f>
        <v>0</v>
      </c>
      <c r="BA19" s="114">
        <f>+V42</f>
        <v>0</v>
      </c>
      <c r="BB19" s="114">
        <f>+AF42</f>
        <v>0</v>
      </c>
      <c r="BC19" s="35"/>
      <c r="BD19" s="115">
        <f>+I82</f>
        <v>3.8750035714285715</v>
      </c>
      <c r="BE19" s="115">
        <f>+BD19*AP19</f>
        <v>69.750064285714288</v>
      </c>
      <c r="BF19" s="115">
        <f>+BD19*AY19</f>
        <v>62.000057142857145</v>
      </c>
    </row>
    <row r="20" spans="1:60" s="116" customFormat="1" ht="14.1" customHeight="1">
      <c r="A20" s="62">
        <v>9</v>
      </c>
      <c r="B20" s="91" t="str">
        <f>+B83</f>
        <v>Jairo Mirabal</v>
      </c>
      <c r="C20" s="102">
        <v>7</v>
      </c>
      <c r="D20" s="102">
        <v>16</v>
      </c>
      <c r="E20" s="102">
        <v>1</v>
      </c>
      <c r="F20" s="104">
        <f>+D20-C20-E20</f>
        <v>8</v>
      </c>
      <c r="G20" s="51"/>
      <c r="H20" s="43"/>
      <c r="I20" s="104">
        <f>+H20-G20</f>
        <v>0</v>
      </c>
      <c r="J20" s="105"/>
      <c r="K20" s="106">
        <f>+I20+F20-L20</f>
        <v>8</v>
      </c>
      <c r="L20" s="107">
        <f>IF(C20&gt;0,(F20+I20)+IF(K$5&gt;0,F20,-8),0)+IF(U$5&gt;0,I20,0)</f>
        <v>0</v>
      </c>
      <c r="M20" s="108">
        <v>7</v>
      </c>
      <c r="N20" s="105">
        <v>16</v>
      </c>
      <c r="O20" s="105">
        <v>1</v>
      </c>
      <c r="P20" s="104">
        <f>+N20-M20-O20</f>
        <v>8</v>
      </c>
      <c r="Q20" s="43"/>
      <c r="R20" s="117"/>
      <c r="S20" s="104">
        <f>+R20-Q20</f>
        <v>0</v>
      </c>
      <c r="T20" s="105"/>
      <c r="U20" s="106">
        <f>+S20+P20-V20</f>
        <v>8</v>
      </c>
      <c r="V20" s="107">
        <f>IF(M20&gt;0,(P20+S20)+IF(U$5&gt;0,P20,-8),0)+IF(AE$5&gt;0,S20,0)</f>
        <v>0</v>
      </c>
      <c r="W20" s="105">
        <v>7</v>
      </c>
      <c r="X20" s="105">
        <v>16</v>
      </c>
      <c r="Y20" s="105">
        <v>1</v>
      </c>
      <c r="Z20" s="104">
        <f>+X20-W20-Y20</f>
        <v>8</v>
      </c>
      <c r="AA20" s="105"/>
      <c r="AB20" s="28"/>
      <c r="AC20" s="104">
        <f>+AB20-AA20</f>
        <v>0</v>
      </c>
      <c r="AD20" s="105"/>
      <c r="AE20" s="106">
        <f t="shared" si="11"/>
        <v>8</v>
      </c>
      <c r="AF20" s="107">
        <f t="shared" si="28"/>
        <v>0</v>
      </c>
      <c r="AG20" s="105">
        <v>7</v>
      </c>
      <c r="AH20" s="105">
        <v>16</v>
      </c>
      <c r="AI20" s="105">
        <v>1</v>
      </c>
      <c r="AJ20" s="110">
        <f>+AH20-AG20-AI20</f>
        <v>8</v>
      </c>
      <c r="AK20" s="105"/>
      <c r="AL20" s="105"/>
      <c r="AM20" s="104">
        <f>+AL20-AK20</f>
        <v>0</v>
      </c>
      <c r="AN20" s="111"/>
      <c r="AO20" s="112">
        <f>(AJ20*2+AM20)</f>
        <v>16</v>
      </c>
      <c r="AP20" s="841">
        <f t="shared" ref="AP20:AP25" si="29">+L20+V20+AF20+AO20+L42+V42+AF42-AN20</f>
        <v>16</v>
      </c>
      <c r="AQ20" s="842"/>
      <c r="AR20" s="843">
        <f>ROUND(BD20*AP20,1)</f>
        <v>62</v>
      </c>
      <c r="AS20" s="844"/>
      <c r="AT20" s="113">
        <f>IF(AT42&gt;0,AT42*$AT$10,0)</f>
        <v>28</v>
      </c>
      <c r="AU20" s="69"/>
      <c r="AV20" s="114">
        <f>+L20</f>
        <v>0</v>
      </c>
      <c r="AW20" s="114">
        <f>+V20</f>
        <v>0</v>
      </c>
      <c r="AX20" s="114">
        <f>+AF20</f>
        <v>0</v>
      </c>
      <c r="AY20" s="114">
        <f>+AO20</f>
        <v>16</v>
      </c>
      <c r="AZ20" s="114">
        <f>+L42</f>
        <v>0</v>
      </c>
      <c r="BA20" s="114">
        <f>+V42</f>
        <v>0</v>
      </c>
      <c r="BB20" s="114">
        <f>+AF42</f>
        <v>0</v>
      </c>
      <c r="BC20" s="35"/>
      <c r="BD20" s="115">
        <f>+I83</f>
        <v>3.8750035714285715</v>
      </c>
      <c r="BE20" s="115">
        <f>+BD20*AP20</f>
        <v>62.000057142857145</v>
      </c>
      <c r="BF20" s="115">
        <f>+BD20*AY20</f>
        <v>62.000057142857145</v>
      </c>
    </row>
    <row r="21" spans="1:60" s="69" customFormat="1" ht="14.1" customHeight="1" thickBot="1">
      <c r="A21" s="62">
        <v>10</v>
      </c>
      <c r="B21" s="118" t="str">
        <f>+B84</f>
        <v>Pedro Hostos S.</v>
      </c>
      <c r="C21" s="119">
        <v>7</v>
      </c>
      <c r="D21" s="119">
        <v>16</v>
      </c>
      <c r="E21" s="119">
        <v>1</v>
      </c>
      <c r="F21" s="120">
        <f t="shared" si="1"/>
        <v>8</v>
      </c>
      <c r="G21" s="121"/>
      <c r="H21" s="121"/>
      <c r="I21" s="120">
        <f t="shared" si="2"/>
        <v>0</v>
      </c>
      <c r="J21" s="119"/>
      <c r="K21" s="120">
        <f t="shared" si="3"/>
        <v>8</v>
      </c>
      <c r="L21" s="122">
        <f t="shared" si="4"/>
        <v>0</v>
      </c>
      <c r="M21" s="548">
        <v>7</v>
      </c>
      <c r="N21" s="119">
        <v>16</v>
      </c>
      <c r="O21" s="119">
        <v>1</v>
      </c>
      <c r="P21" s="120">
        <f t="shared" si="5"/>
        <v>8</v>
      </c>
      <c r="Q21" s="121"/>
      <c r="R21" s="121"/>
      <c r="S21" s="120">
        <f t="shared" si="6"/>
        <v>0</v>
      </c>
      <c r="T21" s="119"/>
      <c r="U21" s="120">
        <f t="shared" si="7"/>
        <v>8</v>
      </c>
      <c r="V21" s="122">
        <f t="shared" si="8"/>
        <v>0</v>
      </c>
      <c r="W21" s="119">
        <v>7</v>
      </c>
      <c r="X21" s="119">
        <v>17</v>
      </c>
      <c r="Y21" s="119">
        <v>1</v>
      </c>
      <c r="Z21" s="120">
        <f t="shared" si="9"/>
        <v>9</v>
      </c>
      <c r="AA21" s="119"/>
      <c r="AB21" s="121"/>
      <c r="AC21" s="120">
        <f t="shared" si="10"/>
        <v>0</v>
      </c>
      <c r="AD21" s="119"/>
      <c r="AE21" s="125">
        <f t="shared" si="11"/>
        <v>8</v>
      </c>
      <c r="AF21" s="122">
        <f t="shared" si="28"/>
        <v>1</v>
      </c>
      <c r="AG21" s="119"/>
      <c r="AH21" s="119"/>
      <c r="AI21" s="119"/>
      <c r="AJ21" s="126">
        <f t="shared" si="12"/>
        <v>0</v>
      </c>
      <c r="AK21" s="119"/>
      <c r="AL21" s="119"/>
      <c r="AM21" s="120">
        <f t="shared" si="13"/>
        <v>0</v>
      </c>
      <c r="AN21" s="127"/>
      <c r="AO21" s="128">
        <f t="shared" si="14"/>
        <v>0</v>
      </c>
      <c r="AP21" s="847">
        <f t="shared" si="29"/>
        <v>1</v>
      </c>
      <c r="AQ21" s="848"/>
      <c r="AR21" s="849">
        <f t="shared" si="16"/>
        <v>3.9</v>
      </c>
      <c r="AS21" s="850"/>
      <c r="AT21" s="130">
        <f>IF(AT43&gt;0,AT43*$AT$10,0)</f>
        <v>16</v>
      </c>
      <c r="AV21" s="131">
        <f t="shared" si="18"/>
        <v>0</v>
      </c>
      <c r="AW21" s="131">
        <f t="shared" si="19"/>
        <v>0</v>
      </c>
      <c r="AX21" s="131">
        <f t="shared" si="20"/>
        <v>1</v>
      </c>
      <c r="AY21" s="132">
        <f t="shared" si="21"/>
        <v>0</v>
      </c>
      <c r="AZ21" s="131">
        <f>+L43</f>
        <v>0</v>
      </c>
      <c r="BA21" s="131">
        <f>+V43</f>
        <v>0</v>
      </c>
      <c r="BB21" s="131">
        <f>+AF43</f>
        <v>0</v>
      </c>
      <c r="BC21" s="35"/>
      <c r="BD21" s="115">
        <f>+I84</f>
        <v>3.8750035714285715</v>
      </c>
      <c r="BE21" s="133">
        <f t="shared" si="26"/>
        <v>3.8750035714285715</v>
      </c>
      <c r="BF21" s="134">
        <f t="shared" si="27"/>
        <v>0</v>
      </c>
    </row>
    <row r="22" spans="1:60" ht="14.1" customHeight="1" thickTop="1">
      <c r="A22" s="1">
        <v>11</v>
      </c>
      <c r="B22" s="39" t="str">
        <f>+B86</f>
        <v>Miguel Tejada Ll.</v>
      </c>
      <c r="C22" s="56">
        <v>7</v>
      </c>
      <c r="D22" s="43">
        <v>16</v>
      </c>
      <c r="E22" s="54">
        <v>1</v>
      </c>
      <c r="F22" s="53">
        <f>+D22-C22-E22</f>
        <v>8</v>
      </c>
      <c r="G22" s="43"/>
      <c r="H22" s="117"/>
      <c r="I22" s="53">
        <f>+H22-G22</f>
        <v>0</v>
      </c>
      <c r="J22" s="54"/>
      <c r="K22" s="55">
        <f>+I22+F22-L22</f>
        <v>8</v>
      </c>
      <c r="L22" s="135">
        <f>IF(C22&gt;0,(F22+I22)+IF(K$5&gt;0,F22,-8),0)+IF(U$5&gt;0,I22,0)</f>
        <v>0</v>
      </c>
      <c r="M22" s="136">
        <v>7</v>
      </c>
      <c r="N22" s="43">
        <v>16</v>
      </c>
      <c r="O22" s="54">
        <v>1</v>
      </c>
      <c r="P22" s="53">
        <f>+N22-M22-O22</f>
        <v>8</v>
      </c>
      <c r="Q22" s="43"/>
      <c r="R22" s="43"/>
      <c r="S22" s="53">
        <f>+R22-Q22</f>
        <v>0</v>
      </c>
      <c r="T22" s="54"/>
      <c r="U22" s="55">
        <f>+S22+P22-V22</f>
        <v>8</v>
      </c>
      <c r="V22" s="135">
        <f>IF(M22&gt;0,(P22+S22)+IF(U$5&gt;0,P22,-8),0)+IF(AE$5&gt;0,S22,0)</f>
        <v>0</v>
      </c>
      <c r="W22" s="43"/>
      <c r="X22" s="43"/>
      <c r="Y22" s="54"/>
      <c r="Z22" s="53">
        <f>+X22-W22-Y22</f>
        <v>0</v>
      </c>
      <c r="AA22" s="44"/>
      <c r="AB22" s="28"/>
      <c r="AC22" s="53">
        <f>+AB22-AA22</f>
        <v>0</v>
      </c>
      <c r="AD22" s="54"/>
      <c r="AE22" s="137">
        <f t="shared" si="11"/>
        <v>0</v>
      </c>
      <c r="AF22" s="135">
        <f>IF(W22&gt;0,IF(AE$5&gt;0,(Z22+AC22)*2,(Z22+AC22-8)),0)*IF(Z22&lt;9,IF(AE$5&gt;0,1,2),1)+IF(Z22&gt;8,AC22,0)</f>
        <v>0</v>
      </c>
      <c r="AG22" s="138"/>
      <c r="AH22" s="43"/>
      <c r="AI22" s="54"/>
      <c r="AJ22" s="139">
        <f>+AH22-AG22-AI22</f>
        <v>0</v>
      </c>
      <c r="AK22" s="43"/>
      <c r="AL22" s="43"/>
      <c r="AM22" s="53">
        <f>+AL22-AK22</f>
        <v>0</v>
      </c>
      <c r="AN22" s="57"/>
      <c r="AO22" s="140">
        <f>(AJ22*2+AM22)</f>
        <v>0</v>
      </c>
      <c r="AP22" s="821">
        <f t="shared" si="29"/>
        <v>-3</v>
      </c>
      <c r="AQ22" s="822"/>
      <c r="AR22" s="823">
        <f>ROUND(BD22*AP22,1)</f>
        <v>-16.3</v>
      </c>
      <c r="AS22" s="824"/>
      <c r="AT22" s="49">
        <f>IF(AT44&gt;0,AT44*$AT$10,0)</f>
        <v>20</v>
      </c>
      <c r="AV22" s="33">
        <f>+L22</f>
        <v>0</v>
      </c>
      <c r="AW22" s="33">
        <f>+V22</f>
        <v>0</v>
      </c>
      <c r="AX22" s="33">
        <f>+AF22</f>
        <v>0</v>
      </c>
      <c r="AY22" s="34">
        <f>+AO22</f>
        <v>0</v>
      </c>
      <c r="AZ22" s="33">
        <f>+L44</f>
        <v>0</v>
      </c>
      <c r="BA22" s="33">
        <f>+V44</f>
        <v>-3</v>
      </c>
      <c r="BB22" s="33">
        <f>+AF44</f>
        <v>0</v>
      </c>
      <c r="BC22" s="35"/>
      <c r="BD22" s="36">
        <f>+I86</f>
        <v>5.4333333333333327</v>
      </c>
      <c r="BE22" s="37">
        <f>+BD22*AP22</f>
        <v>-16.299999999999997</v>
      </c>
      <c r="BF22" s="38">
        <f>+BD22*AY22</f>
        <v>0</v>
      </c>
      <c r="BH22" s="141"/>
    </row>
    <row r="23" spans="1:60" ht="14.1" customHeight="1">
      <c r="A23" s="1">
        <v>12</v>
      </c>
      <c r="B23" s="39" t="str">
        <f>+B87</f>
        <v>Pier Alejos A.</v>
      </c>
      <c r="C23" s="56">
        <v>7</v>
      </c>
      <c r="D23" s="43">
        <v>17</v>
      </c>
      <c r="E23" s="54">
        <v>1</v>
      </c>
      <c r="F23" s="53">
        <f>+D23-C23-E23</f>
        <v>9</v>
      </c>
      <c r="G23" s="43"/>
      <c r="H23" s="117"/>
      <c r="I23" s="53">
        <f>+H23-G23</f>
        <v>0</v>
      </c>
      <c r="J23" s="54"/>
      <c r="K23" s="55">
        <f>+I23+F23-L23</f>
        <v>8</v>
      </c>
      <c r="L23" s="135">
        <f>IF(C23&gt;0,(F23+I23)+IF(K$5&gt;0,F23,-8),0)+IF(U$5&gt;0,I23,0)</f>
        <v>1</v>
      </c>
      <c r="M23" s="136">
        <v>7</v>
      </c>
      <c r="N23" s="43">
        <v>16</v>
      </c>
      <c r="O23" s="54">
        <v>1</v>
      </c>
      <c r="P23" s="53">
        <f>+N23-M23-O23</f>
        <v>8</v>
      </c>
      <c r="Q23" s="43"/>
      <c r="R23" s="43"/>
      <c r="S23" s="53">
        <f>+R23-Q23</f>
        <v>0</v>
      </c>
      <c r="T23" s="54"/>
      <c r="U23" s="55">
        <f>+S23+P23-V23</f>
        <v>8</v>
      </c>
      <c r="V23" s="135">
        <f>IF(M23&gt;0,(P23+S23)+IF(U$5&gt;0,P23,-8),0)+IF(AE$5&gt;0,S23,0)</f>
        <v>0</v>
      </c>
      <c r="W23" s="43">
        <v>7</v>
      </c>
      <c r="X23" s="43">
        <v>16</v>
      </c>
      <c r="Y23" s="54">
        <v>1</v>
      </c>
      <c r="Z23" s="53">
        <f>+X23-W23-Y23</f>
        <v>8</v>
      </c>
      <c r="AA23" s="44"/>
      <c r="AB23" s="28"/>
      <c r="AC23" s="53">
        <f>+AB23-AA23</f>
        <v>0</v>
      </c>
      <c r="AD23" s="54"/>
      <c r="AE23" s="137">
        <f t="shared" si="11"/>
        <v>8</v>
      </c>
      <c r="AF23" s="135">
        <f>IF(W23&gt;0,IF(AE$5&gt;0,(Z23+AC23)*2,(Z23+AC23-8)),0)*IF(Z23&lt;9,IF(AE$5&gt;0,1,2),1)+IF(Z23&gt;8,AC23,0)</f>
        <v>0</v>
      </c>
      <c r="AG23" s="138"/>
      <c r="AH23" s="43"/>
      <c r="AI23" s="54"/>
      <c r="AJ23" s="139">
        <f>+AH23-AG23-AI23</f>
        <v>0</v>
      </c>
      <c r="AK23" s="43"/>
      <c r="AL23" s="43"/>
      <c r="AM23" s="53">
        <f>+AL23-AK23</f>
        <v>0</v>
      </c>
      <c r="AN23" s="57"/>
      <c r="AO23" s="140">
        <f>(AJ23*2+AM23)</f>
        <v>0</v>
      </c>
      <c r="AP23" s="821">
        <f t="shared" si="29"/>
        <v>9</v>
      </c>
      <c r="AQ23" s="822"/>
      <c r="AR23" s="823">
        <f>ROUND(BD23*AP23,1)</f>
        <v>34.9</v>
      </c>
      <c r="AS23" s="824"/>
      <c r="AT23" s="49">
        <f>IF(AT46&gt;0,AT46*$AT$10,0)</f>
        <v>16</v>
      </c>
      <c r="AV23" s="33">
        <f>+L23</f>
        <v>1</v>
      </c>
      <c r="AW23" s="33">
        <f>+V23</f>
        <v>0</v>
      </c>
      <c r="AX23" s="33">
        <f>+AF23</f>
        <v>0</v>
      </c>
      <c r="AY23" s="34">
        <f>+AO23</f>
        <v>0</v>
      </c>
      <c r="AZ23" s="33">
        <f>+L45</f>
        <v>1</v>
      </c>
      <c r="BA23" s="33">
        <f>+V45</f>
        <v>1</v>
      </c>
      <c r="BB23" s="33">
        <f>+AF45</f>
        <v>6</v>
      </c>
      <c r="BC23" s="35"/>
      <c r="BD23" s="36">
        <f>+I87</f>
        <v>3.8750035714285715</v>
      </c>
      <c r="BE23" s="37">
        <f>+BD23*AP23</f>
        <v>34.875032142857144</v>
      </c>
      <c r="BF23" s="38">
        <f>+BD23*AY23</f>
        <v>0</v>
      </c>
      <c r="BH23" s="141"/>
    </row>
    <row r="24" spans="1:60" s="116" customFormat="1" ht="14.1" customHeight="1">
      <c r="A24" s="62">
        <v>13</v>
      </c>
      <c r="B24" s="142" t="str">
        <f t="shared" ref="B24:B25" si="30">+B88</f>
        <v>Angel Colina N.</v>
      </c>
      <c r="C24" s="102">
        <v>7</v>
      </c>
      <c r="D24" s="102">
        <v>17</v>
      </c>
      <c r="E24" s="102">
        <v>1</v>
      </c>
      <c r="F24" s="143">
        <f>+D24-C24-E24</f>
        <v>9</v>
      </c>
      <c r="G24" s="144"/>
      <c r="H24" s="145"/>
      <c r="I24" s="143">
        <f>+H24-G24</f>
        <v>0</v>
      </c>
      <c r="J24" s="102"/>
      <c r="K24" s="146">
        <f>+I24+F24-L24</f>
        <v>8</v>
      </c>
      <c r="L24" s="147">
        <f>IF(C24&gt;0,(F24+I24)+IF(K$5&gt;0,F24,-8),0)+IF(U$5&gt;0,I24,0)</f>
        <v>1</v>
      </c>
      <c r="M24" s="148">
        <v>7</v>
      </c>
      <c r="N24" s="102">
        <v>16</v>
      </c>
      <c r="O24" s="102">
        <v>1</v>
      </c>
      <c r="P24" s="143">
        <f>+N24-M24-O24</f>
        <v>8</v>
      </c>
      <c r="Q24" s="43"/>
      <c r="R24" s="43"/>
      <c r="S24" s="143">
        <f>+R24-Q24</f>
        <v>0</v>
      </c>
      <c r="T24" s="102"/>
      <c r="U24" s="146">
        <f>+S24+P24-V24</f>
        <v>8</v>
      </c>
      <c r="V24" s="147">
        <f>IF(M24&gt;0,(P24+S24)+IF(U$5&gt;0,P24,-8),0)+IF(AE$5&gt;0,S24,0)</f>
        <v>0</v>
      </c>
      <c r="W24" s="102">
        <v>7</v>
      </c>
      <c r="X24" s="102">
        <v>16</v>
      </c>
      <c r="Y24" s="102">
        <v>1</v>
      </c>
      <c r="Z24" s="143">
        <f>+X24-W24-Y24</f>
        <v>8</v>
      </c>
      <c r="AA24" s="102"/>
      <c r="AB24" s="28"/>
      <c r="AC24" s="143">
        <f>+AB24-AA24</f>
        <v>0</v>
      </c>
      <c r="AD24" s="102"/>
      <c r="AE24" s="146">
        <f t="shared" si="11"/>
        <v>8</v>
      </c>
      <c r="AF24" s="147">
        <f>IF(W24&gt;0,IF(AE$5&gt;0,(Z24+AC24)*2,(Z24+AC24-8)),0)*IF(Z24&lt;9,IF(AE$5&gt;0,1,2),1)+IF(Z24&gt;8,AC24,0)</f>
        <v>0</v>
      </c>
      <c r="AG24" s="102"/>
      <c r="AH24" s="102"/>
      <c r="AI24" s="102"/>
      <c r="AJ24" s="149">
        <f>+AH24-AG24-AI24</f>
        <v>0</v>
      </c>
      <c r="AK24" s="102"/>
      <c r="AL24" s="102"/>
      <c r="AM24" s="143">
        <f>+AL24-AK24</f>
        <v>0</v>
      </c>
      <c r="AN24" s="150"/>
      <c r="AO24" s="151">
        <f>(AJ24*2+AM24)</f>
        <v>0</v>
      </c>
      <c r="AP24" s="841">
        <f t="shared" si="29"/>
        <v>2</v>
      </c>
      <c r="AQ24" s="842"/>
      <c r="AR24" s="843">
        <f>ROUND(BD24*AP24,1)</f>
        <v>7.8</v>
      </c>
      <c r="AS24" s="844"/>
      <c r="AT24" s="113">
        <f t="shared" ref="AT24:AT25" si="31">IF(AT46&gt;0,AT46*$AT$10,0)</f>
        <v>16</v>
      </c>
      <c r="AU24" s="69"/>
      <c r="AV24" s="114">
        <f>+L24</f>
        <v>1</v>
      </c>
      <c r="AW24" s="114">
        <f>+V24</f>
        <v>0</v>
      </c>
      <c r="AX24" s="114">
        <f>+AF24</f>
        <v>0</v>
      </c>
      <c r="AY24" s="114">
        <f>+AO24</f>
        <v>0</v>
      </c>
      <c r="AZ24" s="114">
        <f t="shared" ref="AZ24:AZ25" si="32">+L46</f>
        <v>0</v>
      </c>
      <c r="BA24" s="114">
        <f t="shared" ref="BA24:BA25" si="33">+V46</f>
        <v>0</v>
      </c>
      <c r="BB24" s="114">
        <f t="shared" ref="BB24:BB25" si="34">+AF46</f>
        <v>1</v>
      </c>
      <c r="BC24" s="35"/>
      <c r="BD24" s="115">
        <f t="shared" ref="BD24:BD25" si="35">+I88</f>
        <v>3.8750035714285715</v>
      </c>
      <c r="BE24" s="115">
        <f>+BD24*AP24</f>
        <v>7.7500071428571431</v>
      </c>
      <c r="BF24" s="115">
        <f>+BD24*AY24</f>
        <v>0</v>
      </c>
    </row>
    <row r="25" spans="1:60" ht="14.1" customHeight="1" thickBot="1">
      <c r="A25" s="1">
        <v>14</v>
      </c>
      <c r="B25" s="152" t="str">
        <f t="shared" si="30"/>
        <v>Jose Lares P.</v>
      </c>
      <c r="C25" s="153">
        <v>7</v>
      </c>
      <c r="D25" s="154">
        <v>16</v>
      </c>
      <c r="E25" s="155">
        <v>1</v>
      </c>
      <c r="F25" s="156">
        <f>+D25-C25-E25</f>
        <v>8</v>
      </c>
      <c r="G25" s="154"/>
      <c r="H25" s="154"/>
      <c r="I25" s="156">
        <f>+H25-G25</f>
        <v>0</v>
      </c>
      <c r="J25" s="155"/>
      <c r="K25" s="157">
        <f>+I25+F25-L25</f>
        <v>8</v>
      </c>
      <c r="L25" s="158">
        <f t="shared" si="4"/>
        <v>0</v>
      </c>
      <c r="M25" s="159">
        <v>7</v>
      </c>
      <c r="N25" s="154">
        <v>16</v>
      </c>
      <c r="O25" s="155">
        <v>1</v>
      </c>
      <c r="P25" s="156">
        <f>+N25-M25-O25</f>
        <v>8</v>
      </c>
      <c r="Q25" s="160"/>
      <c r="R25" s="160"/>
      <c r="S25" s="156">
        <f>+R25-Q25</f>
        <v>0</v>
      </c>
      <c r="T25" s="155"/>
      <c r="U25" s="157">
        <f>+S25+P25-V25</f>
        <v>8</v>
      </c>
      <c r="V25" s="158">
        <f>IF(M25&gt;0,(P25+S25)+IF(U$5&gt;0,P25,-8),0)+IF(AE$5&gt;0,S25,0)</f>
        <v>0</v>
      </c>
      <c r="W25" s="154">
        <v>7</v>
      </c>
      <c r="X25" s="154">
        <v>16</v>
      </c>
      <c r="Y25" s="155">
        <v>1</v>
      </c>
      <c r="Z25" s="156">
        <f>+X25-W25-Y25</f>
        <v>8</v>
      </c>
      <c r="AA25" s="154"/>
      <c r="AB25" s="161"/>
      <c r="AC25" s="156">
        <f>+AB25-AA25</f>
        <v>0</v>
      </c>
      <c r="AD25" s="155"/>
      <c r="AE25" s="157">
        <f t="shared" si="11"/>
        <v>8</v>
      </c>
      <c r="AF25" s="158">
        <f>IF(W25&gt;0,IF(AE$5&gt;0,(Z25+AC25)*2,(Z25+AC25-8)),0)*IF(Z25&lt;9,IF(AE$5&gt;0,1,2),1)+IF(Z25&gt;8,AC25,0)</f>
        <v>0</v>
      </c>
      <c r="AG25" s="162"/>
      <c r="AH25" s="154"/>
      <c r="AI25" s="155"/>
      <c r="AJ25" s="163">
        <f t="shared" si="12"/>
        <v>0</v>
      </c>
      <c r="AK25" s="154"/>
      <c r="AL25" s="154"/>
      <c r="AM25" s="156">
        <f>+AL25-AK25</f>
        <v>0</v>
      </c>
      <c r="AN25" s="164"/>
      <c r="AO25" s="165">
        <f>(AJ25*2+AM25)</f>
        <v>0</v>
      </c>
      <c r="AP25" s="1190">
        <f t="shared" si="29"/>
        <v>0</v>
      </c>
      <c r="AQ25" s="1191"/>
      <c r="AR25" s="1192">
        <f>ROUND(BD25*AP25,1)</f>
        <v>0</v>
      </c>
      <c r="AS25" s="1193"/>
      <c r="AT25" s="166">
        <f t="shared" si="31"/>
        <v>24</v>
      </c>
      <c r="AV25" s="114">
        <f>+L25</f>
        <v>0</v>
      </c>
      <c r="AW25" s="114">
        <f>+V25</f>
        <v>0</v>
      </c>
      <c r="AX25" s="114">
        <f>+AF25</f>
        <v>0</v>
      </c>
      <c r="AY25" s="114">
        <f>+AO25</f>
        <v>0</v>
      </c>
      <c r="AZ25" s="114">
        <f t="shared" si="32"/>
        <v>0</v>
      </c>
      <c r="BA25" s="114">
        <f t="shared" si="33"/>
        <v>0</v>
      </c>
      <c r="BB25" s="114">
        <f t="shared" si="34"/>
        <v>0</v>
      </c>
      <c r="BC25" s="35"/>
      <c r="BD25" s="36">
        <f t="shared" si="35"/>
        <v>3.8750035714285715</v>
      </c>
      <c r="BE25" s="37">
        <f>+BD25*AP25</f>
        <v>0</v>
      </c>
      <c r="BF25" s="38">
        <f>+BD25*AY25</f>
        <v>0</v>
      </c>
    </row>
    <row r="26" spans="1:60" ht="5.0999999999999996" customHeight="1" thickBot="1">
      <c r="BC26" s="167"/>
      <c r="BD26" s="168"/>
      <c r="BE26" s="855">
        <f>SUM(BE11:BE25)</f>
        <v>425.83955357142861</v>
      </c>
      <c r="BF26" s="856">
        <f>SUM(BF11:BF25)</f>
        <v>313.77516428571425</v>
      </c>
    </row>
    <row r="27" spans="1:60" ht="9.9499999999999993" customHeight="1">
      <c r="B27" s="741" t="s">
        <v>1</v>
      </c>
      <c r="C27" s="858">
        <f>1+AG5</f>
        <v>43843</v>
      </c>
      <c r="D27" s="858"/>
      <c r="E27" s="858"/>
      <c r="F27" s="858"/>
      <c r="G27" s="858"/>
      <c r="H27" s="858"/>
      <c r="I27" s="858"/>
      <c r="J27" s="858"/>
      <c r="K27" s="860"/>
      <c r="L27" s="861"/>
      <c r="M27" s="864">
        <f>1+C27</f>
        <v>43844</v>
      </c>
      <c r="N27" s="865"/>
      <c r="O27" s="865"/>
      <c r="P27" s="865"/>
      <c r="Q27" s="865"/>
      <c r="R27" s="865"/>
      <c r="S27" s="865"/>
      <c r="T27" s="866"/>
      <c r="U27" s="870"/>
      <c r="V27" s="871"/>
      <c r="W27" s="864">
        <f>1+M27</f>
        <v>43845</v>
      </c>
      <c r="X27" s="865"/>
      <c r="Y27" s="865"/>
      <c r="Z27" s="865"/>
      <c r="AA27" s="865"/>
      <c r="AB27" s="865"/>
      <c r="AC27" s="865"/>
      <c r="AD27" s="866"/>
      <c r="AE27" s="880"/>
      <c r="AF27" s="881"/>
      <c r="AH27" s="884" t="s">
        <v>18</v>
      </c>
      <c r="AI27" s="879">
        <f>+C5</f>
        <v>43839</v>
      </c>
      <c r="AJ27" s="885">
        <f t="shared" ref="AJ27:AO27" si="36">1+AI27</f>
        <v>43840</v>
      </c>
      <c r="AK27" s="885">
        <f t="shared" si="36"/>
        <v>43841</v>
      </c>
      <c r="AL27" s="878">
        <f t="shared" si="36"/>
        <v>43842</v>
      </c>
      <c r="AM27" s="878">
        <f t="shared" si="36"/>
        <v>43843</v>
      </c>
      <c r="AN27" s="879">
        <f t="shared" si="36"/>
        <v>43844</v>
      </c>
      <c r="AO27" s="879">
        <f t="shared" si="36"/>
        <v>43845</v>
      </c>
      <c r="AP27" s="911" t="s">
        <v>19</v>
      </c>
      <c r="AQ27" s="912"/>
      <c r="AR27" s="913" t="s">
        <v>20</v>
      </c>
      <c r="AS27" s="914"/>
      <c r="AT27" s="898" t="s">
        <v>21</v>
      </c>
      <c r="AW27" s="901">
        <f>+AL27</f>
        <v>43842</v>
      </c>
      <c r="AX27" s="902"/>
      <c r="AZ27" s="907" t="s">
        <v>22</v>
      </c>
      <c r="BA27" s="907"/>
      <c r="BB27" s="907"/>
      <c r="BC27" s="907"/>
      <c r="BD27" s="168"/>
      <c r="BE27" s="855"/>
      <c r="BF27" s="857"/>
    </row>
    <row r="28" spans="1:60" ht="9.9499999999999993" customHeight="1">
      <c r="B28" s="742"/>
      <c r="C28" s="859"/>
      <c r="D28" s="859"/>
      <c r="E28" s="859"/>
      <c r="F28" s="859"/>
      <c r="G28" s="859"/>
      <c r="H28" s="859"/>
      <c r="I28" s="859"/>
      <c r="J28" s="859"/>
      <c r="K28" s="862"/>
      <c r="L28" s="863"/>
      <c r="M28" s="867"/>
      <c r="N28" s="868"/>
      <c r="O28" s="868"/>
      <c r="P28" s="868"/>
      <c r="Q28" s="868"/>
      <c r="R28" s="868"/>
      <c r="S28" s="868"/>
      <c r="T28" s="869"/>
      <c r="U28" s="872"/>
      <c r="V28" s="873"/>
      <c r="W28" s="867"/>
      <c r="X28" s="868"/>
      <c r="Y28" s="868"/>
      <c r="Z28" s="868"/>
      <c r="AA28" s="868"/>
      <c r="AB28" s="868"/>
      <c r="AC28" s="868"/>
      <c r="AD28" s="869"/>
      <c r="AE28" s="882"/>
      <c r="AF28" s="883"/>
      <c r="AH28" s="884"/>
      <c r="AI28" s="879"/>
      <c r="AJ28" s="885"/>
      <c r="AK28" s="885"/>
      <c r="AL28" s="878"/>
      <c r="AM28" s="878"/>
      <c r="AN28" s="879"/>
      <c r="AO28" s="879"/>
      <c r="AP28" s="911"/>
      <c r="AQ28" s="912"/>
      <c r="AR28" s="915"/>
      <c r="AS28" s="916"/>
      <c r="AT28" s="899"/>
      <c r="AW28" s="903"/>
      <c r="AX28" s="904"/>
      <c r="AZ28" s="908">
        <f>SUM(AV11:BB25)</f>
        <v>102</v>
      </c>
      <c r="BA28" s="909"/>
      <c r="BB28" s="909"/>
      <c r="BC28" s="169"/>
      <c r="BD28" s="168"/>
      <c r="BE28" s="170"/>
    </row>
    <row r="29" spans="1:60" ht="15.2" customHeight="1">
      <c r="B29" s="742"/>
      <c r="C29" s="780" t="s">
        <v>10</v>
      </c>
      <c r="D29" s="874"/>
      <c r="E29" s="766" t="s">
        <v>11</v>
      </c>
      <c r="F29" s="769" t="s">
        <v>12</v>
      </c>
      <c r="G29" s="877" t="s">
        <v>10</v>
      </c>
      <c r="H29" s="874"/>
      <c r="I29" s="769" t="s">
        <v>12</v>
      </c>
      <c r="J29" s="773" t="s">
        <v>13</v>
      </c>
      <c r="K29" s="786" t="s">
        <v>14</v>
      </c>
      <c r="L29" s="886" t="s">
        <v>15</v>
      </c>
      <c r="M29" s="780" t="s">
        <v>10</v>
      </c>
      <c r="N29" s="888"/>
      <c r="O29" s="767" t="s">
        <v>11</v>
      </c>
      <c r="P29" s="770" t="s">
        <v>12</v>
      </c>
      <c r="Q29" s="877" t="s">
        <v>10</v>
      </c>
      <c r="R29" s="893"/>
      <c r="S29" s="770" t="s">
        <v>12</v>
      </c>
      <c r="T29" s="774" t="s">
        <v>13</v>
      </c>
      <c r="U29" s="787" t="s">
        <v>14</v>
      </c>
      <c r="V29" s="886" t="s">
        <v>15</v>
      </c>
      <c r="W29" s="780" t="s">
        <v>10</v>
      </c>
      <c r="X29" s="888"/>
      <c r="Y29" s="767" t="s">
        <v>11</v>
      </c>
      <c r="Z29" s="770" t="s">
        <v>12</v>
      </c>
      <c r="AA29" s="877" t="s">
        <v>10</v>
      </c>
      <c r="AB29" s="893"/>
      <c r="AC29" s="770" t="s">
        <v>12</v>
      </c>
      <c r="AD29" s="774" t="s">
        <v>13</v>
      </c>
      <c r="AE29" s="787" t="s">
        <v>14</v>
      </c>
      <c r="AF29" s="886"/>
      <c r="AH29" s="884"/>
      <c r="AI29" s="879"/>
      <c r="AJ29" s="885"/>
      <c r="AK29" s="885"/>
      <c r="AL29" s="878"/>
      <c r="AM29" s="878"/>
      <c r="AN29" s="879"/>
      <c r="AO29" s="879"/>
      <c r="AP29" s="911"/>
      <c r="AQ29" s="912"/>
      <c r="AR29" s="915"/>
      <c r="AS29" s="916"/>
      <c r="AT29" s="899"/>
      <c r="AW29" s="903"/>
      <c r="AX29" s="904"/>
      <c r="AZ29" s="910"/>
      <c r="BA29" s="910"/>
      <c r="BB29" s="910"/>
      <c r="BC29" s="169"/>
      <c r="BD29" s="168"/>
      <c r="BE29" s="168"/>
    </row>
    <row r="30" spans="1:60" ht="15.2" customHeight="1">
      <c r="B30" s="742"/>
      <c r="C30" s="875"/>
      <c r="D30" s="810"/>
      <c r="E30" s="767"/>
      <c r="F30" s="770"/>
      <c r="G30" s="811"/>
      <c r="H30" s="810"/>
      <c r="I30" s="770"/>
      <c r="J30" s="774"/>
      <c r="K30" s="787"/>
      <c r="L30" s="886"/>
      <c r="M30" s="889"/>
      <c r="N30" s="890"/>
      <c r="O30" s="767"/>
      <c r="P30" s="770"/>
      <c r="Q30" s="894"/>
      <c r="R30" s="895"/>
      <c r="S30" s="770"/>
      <c r="T30" s="774"/>
      <c r="U30" s="787"/>
      <c r="V30" s="886"/>
      <c r="W30" s="889"/>
      <c r="X30" s="890"/>
      <c r="Y30" s="767"/>
      <c r="Z30" s="770"/>
      <c r="AA30" s="894"/>
      <c r="AB30" s="895"/>
      <c r="AC30" s="770"/>
      <c r="AD30" s="774"/>
      <c r="AE30" s="787"/>
      <c r="AF30" s="886"/>
      <c r="AH30" s="884"/>
      <c r="AI30" s="879"/>
      <c r="AJ30" s="885"/>
      <c r="AK30" s="885"/>
      <c r="AL30" s="878"/>
      <c r="AM30" s="878"/>
      <c r="AN30" s="879"/>
      <c r="AO30" s="879"/>
      <c r="AP30" s="911"/>
      <c r="AQ30" s="912"/>
      <c r="AR30" s="915"/>
      <c r="AS30" s="916"/>
      <c r="AT30" s="899"/>
      <c r="AW30" s="903"/>
      <c r="AX30" s="904"/>
      <c r="AY30" s="7" t="s">
        <v>23</v>
      </c>
      <c r="BD30" s="171">
        <f>+AZ28-AW49</f>
        <v>28</v>
      </c>
      <c r="BE30" s="172" t="s">
        <v>24</v>
      </c>
    </row>
    <row r="31" spans="1:60" ht="15.2" customHeight="1">
      <c r="B31" s="742"/>
      <c r="C31" s="875"/>
      <c r="D31" s="810"/>
      <c r="E31" s="767"/>
      <c r="F31" s="770"/>
      <c r="G31" s="811"/>
      <c r="H31" s="810"/>
      <c r="I31" s="770"/>
      <c r="J31" s="774"/>
      <c r="K31" s="787"/>
      <c r="L31" s="886"/>
      <c r="M31" s="889"/>
      <c r="N31" s="890"/>
      <c r="O31" s="767"/>
      <c r="P31" s="770"/>
      <c r="Q31" s="894"/>
      <c r="R31" s="895"/>
      <c r="S31" s="770"/>
      <c r="T31" s="774"/>
      <c r="U31" s="787"/>
      <c r="V31" s="886"/>
      <c r="W31" s="889"/>
      <c r="X31" s="890"/>
      <c r="Y31" s="767"/>
      <c r="Z31" s="770"/>
      <c r="AA31" s="894"/>
      <c r="AB31" s="895"/>
      <c r="AC31" s="770"/>
      <c r="AD31" s="774"/>
      <c r="AE31" s="787"/>
      <c r="AF31" s="886"/>
      <c r="AH31" s="884"/>
      <c r="AI31" s="879"/>
      <c r="AJ31" s="885"/>
      <c r="AK31" s="885"/>
      <c r="AL31" s="878"/>
      <c r="AM31" s="878"/>
      <c r="AN31" s="879"/>
      <c r="AO31" s="879"/>
      <c r="AP31" s="911"/>
      <c r="AQ31" s="912"/>
      <c r="AR31" s="915"/>
      <c r="AS31" s="916"/>
      <c r="AT31" s="899"/>
      <c r="AW31" s="903"/>
      <c r="AX31" s="904"/>
    </row>
    <row r="32" spans="1:60" ht="15.2" customHeight="1" thickBot="1">
      <c r="B32" s="743"/>
      <c r="C32" s="876"/>
      <c r="D32" s="813"/>
      <c r="E32" s="768"/>
      <c r="F32" s="771"/>
      <c r="G32" s="812"/>
      <c r="H32" s="813"/>
      <c r="I32" s="771"/>
      <c r="J32" s="775"/>
      <c r="K32" s="788"/>
      <c r="L32" s="887"/>
      <c r="M32" s="891"/>
      <c r="N32" s="892"/>
      <c r="O32" s="768"/>
      <c r="P32" s="771"/>
      <c r="Q32" s="896"/>
      <c r="R32" s="897"/>
      <c r="S32" s="771"/>
      <c r="T32" s="775"/>
      <c r="U32" s="788"/>
      <c r="V32" s="887"/>
      <c r="W32" s="891"/>
      <c r="X32" s="892"/>
      <c r="Y32" s="768"/>
      <c r="Z32" s="771"/>
      <c r="AA32" s="896"/>
      <c r="AB32" s="897"/>
      <c r="AC32" s="771"/>
      <c r="AD32" s="775"/>
      <c r="AE32" s="788"/>
      <c r="AF32" s="887"/>
      <c r="AH32" s="884"/>
      <c r="AI32" s="879"/>
      <c r="AJ32" s="885"/>
      <c r="AK32" s="885"/>
      <c r="AL32" s="878"/>
      <c r="AM32" s="878"/>
      <c r="AN32" s="879"/>
      <c r="AO32" s="879"/>
      <c r="AP32" s="911"/>
      <c r="AQ32" s="912"/>
      <c r="AR32" s="917"/>
      <c r="AS32" s="918"/>
      <c r="AT32" s="900"/>
      <c r="AW32" s="905"/>
      <c r="AX32" s="906"/>
      <c r="BE32" s="173"/>
    </row>
    <row r="33" spans="1:57" ht="14.1" customHeight="1">
      <c r="B33" s="16" t="str">
        <f t="shared" ref="B33:B47" si="37">+B11</f>
        <v>Eduardo Segura D.</v>
      </c>
      <c r="C33" s="17">
        <v>7</v>
      </c>
      <c r="D33" s="18">
        <v>14</v>
      </c>
      <c r="E33" s="19">
        <v>1</v>
      </c>
      <c r="F33" s="40">
        <f t="shared" ref="F33:F47" si="38">+D33-C33-E33</f>
        <v>6</v>
      </c>
      <c r="G33" s="43"/>
      <c r="H33" s="544">
        <v>2</v>
      </c>
      <c r="I33" s="40">
        <f t="shared" ref="I33:I47" si="39">+H33-G33</f>
        <v>2</v>
      </c>
      <c r="J33" s="19"/>
      <c r="K33" s="41">
        <f t="shared" ref="K33:K47" si="40">+I33+F33-L33</f>
        <v>8</v>
      </c>
      <c r="L33" s="25">
        <f t="shared" ref="L33:L47" si="41">IF(C33&gt;0,(F33+I33)+IF(K$27&gt;0,F33,-8),0)+IF(U$27&gt;0,I33,0)</f>
        <v>0</v>
      </c>
      <c r="M33" s="43">
        <v>7</v>
      </c>
      <c r="N33" s="18">
        <v>16</v>
      </c>
      <c r="O33" s="19">
        <v>1</v>
      </c>
      <c r="P33" s="40">
        <f t="shared" ref="P33:P47" si="42">+N33-M33-O33</f>
        <v>8</v>
      </c>
      <c r="Q33" s="138"/>
      <c r="R33" s="174"/>
      <c r="S33" s="40">
        <f t="shared" ref="S33:S47" si="43">+R33-Q33</f>
        <v>0</v>
      </c>
      <c r="T33" s="19"/>
      <c r="U33" s="41">
        <f t="shared" ref="U33:U47" si="44">+S33+P33-V33</f>
        <v>8</v>
      </c>
      <c r="V33" s="25">
        <f t="shared" ref="V33:V47" si="45">IF(M33&gt;0,(P33+S33)+IF(U$27&gt;0,P33,-8),0)+IF(AE$27&gt;0,S33,0)</f>
        <v>0</v>
      </c>
      <c r="W33" s="18">
        <v>7</v>
      </c>
      <c r="X33" s="18">
        <v>14</v>
      </c>
      <c r="Y33" s="175">
        <v>1</v>
      </c>
      <c r="Z33" s="176">
        <f t="shared" ref="Z33:Z47" si="46">+X33-W33-Y33</f>
        <v>6</v>
      </c>
      <c r="AA33" s="138"/>
      <c r="AB33" s="544">
        <v>2</v>
      </c>
      <c r="AC33" s="176">
        <f t="shared" ref="AC33:AC47" si="47">+AB33-AA33</f>
        <v>2</v>
      </c>
      <c r="AD33" s="175"/>
      <c r="AE33" s="177">
        <f t="shared" ref="AE33:AE47" si="48">+AC33+Z33-AF33</f>
        <v>8</v>
      </c>
      <c r="AF33" s="25">
        <f t="shared" ref="AF33:AF47" si="49">IF(W33&gt;0,(Z33+AC33)+IF(AE$27&gt;0,0+Z33,-8),0)</f>
        <v>0</v>
      </c>
      <c r="AG33" s="69"/>
      <c r="AH33" s="178">
        <v>0</v>
      </c>
      <c r="AI33" s="179">
        <f t="shared" ref="AI33:AI40" si="50">+K11+(IF(ISBLANK($K$5),-8,0))</f>
        <v>0</v>
      </c>
      <c r="AJ33" s="179">
        <f t="shared" ref="AJ33:AJ40" si="51">IF(ISBLANK($U$5),-8,0)+U11</f>
        <v>0</v>
      </c>
      <c r="AK33" s="179">
        <f>IF(ISBLANK($AE$5),-8,0)+AE11</f>
        <v>0</v>
      </c>
      <c r="AL33" s="179">
        <f t="shared" ref="AL33:AL47" si="52">IF(ISBLANK($AO$5),-8,0)+AO11+AW33</f>
        <v>0</v>
      </c>
      <c r="AM33" s="179">
        <f t="shared" ref="AM33:AM47" si="53">IF(ISBLANK($K$27),-8,0)+K33</f>
        <v>0</v>
      </c>
      <c r="AN33" s="179">
        <f t="shared" ref="AN33:AN47" si="54">IF(ISBLANK($U$27),-8,0)+U33</f>
        <v>0</v>
      </c>
      <c r="AO33" s="179">
        <f t="shared" ref="AO33:AO47" si="55">IF(ISBLANK($AE$27),-8,0)+AE33</f>
        <v>0</v>
      </c>
      <c r="AP33" s="180">
        <f t="shared" ref="AP33:AP47" si="56">SUM(AH33:AO33)</f>
        <v>0</v>
      </c>
      <c r="AQ33" s="69"/>
      <c r="AR33" s="919">
        <f t="shared" ref="AR33:AR38" si="57">+X73*Q73</f>
        <v>0</v>
      </c>
      <c r="AS33" s="925"/>
      <c r="AT33" s="181">
        <f t="shared" ref="AT33:AT43" si="58">IF(K11+L11&gt;0,1,0)+IF(U11+V11&gt;0,1,0)+IF(AE11+AF11&gt;0,1,0)+IF(AO11&gt;3,1,0)+IF(K33+L33&gt;0,1,0)+IF(U33+V33&gt;0,1,0)+IF(AE33+AF33&gt;0,1,0)</f>
        <v>7</v>
      </c>
      <c r="AU33" s="69"/>
      <c r="AV33" s="69"/>
      <c r="AW33" s="921">
        <v>-14</v>
      </c>
      <c r="AX33" s="922"/>
      <c r="BD33" s="182"/>
      <c r="BE33" s="183"/>
    </row>
    <row r="34" spans="1:57" ht="14.1" customHeight="1">
      <c r="B34" s="558" t="str">
        <f t="shared" si="37"/>
        <v>Cesar Mendez M.</v>
      </c>
      <c r="C34" s="17">
        <v>7</v>
      </c>
      <c r="D34" s="18">
        <v>16</v>
      </c>
      <c r="E34" s="19">
        <v>1</v>
      </c>
      <c r="F34" s="40">
        <f t="shared" si="38"/>
        <v>8</v>
      </c>
      <c r="G34" s="43"/>
      <c r="H34" s="43"/>
      <c r="I34" s="40">
        <f t="shared" si="39"/>
        <v>0</v>
      </c>
      <c r="J34" s="19"/>
      <c r="K34" s="41">
        <f t="shared" si="40"/>
        <v>8</v>
      </c>
      <c r="L34" s="25">
        <f t="shared" si="41"/>
        <v>0</v>
      </c>
      <c r="M34" s="43">
        <v>7</v>
      </c>
      <c r="N34" s="18">
        <v>17</v>
      </c>
      <c r="O34" s="19">
        <v>1</v>
      </c>
      <c r="P34" s="40">
        <f t="shared" si="42"/>
        <v>9</v>
      </c>
      <c r="Q34" s="43"/>
      <c r="R34" s="184"/>
      <c r="S34" s="40">
        <f t="shared" si="43"/>
        <v>0</v>
      </c>
      <c r="T34" s="19"/>
      <c r="U34" s="41">
        <f t="shared" si="44"/>
        <v>8</v>
      </c>
      <c r="V34" s="25">
        <f t="shared" si="45"/>
        <v>1</v>
      </c>
      <c r="W34" s="18">
        <v>7</v>
      </c>
      <c r="X34" s="18">
        <v>16</v>
      </c>
      <c r="Y34" s="19">
        <v>1</v>
      </c>
      <c r="Z34" s="40">
        <f t="shared" si="46"/>
        <v>8</v>
      </c>
      <c r="AA34" s="18"/>
      <c r="AB34" s="43"/>
      <c r="AC34" s="40">
        <f t="shared" si="47"/>
        <v>0</v>
      </c>
      <c r="AD34" s="19"/>
      <c r="AE34" s="41">
        <f t="shared" si="48"/>
        <v>8</v>
      </c>
      <c r="AF34" s="25">
        <f t="shared" si="49"/>
        <v>0</v>
      </c>
      <c r="AG34" s="69"/>
      <c r="AH34" s="178">
        <v>0</v>
      </c>
      <c r="AI34" s="179">
        <f t="shared" si="50"/>
        <v>-8</v>
      </c>
      <c r="AJ34" s="179">
        <f t="shared" si="51"/>
        <v>-8</v>
      </c>
      <c r="AK34" s="179">
        <f>IF(ISBLANK($AE$5),-8,0)+AE12</f>
        <v>-8</v>
      </c>
      <c r="AL34" s="179">
        <f t="shared" si="52"/>
        <v>0</v>
      </c>
      <c r="AM34" s="179">
        <f t="shared" si="53"/>
        <v>0</v>
      </c>
      <c r="AN34" s="179">
        <f t="shared" si="54"/>
        <v>0</v>
      </c>
      <c r="AO34" s="179">
        <f t="shared" si="55"/>
        <v>0</v>
      </c>
      <c r="AP34" s="180">
        <f t="shared" si="56"/>
        <v>-24</v>
      </c>
      <c r="AQ34" s="69"/>
      <c r="AR34" s="919">
        <f t="shared" si="57"/>
        <v>0</v>
      </c>
      <c r="AS34" s="920"/>
      <c r="AT34" s="181">
        <f t="shared" si="58"/>
        <v>3</v>
      </c>
      <c r="AU34" s="69"/>
      <c r="AV34" s="69"/>
      <c r="AW34" s="921"/>
      <c r="AX34" s="922"/>
    </row>
    <row r="35" spans="1:57" ht="14.1" customHeight="1">
      <c r="B35" s="39" t="str">
        <f t="shared" si="37"/>
        <v xml:space="preserve">  -  .  -  </v>
      </c>
      <c r="C35" s="50"/>
      <c r="D35" s="51"/>
      <c r="E35" s="52"/>
      <c r="F35" s="185">
        <f t="shared" si="38"/>
        <v>0</v>
      </c>
      <c r="G35" s="43"/>
      <c r="H35" s="43"/>
      <c r="I35" s="185">
        <f t="shared" si="39"/>
        <v>0</v>
      </c>
      <c r="J35" s="54"/>
      <c r="K35" s="106">
        <f t="shared" si="40"/>
        <v>0</v>
      </c>
      <c r="L35" s="25">
        <f t="shared" si="41"/>
        <v>0</v>
      </c>
      <c r="M35" s="43"/>
      <c r="N35" s="18"/>
      <c r="O35" s="19"/>
      <c r="P35" s="40">
        <f t="shared" si="42"/>
        <v>0</v>
      </c>
      <c r="Q35" s="43"/>
      <c r="R35" s="186"/>
      <c r="S35" s="185">
        <f t="shared" si="43"/>
        <v>0</v>
      </c>
      <c r="T35" s="54"/>
      <c r="U35" s="41">
        <f t="shared" si="44"/>
        <v>0</v>
      </c>
      <c r="V35" s="25">
        <f t="shared" si="45"/>
        <v>0</v>
      </c>
      <c r="W35" s="18"/>
      <c r="X35" s="18"/>
      <c r="Y35" s="19"/>
      <c r="Z35" s="40">
        <f t="shared" si="46"/>
        <v>0</v>
      </c>
      <c r="AA35" s="18"/>
      <c r="AB35" s="18"/>
      <c r="AC35" s="40">
        <f t="shared" si="47"/>
        <v>0</v>
      </c>
      <c r="AD35" s="54"/>
      <c r="AE35" s="41">
        <f t="shared" si="48"/>
        <v>0</v>
      </c>
      <c r="AF35" s="25">
        <f t="shared" si="49"/>
        <v>0</v>
      </c>
      <c r="AG35" s="69"/>
      <c r="AH35" s="178">
        <v>0</v>
      </c>
      <c r="AI35" s="179">
        <f t="shared" si="50"/>
        <v>-8</v>
      </c>
      <c r="AJ35" s="179">
        <f t="shared" si="51"/>
        <v>-8</v>
      </c>
      <c r="AK35" s="179">
        <f>IF(ISBLANK($AE$5),-8,0)+AE13</f>
        <v>-8</v>
      </c>
      <c r="AL35" s="179">
        <f t="shared" si="52"/>
        <v>0</v>
      </c>
      <c r="AM35" s="179">
        <f t="shared" si="53"/>
        <v>-8</v>
      </c>
      <c r="AN35" s="179">
        <f t="shared" si="54"/>
        <v>-8</v>
      </c>
      <c r="AO35" s="179">
        <f t="shared" si="55"/>
        <v>-8</v>
      </c>
      <c r="AP35" s="180">
        <f t="shared" si="56"/>
        <v>-48</v>
      </c>
      <c r="AQ35" s="69"/>
      <c r="AR35" s="919">
        <f t="shared" si="57"/>
        <v>0</v>
      </c>
      <c r="AS35" s="920"/>
      <c r="AT35" s="187">
        <f t="shared" si="58"/>
        <v>0</v>
      </c>
      <c r="AU35" s="69"/>
      <c r="AV35" s="69"/>
      <c r="AW35" s="926"/>
      <c r="AX35" s="927"/>
      <c r="AY35" s="188"/>
      <c r="BD35" s="182"/>
    </row>
    <row r="36" spans="1:57" ht="14.1" customHeight="1">
      <c r="B36" s="559" t="str">
        <f t="shared" si="37"/>
        <v>Juan Manrique V.</v>
      </c>
      <c r="C36" s="17">
        <v>7</v>
      </c>
      <c r="D36" s="18">
        <v>16</v>
      </c>
      <c r="E36" s="19">
        <v>1</v>
      </c>
      <c r="F36" s="40">
        <f t="shared" si="38"/>
        <v>8</v>
      </c>
      <c r="G36" s="43"/>
      <c r="H36" s="43"/>
      <c r="I36" s="40">
        <f t="shared" si="39"/>
        <v>0</v>
      </c>
      <c r="J36" s="19"/>
      <c r="K36" s="41">
        <f t="shared" si="40"/>
        <v>8</v>
      </c>
      <c r="L36" s="25">
        <f t="shared" si="41"/>
        <v>0</v>
      </c>
      <c r="M36" s="43">
        <v>7</v>
      </c>
      <c r="N36" s="18">
        <v>18</v>
      </c>
      <c r="O36" s="19">
        <v>1</v>
      </c>
      <c r="P36" s="40">
        <f t="shared" si="42"/>
        <v>10</v>
      </c>
      <c r="Q36" s="117"/>
      <c r="R36" s="189"/>
      <c r="S36" s="40">
        <f t="shared" si="43"/>
        <v>0</v>
      </c>
      <c r="T36" s="19"/>
      <c r="U36" s="41">
        <f t="shared" si="44"/>
        <v>8</v>
      </c>
      <c r="V36" s="25">
        <f t="shared" si="45"/>
        <v>2</v>
      </c>
      <c r="W36" s="18">
        <v>8</v>
      </c>
      <c r="X36" s="18">
        <v>16</v>
      </c>
      <c r="Y36" s="19">
        <v>1</v>
      </c>
      <c r="Z36" s="40">
        <f t="shared" si="46"/>
        <v>7</v>
      </c>
      <c r="AA36" s="18"/>
      <c r="AB36" s="18"/>
      <c r="AC36" s="40">
        <f t="shared" si="47"/>
        <v>0</v>
      </c>
      <c r="AD36" s="19"/>
      <c r="AE36" s="41">
        <f t="shared" si="48"/>
        <v>8</v>
      </c>
      <c r="AF36" s="25">
        <f t="shared" si="49"/>
        <v>-1</v>
      </c>
      <c r="AG36" s="69"/>
      <c r="AH36" s="178">
        <v>0</v>
      </c>
      <c r="AI36" s="179">
        <f t="shared" si="50"/>
        <v>0</v>
      </c>
      <c r="AJ36" s="179">
        <f t="shared" si="51"/>
        <v>0</v>
      </c>
      <c r="AK36" s="179">
        <f>IF(ISBLANK($AE$5),-8,0)+AE14</f>
        <v>0</v>
      </c>
      <c r="AL36" s="179">
        <f t="shared" si="52"/>
        <v>0</v>
      </c>
      <c r="AM36" s="179">
        <f t="shared" si="53"/>
        <v>0</v>
      </c>
      <c r="AN36" s="179">
        <f t="shared" si="54"/>
        <v>0</v>
      </c>
      <c r="AO36" s="179">
        <f t="shared" si="55"/>
        <v>0</v>
      </c>
      <c r="AP36" s="180">
        <f t="shared" si="56"/>
        <v>0</v>
      </c>
      <c r="AQ36" s="69"/>
      <c r="AR36" s="919">
        <f t="shared" si="57"/>
        <v>0</v>
      </c>
      <c r="AS36" s="920"/>
      <c r="AT36" s="187">
        <f t="shared" si="58"/>
        <v>7</v>
      </c>
      <c r="AU36" s="69"/>
      <c r="AV36" s="69"/>
      <c r="AW36" s="926">
        <v>-14</v>
      </c>
      <c r="AX36" s="927"/>
      <c r="AZ36" s="182"/>
      <c r="BD36" s="182"/>
    </row>
    <row r="37" spans="1:57" ht="14.1" customHeight="1">
      <c r="B37" s="190" t="str">
        <f t="shared" si="37"/>
        <v xml:space="preserve"> Irving Huaringa B.</v>
      </c>
      <c r="C37" s="17">
        <v>7</v>
      </c>
      <c r="D37" s="18">
        <v>16</v>
      </c>
      <c r="E37" s="19">
        <v>1</v>
      </c>
      <c r="F37" s="40">
        <f>+D37-C37-E37</f>
        <v>8</v>
      </c>
      <c r="G37" s="43"/>
      <c r="H37" s="43"/>
      <c r="I37" s="40">
        <f>+H37-G37</f>
        <v>0</v>
      </c>
      <c r="J37" s="19"/>
      <c r="K37" s="41">
        <f>+I37+F37-L37</f>
        <v>8</v>
      </c>
      <c r="L37" s="25">
        <f t="shared" si="41"/>
        <v>0</v>
      </c>
      <c r="M37" s="43">
        <v>7</v>
      </c>
      <c r="N37" s="18">
        <v>16</v>
      </c>
      <c r="O37" s="19">
        <v>1</v>
      </c>
      <c r="P37" s="40">
        <f>+N37-M37-O37</f>
        <v>8</v>
      </c>
      <c r="Q37" s="117"/>
      <c r="R37" s="189"/>
      <c r="S37" s="40">
        <f>+R37-Q37</f>
        <v>0</v>
      </c>
      <c r="T37" s="19"/>
      <c r="U37" s="41">
        <f>+S37+P37-V37</f>
        <v>8</v>
      </c>
      <c r="V37" s="25">
        <f t="shared" si="45"/>
        <v>0</v>
      </c>
      <c r="W37" s="18"/>
      <c r="X37" s="18"/>
      <c r="Y37" s="19"/>
      <c r="Z37" s="40">
        <f>+X37-W37-Y37</f>
        <v>0</v>
      </c>
      <c r="AA37" s="18"/>
      <c r="AB37" s="18"/>
      <c r="AC37" s="40">
        <f t="shared" si="47"/>
        <v>0</v>
      </c>
      <c r="AD37" s="19"/>
      <c r="AE37" s="41">
        <f>+AC37+Z37-AF37</f>
        <v>0</v>
      </c>
      <c r="AF37" s="25">
        <f t="shared" si="49"/>
        <v>0</v>
      </c>
      <c r="AG37" s="69"/>
      <c r="AH37" s="178">
        <v>0</v>
      </c>
      <c r="AI37" s="179">
        <f t="shared" si="50"/>
        <v>0</v>
      </c>
      <c r="AJ37" s="179">
        <f t="shared" si="51"/>
        <v>0</v>
      </c>
      <c r="AK37" s="191">
        <f>IF(ISBLANK($AE$5),-5,0)+AE15</f>
        <v>0</v>
      </c>
      <c r="AL37" s="179">
        <f t="shared" si="52"/>
        <v>0</v>
      </c>
      <c r="AM37" s="192">
        <f t="shared" si="53"/>
        <v>0</v>
      </c>
      <c r="AN37" s="192">
        <f t="shared" si="54"/>
        <v>0</v>
      </c>
      <c r="AO37" s="192">
        <f t="shared" si="55"/>
        <v>-8</v>
      </c>
      <c r="AP37" s="180">
        <f>SUM(AH37:AO37)</f>
        <v>-8</v>
      </c>
      <c r="AQ37" s="69"/>
      <c r="AR37" s="919">
        <f t="shared" si="57"/>
        <v>0</v>
      </c>
      <c r="AS37" s="920"/>
      <c r="AT37" s="187">
        <f t="shared" si="58"/>
        <v>5</v>
      </c>
      <c r="AU37" s="69"/>
      <c r="AV37" s="69"/>
      <c r="AW37" s="921"/>
      <c r="AX37" s="922"/>
    </row>
    <row r="38" spans="1:57" s="84" customFormat="1" ht="9.9499999999999993" customHeight="1">
      <c r="A38" s="70"/>
      <c r="B38" s="71" t="str">
        <f t="shared" si="37"/>
        <v xml:space="preserve">  -  .  -  </v>
      </c>
      <c r="C38" s="72"/>
      <c r="D38" s="73"/>
      <c r="E38" s="74"/>
      <c r="F38" s="75">
        <f t="shared" si="38"/>
        <v>0</v>
      </c>
      <c r="G38" s="78"/>
      <c r="H38" s="43"/>
      <c r="I38" s="75">
        <f t="shared" si="39"/>
        <v>0</v>
      </c>
      <c r="J38" s="74"/>
      <c r="K38" s="76">
        <f t="shared" si="40"/>
        <v>0</v>
      </c>
      <c r="L38" s="77">
        <f t="shared" si="41"/>
        <v>0</v>
      </c>
      <c r="M38" s="78"/>
      <c r="N38" s="73"/>
      <c r="O38" s="74"/>
      <c r="P38" s="75">
        <f t="shared" si="42"/>
        <v>0</v>
      </c>
      <c r="Q38" s="193"/>
      <c r="R38" s="186"/>
      <c r="S38" s="75">
        <f t="shared" si="43"/>
        <v>0</v>
      </c>
      <c r="T38" s="74"/>
      <c r="U38" s="76">
        <f t="shared" si="44"/>
        <v>0</v>
      </c>
      <c r="V38" s="77">
        <f t="shared" si="45"/>
        <v>0</v>
      </c>
      <c r="W38" s="73"/>
      <c r="X38" s="73"/>
      <c r="Y38" s="74"/>
      <c r="Z38" s="75">
        <f t="shared" si="46"/>
        <v>0</v>
      </c>
      <c r="AA38" s="73"/>
      <c r="AB38" s="78"/>
      <c r="AC38" s="75">
        <f t="shared" si="47"/>
        <v>0</v>
      </c>
      <c r="AD38" s="74"/>
      <c r="AE38" s="76">
        <f t="shared" si="48"/>
        <v>0</v>
      </c>
      <c r="AF38" s="77">
        <f t="shared" si="49"/>
        <v>0</v>
      </c>
      <c r="AG38" s="194"/>
      <c r="AH38" s="195">
        <v>0</v>
      </c>
      <c r="AI38" s="196">
        <f t="shared" si="50"/>
        <v>-8</v>
      </c>
      <c r="AJ38" s="196">
        <f t="shared" si="51"/>
        <v>-8</v>
      </c>
      <c r="AK38" s="196">
        <f>IF(ISBLANK($AE$5),-8,0)+AE16</f>
        <v>-8</v>
      </c>
      <c r="AL38" s="196">
        <f t="shared" si="52"/>
        <v>0</v>
      </c>
      <c r="AM38" s="196">
        <f t="shared" si="53"/>
        <v>-8</v>
      </c>
      <c r="AN38" s="196">
        <f t="shared" si="54"/>
        <v>-8</v>
      </c>
      <c r="AO38" s="196">
        <f t="shared" si="55"/>
        <v>-8</v>
      </c>
      <c r="AP38" s="197">
        <f t="shared" si="56"/>
        <v>-48</v>
      </c>
      <c r="AQ38" s="194"/>
      <c r="AR38" s="1194">
        <f t="shared" si="57"/>
        <v>0</v>
      </c>
      <c r="AS38" s="1195"/>
      <c r="AT38" s="198">
        <f t="shared" si="58"/>
        <v>0</v>
      </c>
      <c r="AU38" s="194"/>
      <c r="AV38" s="194"/>
      <c r="AW38" s="1196"/>
      <c r="AX38" s="1197"/>
      <c r="AZ38" s="199"/>
    </row>
    <row r="39" spans="1:57" ht="14.1" customHeight="1">
      <c r="B39" s="91" t="str">
        <f t="shared" si="37"/>
        <v>Jose Cortez P.</v>
      </c>
      <c r="C39" s="92">
        <v>7</v>
      </c>
      <c r="D39" s="92">
        <v>18</v>
      </c>
      <c r="E39" s="92">
        <v>1</v>
      </c>
      <c r="F39" s="93">
        <f>+D39-C39-E39</f>
        <v>10</v>
      </c>
      <c r="G39" s="43"/>
      <c r="H39" s="43"/>
      <c r="I39" s="93">
        <f>+H39-G39</f>
        <v>0</v>
      </c>
      <c r="J39" s="92"/>
      <c r="K39" s="41">
        <f>+I39+F39-L39</f>
        <v>8</v>
      </c>
      <c r="L39" s="94">
        <f t="shared" si="41"/>
        <v>2</v>
      </c>
      <c r="M39" s="92">
        <v>7</v>
      </c>
      <c r="N39" s="92">
        <v>16</v>
      </c>
      <c r="O39" s="92">
        <v>1</v>
      </c>
      <c r="P39" s="93">
        <f>+N39-M39-O39</f>
        <v>8</v>
      </c>
      <c r="Q39" s="200"/>
      <c r="R39" s="189"/>
      <c r="S39" s="93">
        <f>+R39-Q39</f>
        <v>0</v>
      </c>
      <c r="T39" s="92"/>
      <c r="U39" s="41">
        <f>+S39+P39-V39</f>
        <v>8</v>
      </c>
      <c r="V39" s="94">
        <f t="shared" si="45"/>
        <v>0</v>
      </c>
      <c r="W39" s="92">
        <v>7</v>
      </c>
      <c r="X39" s="92">
        <v>17</v>
      </c>
      <c r="Y39" s="201">
        <v>1</v>
      </c>
      <c r="Z39" s="202">
        <f>+X39-W39-Y39</f>
        <v>9</v>
      </c>
      <c r="AA39" s="18"/>
      <c r="AB39" s="43"/>
      <c r="AC39" s="53">
        <f t="shared" si="47"/>
        <v>0</v>
      </c>
      <c r="AD39" s="19"/>
      <c r="AE39" s="41">
        <f>+AC39+Z39-AF39</f>
        <v>8</v>
      </c>
      <c r="AF39" s="25">
        <f t="shared" si="49"/>
        <v>1</v>
      </c>
      <c r="AG39" s="69"/>
      <c r="AH39" s="203">
        <v>0</v>
      </c>
      <c r="AI39" s="204">
        <f t="shared" si="50"/>
        <v>0</v>
      </c>
      <c r="AJ39" s="205">
        <f t="shared" si="51"/>
        <v>0</v>
      </c>
      <c r="AK39" s="205">
        <f>IF(ISBLANK($AE$5),-8,0)+AE17</f>
        <v>0</v>
      </c>
      <c r="AL39" s="179">
        <f t="shared" si="52"/>
        <v>0</v>
      </c>
      <c r="AM39" s="205">
        <f t="shared" si="53"/>
        <v>0</v>
      </c>
      <c r="AN39" s="205">
        <f t="shared" si="54"/>
        <v>0</v>
      </c>
      <c r="AO39" s="205">
        <f t="shared" si="55"/>
        <v>0</v>
      </c>
      <c r="AP39" s="206">
        <f>SUM(AH39:AO39)</f>
        <v>0</v>
      </c>
      <c r="AQ39" s="69"/>
      <c r="AR39" s="919">
        <f>+X80*Q80</f>
        <v>0</v>
      </c>
      <c r="AS39" s="920"/>
      <c r="AT39" s="207">
        <f t="shared" si="58"/>
        <v>7</v>
      </c>
      <c r="AU39" s="69"/>
      <c r="AV39" s="69"/>
      <c r="AW39" s="923">
        <v>-14</v>
      </c>
      <c r="AX39" s="924"/>
    </row>
    <row r="40" spans="1:57" ht="14.1" customHeight="1">
      <c r="B40" s="91" t="str">
        <f t="shared" si="37"/>
        <v>Rafael Armas R.</v>
      </c>
      <c r="C40" s="102">
        <v>7</v>
      </c>
      <c r="D40" s="102">
        <v>17</v>
      </c>
      <c r="E40" s="102">
        <v>1</v>
      </c>
      <c r="F40" s="143">
        <f>+D40-C40-E40</f>
        <v>9</v>
      </c>
      <c r="G40" s="144"/>
      <c r="H40" s="43"/>
      <c r="I40" s="143">
        <f>+H40-G40</f>
        <v>0</v>
      </c>
      <c r="J40" s="102"/>
      <c r="K40" s="41">
        <f>+I40+F40-L40</f>
        <v>8</v>
      </c>
      <c r="L40" s="147">
        <f t="shared" si="41"/>
        <v>1</v>
      </c>
      <c r="M40" s="92">
        <v>7</v>
      </c>
      <c r="N40" s="92">
        <v>17</v>
      </c>
      <c r="O40" s="201">
        <v>1</v>
      </c>
      <c r="P40" s="202">
        <f>+N40-M40-O40</f>
        <v>9</v>
      </c>
      <c r="Q40" s="201"/>
      <c r="R40" s="174"/>
      <c r="S40" s="202">
        <f>+R40-Q40</f>
        <v>0</v>
      </c>
      <c r="T40" s="201"/>
      <c r="U40" s="41">
        <f>+S40+P40-V40</f>
        <v>8</v>
      </c>
      <c r="V40" s="209">
        <f t="shared" si="45"/>
        <v>1</v>
      </c>
      <c r="W40" s="201">
        <v>7</v>
      </c>
      <c r="X40" s="201">
        <v>23</v>
      </c>
      <c r="Y40" s="201">
        <v>1</v>
      </c>
      <c r="Z40" s="202">
        <f>+X40-W40-Y40</f>
        <v>15</v>
      </c>
      <c r="AA40" s="201"/>
      <c r="AB40" s="43"/>
      <c r="AC40" s="202">
        <f t="shared" si="47"/>
        <v>0</v>
      </c>
      <c r="AD40" s="201"/>
      <c r="AE40" s="41">
        <f>+AC40+Z40-AF40</f>
        <v>8</v>
      </c>
      <c r="AF40" s="209">
        <f t="shared" si="49"/>
        <v>7</v>
      </c>
      <c r="AG40" s="69"/>
      <c r="AH40" s="210">
        <v>0</v>
      </c>
      <c r="AI40" s="179">
        <f t="shared" si="50"/>
        <v>0</v>
      </c>
      <c r="AJ40" s="179">
        <f t="shared" si="51"/>
        <v>0</v>
      </c>
      <c r="AK40" s="211">
        <f>IF(ISBLANK($AE$5),-8,0)+AE18</f>
        <v>0</v>
      </c>
      <c r="AL40" s="179">
        <f t="shared" si="52"/>
        <v>0</v>
      </c>
      <c r="AM40" s="179">
        <f t="shared" si="53"/>
        <v>0</v>
      </c>
      <c r="AN40" s="179">
        <f t="shared" si="54"/>
        <v>0</v>
      </c>
      <c r="AO40" s="179">
        <f t="shared" si="55"/>
        <v>0</v>
      </c>
      <c r="AP40" s="180">
        <f>SUM(AH40:AO40)</f>
        <v>0</v>
      </c>
      <c r="AQ40" s="69"/>
      <c r="AR40" s="919">
        <f>+X81*Q81</f>
        <v>0</v>
      </c>
      <c r="AS40" s="920"/>
      <c r="AT40" s="207">
        <f t="shared" si="58"/>
        <v>6</v>
      </c>
      <c r="AU40" s="69"/>
      <c r="AV40" s="69"/>
      <c r="AW40" s="921"/>
      <c r="AX40" s="922"/>
    </row>
    <row r="41" spans="1:57" s="116" customFormat="1" ht="14.1" customHeight="1">
      <c r="A41" s="212"/>
      <c r="B41" s="91" t="str">
        <f t="shared" si="37"/>
        <v>Jose Ochoa I.</v>
      </c>
      <c r="C41" s="102">
        <v>7</v>
      </c>
      <c r="D41" s="102">
        <v>16</v>
      </c>
      <c r="E41" s="102">
        <v>1</v>
      </c>
      <c r="F41" s="143">
        <f>+D41-C41-E41</f>
        <v>8</v>
      </c>
      <c r="G41" s="144"/>
      <c r="H41" s="43"/>
      <c r="I41" s="143">
        <f>+H41-G41</f>
        <v>0</v>
      </c>
      <c r="J41" s="102"/>
      <c r="K41" s="41">
        <f>+I41+F41-L41</f>
        <v>8</v>
      </c>
      <c r="L41" s="147">
        <f t="shared" si="41"/>
        <v>0</v>
      </c>
      <c r="M41" s="213">
        <v>7</v>
      </c>
      <c r="N41" s="201">
        <v>17</v>
      </c>
      <c r="O41" s="201">
        <v>1</v>
      </c>
      <c r="P41" s="202">
        <f>+N41-M41-O41</f>
        <v>9</v>
      </c>
      <c r="Q41" s="214"/>
      <c r="R41" s="189"/>
      <c r="S41" s="202">
        <f>+R41-Q41</f>
        <v>0</v>
      </c>
      <c r="T41" s="201"/>
      <c r="U41" s="41">
        <f>+S41+P41-V41</f>
        <v>8</v>
      </c>
      <c r="V41" s="209">
        <f t="shared" si="45"/>
        <v>1</v>
      </c>
      <c r="W41" s="201">
        <v>7</v>
      </c>
      <c r="X41" s="201">
        <v>17</v>
      </c>
      <c r="Y41" s="201">
        <v>1</v>
      </c>
      <c r="Z41" s="202">
        <f>+X41-W41-Y41</f>
        <v>9</v>
      </c>
      <c r="AA41" s="201"/>
      <c r="AB41" s="215"/>
      <c r="AC41" s="202">
        <f t="shared" si="47"/>
        <v>0</v>
      </c>
      <c r="AD41" s="201"/>
      <c r="AE41" s="41">
        <f>+AC41+Z41-AF41</f>
        <v>8</v>
      </c>
      <c r="AF41" s="209">
        <f t="shared" si="49"/>
        <v>1</v>
      </c>
      <c r="AG41" s="69"/>
      <c r="AH41" s="216">
        <v>0</v>
      </c>
      <c r="AI41" s="217">
        <f>+K22+(IF(ISBLANK($K$5),-8,0))</f>
        <v>0</v>
      </c>
      <c r="AJ41" s="217">
        <f>IF(ISBLANK($U$5),-8,0)+U22</f>
        <v>0</v>
      </c>
      <c r="AK41" s="217">
        <f>IF(ISBLANK($AE$5),-8,0)+AE22</f>
        <v>-8</v>
      </c>
      <c r="AL41" s="217">
        <f t="shared" si="52"/>
        <v>0</v>
      </c>
      <c r="AM41" s="217">
        <f t="shared" si="53"/>
        <v>0</v>
      </c>
      <c r="AN41" s="217">
        <f t="shared" si="54"/>
        <v>0</v>
      </c>
      <c r="AO41" s="217">
        <f t="shared" si="55"/>
        <v>0</v>
      </c>
      <c r="AP41" s="218">
        <f>SUM(AH41:AO41)</f>
        <v>-8</v>
      </c>
      <c r="AQ41" s="69"/>
      <c r="AR41" s="919">
        <f>+X82*Q82</f>
        <v>0</v>
      </c>
      <c r="AS41" s="920"/>
      <c r="AT41" s="207">
        <f t="shared" si="58"/>
        <v>7</v>
      </c>
      <c r="AU41" s="69"/>
      <c r="AV41" s="69"/>
      <c r="AW41" s="930">
        <v>-16</v>
      </c>
      <c r="AX41" s="931"/>
    </row>
    <row r="42" spans="1:57" s="116" customFormat="1" ht="14.1" customHeight="1">
      <c r="A42" s="212"/>
      <c r="B42" s="91" t="str">
        <f t="shared" si="37"/>
        <v>Jairo Mirabal</v>
      </c>
      <c r="C42" s="102">
        <v>7</v>
      </c>
      <c r="D42" s="102">
        <v>16</v>
      </c>
      <c r="E42" s="102">
        <v>1</v>
      </c>
      <c r="F42" s="143">
        <f>+D42-C42-E42</f>
        <v>8</v>
      </c>
      <c r="G42" s="144"/>
      <c r="H42" s="43"/>
      <c r="I42" s="143">
        <f>+H42-G42</f>
        <v>0</v>
      </c>
      <c r="J42" s="102"/>
      <c r="K42" s="41">
        <f>+I42+F42-L42</f>
        <v>8</v>
      </c>
      <c r="L42" s="147">
        <f>IF(C42&gt;0,(F42+I42)+IF(K$27&gt;0,F42,-8),0)+IF(U$27&gt;0,I42,0)</f>
        <v>0</v>
      </c>
      <c r="M42" s="213">
        <v>7</v>
      </c>
      <c r="N42" s="201">
        <v>16</v>
      </c>
      <c r="O42" s="201">
        <v>1</v>
      </c>
      <c r="P42" s="202">
        <f>+N42-M42-O42</f>
        <v>8</v>
      </c>
      <c r="Q42" s="214"/>
      <c r="R42" s="189"/>
      <c r="S42" s="202">
        <f>+R42-Q42</f>
        <v>0</v>
      </c>
      <c r="T42" s="201"/>
      <c r="U42" s="41">
        <f>+S42+P42-V42</f>
        <v>8</v>
      </c>
      <c r="V42" s="209">
        <f>IF(M42&gt;0,(P42+S42)+IF(U$27&gt;0,P42,-8),0)+IF(AE$27&gt;0,S42,0)</f>
        <v>0</v>
      </c>
      <c r="W42" s="201">
        <v>7</v>
      </c>
      <c r="X42" s="201">
        <v>16</v>
      </c>
      <c r="Y42" s="201">
        <v>1</v>
      </c>
      <c r="Z42" s="202">
        <f>+X42-W42-Y42</f>
        <v>8</v>
      </c>
      <c r="AA42" s="201"/>
      <c r="AB42" s="219"/>
      <c r="AC42" s="202">
        <f t="shared" si="47"/>
        <v>0</v>
      </c>
      <c r="AD42" s="201"/>
      <c r="AE42" s="41">
        <f>+AC42+Z42-AF42</f>
        <v>8</v>
      </c>
      <c r="AF42" s="209">
        <f>IF(W42&gt;0,(Z42+AC42)+IF(AE$27&gt;0,0+Z42,-8),0)</f>
        <v>0</v>
      </c>
      <c r="AG42" s="69"/>
      <c r="AH42" s="216">
        <v>0</v>
      </c>
      <c r="AI42" s="217">
        <f>+K19+(IF(ISBLANK($K$5),-8,0))</f>
        <v>0</v>
      </c>
      <c r="AJ42" s="217">
        <f>IF(ISBLANK($U$5),-8,0)+U19</f>
        <v>0</v>
      </c>
      <c r="AK42" s="217">
        <f>IF(ISBLANK($AE$5),-8,0)+AE19</f>
        <v>0</v>
      </c>
      <c r="AL42" s="217">
        <f t="shared" si="52"/>
        <v>0</v>
      </c>
      <c r="AM42" s="217">
        <f t="shared" si="53"/>
        <v>0</v>
      </c>
      <c r="AN42" s="217">
        <f t="shared" si="54"/>
        <v>0</v>
      </c>
      <c r="AO42" s="217">
        <f t="shared" si="55"/>
        <v>0</v>
      </c>
      <c r="AP42" s="218">
        <f>SUM(AH42:AO42)</f>
        <v>0</v>
      </c>
      <c r="AQ42" s="69"/>
      <c r="AR42" s="928">
        <f>+X83*Q83</f>
        <v>0</v>
      </c>
      <c r="AS42" s="929"/>
      <c r="AT42" s="207">
        <f t="shared" si="58"/>
        <v>7</v>
      </c>
      <c r="AU42" s="69"/>
      <c r="AV42" s="69"/>
      <c r="AW42" s="930">
        <v>-16</v>
      </c>
      <c r="AX42" s="931"/>
    </row>
    <row r="43" spans="1:57" ht="14.1" customHeight="1" thickBot="1">
      <c r="B43" s="118" t="str">
        <f t="shared" si="37"/>
        <v>Pedro Hostos S.</v>
      </c>
      <c r="C43" s="119"/>
      <c r="D43" s="119"/>
      <c r="E43" s="119"/>
      <c r="F43" s="120">
        <f t="shared" si="38"/>
        <v>0</v>
      </c>
      <c r="G43" s="121"/>
      <c r="H43" s="121"/>
      <c r="I43" s="120">
        <f t="shared" si="39"/>
        <v>0</v>
      </c>
      <c r="J43" s="119"/>
      <c r="K43" s="120">
        <f t="shared" si="40"/>
        <v>0</v>
      </c>
      <c r="L43" s="122">
        <f t="shared" si="41"/>
        <v>0</v>
      </c>
      <c r="M43" s="119"/>
      <c r="N43" s="119"/>
      <c r="O43" s="119"/>
      <c r="P43" s="120">
        <f t="shared" si="42"/>
        <v>0</v>
      </c>
      <c r="Q43" s="121"/>
      <c r="R43" s="220"/>
      <c r="S43" s="120">
        <f t="shared" si="43"/>
        <v>0</v>
      </c>
      <c r="T43" s="119"/>
      <c r="U43" s="120">
        <f t="shared" si="44"/>
        <v>0</v>
      </c>
      <c r="V43" s="122">
        <f t="shared" si="45"/>
        <v>0</v>
      </c>
      <c r="W43" s="119">
        <v>7</v>
      </c>
      <c r="X43" s="119">
        <v>16</v>
      </c>
      <c r="Y43" s="119">
        <v>1</v>
      </c>
      <c r="Z43" s="120">
        <f t="shared" si="46"/>
        <v>8</v>
      </c>
      <c r="AA43" s="121"/>
      <c r="AB43" s="121"/>
      <c r="AC43" s="120">
        <f t="shared" si="47"/>
        <v>0</v>
      </c>
      <c r="AD43" s="119"/>
      <c r="AE43" s="120">
        <f t="shared" si="48"/>
        <v>8</v>
      </c>
      <c r="AF43" s="122">
        <f t="shared" si="49"/>
        <v>0</v>
      </c>
      <c r="AG43" s="221"/>
      <c r="AH43" s="222">
        <v>0</v>
      </c>
      <c r="AI43" s="223">
        <f>+K21+(IF(ISBLANK($K$5),-8,0))</f>
        <v>0</v>
      </c>
      <c r="AJ43" s="223">
        <f>IF(ISBLANK($U$5),-8,0)+U21</f>
        <v>0</v>
      </c>
      <c r="AK43" s="223">
        <f>IF(ISBLANK($AE$5),-8,0)+AE21</f>
        <v>0</v>
      </c>
      <c r="AL43" s="223">
        <f t="shared" si="52"/>
        <v>0</v>
      </c>
      <c r="AM43" s="223">
        <f t="shared" si="53"/>
        <v>-8</v>
      </c>
      <c r="AN43" s="223">
        <f t="shared" si="54"/>
        <v>-8</v>
      </c>
      <c r="AO43" s="223">
        <f t="shared" si="55"/>
        <v>0</v>
      </c>
      <c r="AP43" s="224">
        <f t="shared" si="56"/>
        <v>-16</v>
      </c>
      <c r="AQ43" s="69"/>
      <c r="AR43" s="932">
        <f>+X85*Q85</f>
        <v>0</v>
      </c>
      <c r="AS43" s="933"/>
      <c r="AT43" s="225">
        <f t="shared" si="58"/>
        <v>4</v>
      </c>
      <c r="AU43" s="69"/>
      <c r="AV43" s="69"/>
      <c r="AW43" s="934"/>
      <c r="AX43" s="935"/>
    </row>
    <row r="44" spans="1:57" ht="14.1" customHeight="1" thickTop="1">
      <c r="B44" s="39" t="str">
        <f t="shared" si="37"/>
        <v>Miguel Tejada Ll.</v>
      </c>
      <c r="C44" s="56">
        <v>7</v>
      </c>
      <c r="D44" s="43">
        <v>16</v>
      </c>
      <c r="E44" s="54">
        <v>1</v>
      </c>
      <c r="F44" s="53">
        <f>+D44-C44-E44</f>
        <v>8</v>
      </c>
      <c r="G44" s="43"/>
      <c r="H44" s="22"/>
      <c r="I44" s="53">
        <f>+H44-G44</f>
        <v>0</v>
      </c>
      <c r="J44" s="54"/>
      <c r="K44" s="55">
        <f>+I44+F44-L44</f>
        <v>8</v>
      </c>
      <c r="L44" s="135">
        <f t="shared" si="41"/>
        <v>0</v>
      </c>
      <c r="M44" s="56">
        <v>7</v>
      </c>
      <c r="N44" s="43">
        <v>12</v>
      </c>
      <c r="O44" s="54">
        <v>0</v>
      </c>
      <c r="P44" s="53">
        <f>+N44-M44-O44</f>
        <v>5</v>
      </c>
      <c r="Q44" s="117"/>
      <c r="R44" s="226"/>
      <c r="S44" s="53">
        <f>+R44-Q44</f>
        <v>0</v>
      </c>
      <c r="T44" s="54"/>
      <c r="U44" s="55">
        <f>+S44+P44-V44</f>
        <v>8</v>
      </c>
      <c r="V44" s="135">
        <f t="shared" si="45"/>
        <v>-3</v>
      </c>
      <c r="W44" s="56">
        <v>8</v>
      </c>
      <c r="X44" s="43">
        <v>17</v>
      </c>
      <c r="Y44" s="54">
        <v>1</v>
      </c>
      <c r="Z44" s="53">
        <f>+X44-W44-Y44</f>
        <v>8</v>
      </c>
      <c r="AA44" s="43"/>
      <c r="AB44" s="64"/>
      <c r="AC44" s="53">
        <f>+AB44-AA44</f>
        <v>0</v>
      </c>
      <c r="AD44" s="54"/>
      <c r="AE44" s="55">
        <f>+AC44+Z44-AF44</f>
        <v>8</v>
      </c>
      <c r="AF44" s="135">
        <f t="shared" si="49"/>
        <v>0</v>
      </c>
      <c r="AG44" s="69"/>
      <c r="AH44" s="178">
        <v>0</v>
      </c>
      <c r="AI44" s="179">
        <f t="shared" ref="AI44:AI47" si="59">+K22+(IF(ISBLANK($K$5),-8,0))</f>
        <v>0</v>
      </c>
      <c r="AJ44" s="179">
        <f t="shared" ref="AJ44:AJ47" si="60">IF(ISBLANK($U$5),-8,0)+U22</f>
        <v>0</v>
      </c>
      <c r="AK44" s="179">
        <f t="shared" ref="AK44:AK47" si="61">IF(ISBLANK($AE$5),-8,0)+AE22</f>
        <v>-8</v>
      </c>
      <c r="AL44" s="179">
        <f t="shared" si="52"/>
        <v>0</v>
      </c>
      <c r="AM44" s="179">
        <f t="shared" si="53"/>
        <v>0</v>
      </c>
      <c r="AN44" s="179">
        <f t="shared" si="54"/>
        <v>0</v>
      </c>
      <c r="AO44" s="179">
        <f t="shared" si="55"/>
        <v>0</v>
      </c>
      <c r="AP44" s="180">
        <f t="shared" si="56"/>
        <v>-8</v>
      </c>
      <c r="AQ44" s="69"/>
      <c r="AR44" s="919">
        <f>+X87*Q87</f>
        <v>0</v>
      </c>
      <c r="AS44" s="920"/>
      <c r="AT44" s="227">
        <f>IF(K22+L22&gt;0,1,0)+IF(U22+V22&gt;0,1,0)+IF(AE22+AF22&gt;0,1,0)+IF(AO22&gt;3,1,0)+IF(K44+L44&gt;0,1,0)+IF(U44+V44&gt;0,1,0)+IF(AE44+AF44&gt;0,1,0)</f>
        <v>5</v>
      </c>
      <c r="AU44" s="69"/>
      <c r="AV44" s="69"/>
      <c r="AW44" s="921"/>
      <c r="AX44" s="922"/>
    </row>
    <row r="45" spans="1:57" ht="14.1" customHeight="1">
      <c r="B45" s="39" t="str">
        <f t="shared" si="37"/>
        <v>Pier Alejos A.</v>
      </c>
      <c r="C45" s="56">
        <v>7</v>
      </c>
      <c r="D45" s="43">
        <v>17</v>
      </c>
      <c r="E45" s="54">
        <v>1</v>
      </c>
      <c r="F45" s="53">
        <f>+D45-C45-E45</f>
        <v>9</v>
      </c>
      <c r="G45" s="43"/>
      <c r="H45" s="228"/>
      <c r="I45" s="53">
        <f>+H45-G45</f>
        <v>0</v>
      </c>
      <c r="J45" s="54"/>
      <c r="K45" s="55">
        <f>+I45+F45-L45</f>
        <v>8</v>
      </c>
      <c r="L45" s="135">
        <f t="shared" si="41"/>
        <v>1</v>
      </c>
      <c r="M45" s="56">
        <v>7</v>
      </c>
      <c r="N45" s="201">
        <v>17</v>
      </c>
      <c r="O45" s="54">
        <v>1</v>
      </c>
      <c r="P45" s="53">
        <f>+N45-M45-O45</f>
        <v>9</v>
      </c>
      <c r="Q45" s="117"/>
      <c r="R45" s="226"/>
      <c r="S45" s="53">
        <f>+R45-Q45</f>
        <v>0</v>
      </c>
      <c r="T45" s="54"/>
      <c r="U45" s="55">
        <f>+S45+P45-V45</f>
        <v>8</v>
      </c>
      <c r="V45" s="135">
        <f t="shared" si="45"/>
        <v>1</v>
      </c>
      <c r="W45" s="56">
        <v>8</v>
      </c>
      <c r="X45" s="43">
        <v>24</v>
      </c>
      <c r="Y45" s="54">
        <v>2</v>
      </c>
      <c r="Z45" s="53">
        <f>+X45-W45-Y45</f>
        <v>14</v>
      </c>
      <c r="AA45" s="43"/>
      <c r="AB45" s="64"/>
      <c r="AC45" s="53">
        <f>+AB45-AA45</f>
        <v>0</v>
      </c>
      <c r="AD45" s="54"/>
      <c r="AE45" s="55">
        <f>+AC45+Z45-AF45</f>
        <v>8</v>
      </c>
      <c r="AF45" s="135">
        <f t="shared" si="49"/>
        <v>6</v>
      </c>
      <c r="AG45" s="69"/>
      <c r="AH45" s="178">
        <v>0</v>
      </c>
      <c r="AI45" s="179">
        <f t="shared" si="59"/>
        <v>0</v>
      </c>
      <c r="AJ45" s="179">
        <f t="shared" si="60"/>
        <v>0</v>
      </c>
      <c r="AK45" s="179">
        <f t="shared" si="61"/>
        <v>0</v>
      </c>
      <c r="AL45" s="179">
        <f t="shared" si="52"/>
        <v>0</v>
      </c>
      <c r="AM45" s="179">
        <f t="shared" si="53"/>
        <v>0</v>
      </c>
      <c r="AN45" s="179">
        <f t="shared" si="54"/>
        <v>0</v>
      </c>
      <c r="AO45" s="179">
        <f t="shared" si="55"/>
        <v>0</v>
      </c>
      <c r="AP45" s="180">
        <f t="shared" si="56"/>
        <v>0</v>
      </c>
      <c r="AQ45" s="69"/>
      <c r="AR45" s="919">
        <f>+X88*Q88</f>
        <v>0</v>
      </c>
      <c r="AS45" s="920"/>
      <c r="AT45" s="230">
        <f>IF(K23+L23&gt;0,1,0)+IF(U23+V23&gt;0,1,0)+IF(AE23+AF23&gt;0,1,0)+IF(AO23&gt;3,1,0)+IF(K45+L45&gt;0,1,0)+IF(U45+V45&gt;0,1,0)+IF(AE45+AF45&gt;0,1,0)</f>
        <v>6</v>
      </c>
      <c r="AU45" s="69"/>
      <c r="AV45" s="69"/>
      <c r="AW45" s="921"/>
      <c r="AX45" s="922"/>
    </row>
    <row r="46" spans="1:57" s="116" customFormat="1" ht="14.1" customHeight="1">
      <c r="A46" s="212"/>
      <c r="B46" s="142" t="str">
        <f t="shared" si="37"/>
        <v>Angel Colina N.</v>
      </c>
      <c r="C46" s="102"/>
      <c r="D46" s="102"/>
      <c r="E46" s="102"/>
      <c r="F46" s="143">
        <f>+D46-C46-E46</f>
        <v>0</v>
      </c>
      <c r="G46" s="144"/>
      <c r="H46" s="144"/>
      <c r="I46" s="143">
        <f>+H46-G46</f>
        <v>0</v>
      </c>
      <c r="J46" s="102"/>
      <c r="K46" s="41">
        <f>+I46+F46-L46</f>
        <v>0</v>
      </c>
      <c r="L46" s="147">
        <f t="shared" si="41"/>
        <v>0</v>
      </c>
      <c r="M46" s="201"/>
      <c r="N46" s="201"/>
      <c r="O46" s="201"/>
      <c r="P46" s="202">
        <f>+N46-M46-O46</f>
        <v>0</v>
      </c>
      <c r="Q46" s="214"/>
      <c r="R46" s="189"/>
      <c r="S46" s="202">
        <f>+R46-Q46</f>
        <v>0</v>
      </c>
      <c r="T46" s="201"/>
      <c r="U46" s="41">
        <f>+S46+P46-V46</f>
        <v>0</v>
      </c>
      <c r="V46" s="209">
        <f t="shared" si="45"/>
        <v>0</v>
      </c>
      <c r="W46" s="201">
        <v>7</v>
      </c>
      <c r="X46" s="201">
        <v>17</v>
      </c>
      <c r="Y46" s="201">
        <v>1</v>
      </c>
      <c r="Z46" s="202">
        <f>+X46-W46-Y46</f>
        <v>9</v>
      </c>
      <c r="AA46" s="201"/>
      <c r="AB46" s="219"/>
      <c r="AC46" s="202">
        <f>+AB46-AA46</f>
        <v>0</v>
      </c>
      <c r="AD46" s="201"/>
      <c r="AE46" s="41">
        <f>+AC46+Z46-AF46</f>
        <v>8</v>
      </c>
      <c r="AF46" s="209">
        <f t="shared" si="49"/>
        <v>1</v>
      </c>
      <c r="AG46" s="69"/>
      <c r="AH46" s="216">
        <v>0</v>
      </c>
      <c r="AI46" s="217">
        <f t="shared" si="59"/>
        <v>0</v>
      </c>
      <c r="AJ46" s="217">
        <f t="shared" si="60"/>
        <v>0</v>
      </c>
      <c r="AK46" s="217">
        <f t="shared" si="61"/>
        <v>0</v>
      </c>
      <c r="AL46" s="217">
        <f t="shared" si="52"/>
        <v>0</v>
      </c>
      <c r="AM46" s="217">
        <f t="shared" si="53"/>
        <v>-8</v>
      </c>
      <c r="AN46" s="217">
        <f t="shared" si="54"/>
        <v>-8</v>
      </c>
      <c r="AO46" s="217">
        <f t="shared" si="55"/>
        <v>0</v>
      </c>
      <c r="AP46" s="218">
        <f t="shared" si="56"/>
        <v>-16</v>
      </c>
      <c r="AQ46" s="69"/>
      <c r="AR46" s="928">
        <f t="shared" ref="AR46:AR47" si="62">+X88*Q88</f>
        <v>0</v>
      </c>
      <c r="AS46" s="929"/>
      <c r="AT46" s="207">
        <f>IF(K24+L24&gt;0,1,0)+IF(U24+V24&gt;0,1,0)+IF(AE24+AF24&gt;0,1,0)+IF(AO24&gt;3,1,0)+IF(K46+L46&gt;0,1,0)+IF(U46+V46&gt;0,1,0)+IF(AE46+AF46&gt;0,1,0)</f>
        <v>4</v>
      </c>
      <c r="AU46" s="69"/>
      <c r="AV46" s="69"/>
      <c r="AW46" s="930"/>
      <c r="AX46" s="931"/>
    </row>
    <row r="47" spans="1:57" ht="14.1" customHeight="1" thickBot="1">
      <c r="B47" s="152" t="str">
        <f t="shared" si="37"/>
        <v>Jose Lares P.</v>
      </c>
      <c r="C47" s="231">
        <v>7</v>
      </c>
      <c r="D47" s="232">
        <v>16</v>
      </c>
      <c r="E47" s="233">
        <v>1</v>
      </c>
      <c r="F47" s="234">
        <f t="shared" si="38"/>
        <v>8</v>
      </c>
      <c r="G47" s="232"/>
      <c r="H47" s="232"/>
      <c r="I47" s="234">
        <f t="shared" si="39"/>
        <v>0</v>
      </c>
      <c r="J47" s="233"/>
      <c r="K47" s="235">
        <f t="shared" si="40"/>
        <v>8</v>
      </c>
      <c r="L47" s="236">
        <f t="shared" si="41"/>
        <v>0</v>
      </c>
      <c r="M47" s="232">
        <v>7</v>
      </c>
      <c r="N47" s="232">
        <v>16</v>
      </c>
      <c r="O47" s="233">
        <v>1</v>
      </c>
      <c r="P47" s="234">
        <f t="shared" si="42"/>
        <v>8</v>
      </c>
      <c r="Q47" s="237"/>
      <c r="R47" s="238"/>
      <c r="S47" s="234">
        <f t="shared" si="43"/>
        <v>0</v>
      </c>
      <c r="T47" s="233"/>
      <c r="U47" s="235">
        <f t="shared" si="44"/>
        <v>8</v>
      </c>
      <c r="V47" s="236">
        <f t="shared" si="45"/>
        <v>0</v>
      </c>
      <c r="W47" s="231">
        <v>7</v>
      </c>
      <c r="X47" s="232">
        <v>16</v>
      </c>
      <c r="Y47" s="233">
        <v>1</v>
      </c>
      <c r="Z47" s="234">
        <f t="shared" si="46"/>
        <v>8</v>
      </c>
      <c r="AA47" s="232"/>
      <c r="AB47" s="232"/>
      <c r="AC47" s="234">
        <f t="shared" si="47"/>
        <v>0</v>
      </c>
      <c r="AD47" s="233"/>
      <c r="AE47" s="235">
        <f t="shared" si="48"/>
        <v>8</v>
      </c>
      <c r="AF47" s="236">
        <f t="shared" si="49"/>
        <v>0</v>
      </c>
      <c r="AG47" s="69"/>
      <c r="AH47" s="178">
        <v>0</v>
      </c>
      <c r="AI47" s="179">
        <f t="shared" si="59"/>
        <v>0</v>
      </c>
      <c r="AJ47" s="179">
        <f t="shared" si="60"/>
        <v>0</v>
      </c>
      <c r="AK47" s="179">
        <f t="shared" si="61"/>
        <v>0</v>
      </c>
      <c r="AL47" s="179">
        <f t="shared" si="52"/>
        <v>0</v>
      </c>
      <c r="AM47" s="179">
        <f t="shared" si="53"/>
        <v>0</v>
      </c>
      <c r="AN47" s="179">
        <f t="shared" si="54"/>
        <v>0</v>
      </c>
      <c r="AO47" s="179">
        <f t="shared" si="55"/>
        <v>0</v>
      </c>
      <c r="AP47" s="180">
        <f t="shared" si="56"/>
        <v>0</v>
      </c>
      <c r="AQ47" s="69"/>
      <c r="AR47" s="919">
        <f t="shared" si="62"/>
        <v>0</v>
      </c>
      <c r="AS47" s="920"/>
      <c r="AT47" s="187">
        <f>IF(K25+L25&gt;0,1,0)+IF(U25+V25&gt;0,1,0)+IF(AE25+AF25&gt;0,1,0)+IF(AO25&gt;3,1,0)+IF(K47+L47&gt;0,1,0)+IF(U47+V47&gt;0,1,0)+IF(AE47+AF47&gt;0,1,0)</f>
        <v>6</v>
      </c>
      <c r="AU47" s="69"/>
      <c r="AV47" s="69"/>
      <c r="AW47" s="921"/>
      <c r="AX47" s="922"/>
    </row>
    <row r="48" spans="1:57" ht="14.1" customHeight="1">
      <c r="B48" s="239"/>
      <c r="C48" s="240"/>
      <c r="O48" s="241"/>
      <c r="P48" s="242"/>
      <c r="Q48" s="243"/>
      <c r="R48" s="243"/>
      <c r="S48" s="242"/>
      <c r="T48" s="241"/>
      <c r="U48" s="244"/>
      <c r="V48" s="245"/>
      <c r="W48" s="69"/>
      <c r="X48" s="246"/>
      <c r="Y48" s="247"/>
      <c r="Z48" s="248"/>
      <c r="AA48" s="249"/>
      <c r="AH48" s="250"/>
      <c r="AP48" s="250"/>
      <c r="AR48" s="936">
        <f>SUM(AP11:AQ25)</f>
        <v>103</v>
      </c>
      <c r="AS48" s="937"/>
      <c r="AT48" s="251">
        <f>SUM(AT33:AT47)</f>
        <v>74</v>
      </c>
    </row>
    <row r="49" spans="1:58" ht="10.15" customHeight="1">
      <c r="B49" s="239"/>
      <c r="O49" s="241"/>
      <c r="P49" s="242"/>
      <c r="Q49" s="243"/>
      <c r="R49" s="243"/>
      <c r="S49" s="242"/>
      <c r="T49" s="241"/>
      <c r="U49" s="244"/>
      <c r="V49" s="244"/>
      <c r="W49" s="69"/>
      <c r="X49" s="246"/>
      <c r="Y49" s="247"/>
      <c r="Z49" s="248"/>
      <c r="AA49" s="249"/>
      <c r="AW49" s="938">
        <f>SUM(AW33:AX47)*-1</f>
        <v>74</v>
      </c>
      <c r="AX49" s="939"/>
    </row>
    <row r="50" spans="1:58" ht="14.1" customHeight="1">
      <c r="C50" s="240" t="s">
        <v>25</v>
      </c>
      <c r="E50" s="252"/>
      <c r="O50" s="241"/>
      <c r="P50" s="242"/>
      <c r="Q50" s="243"/>
      <c r="R50" s="243"/>
      <c r="S50" s="242"/>
      <c r="T50" s="241"/>
      <c r="U50" s="244"/>
      <c r="V50" s="244"/>
      <c r="W50" s="69"/>
      <c r="X50" s="246"/>
      <c r="Y50" s="247"/>
      <c r="Z50" s="248"/>
      <c r="AA50" s="249"/>
      <c r="AC50" s="253" t="s">
        <v>26</v>
      </c>
      <c r="AD50" s="254"/>
      <c r="AE50" s="254"/>
      <c r="AF50" s="254"/>
      <c r="AG50" s="254"/>
      <c r="AH50" s="254"/>
      <c r="AI50" s="254"/>
      <c r="AJ50" s="254"/>
      <c r="AK50" s="254"/>
      <c r="AL50" s="254"/>
      <c r="AM50" s="253" t="s">
        <v>27</v>
      </c>
      <c r="AO50" s="255"/>
      <c r="AW50" s="940"/>
      <c r="AX50" s="941"/>
    </row>
    <row r="51" spans="1:58" ht="14.1" customHeight="1">
      <c r="C51" s="240"/>
      <c r="D51" s="256"/>
      <c r="E51" s="252"/>
      <c r="O51" s="241"/>
      <c r="P51" s="242"/>
      <c r="Q51" s="243"/>
      <c r="R51" s="243"/>
      <c r="S51" s="242"/>
      <c r="T51" s="241"/>
      <c r="U51" s="244"/>
      <c r="V51" s="244"/>
      <c r="W51" s="69"/>
      <c r="X51" s="246"/>
      <c r="Y51" s="247"/>
      <c r="Z51" s="248"/>
      <c r="AA51" s="249"/>
      <c r="AC51" s="253"/>
      <c r="AD51" s="254"/>
      <c r="AE51" s="254"/>
      <c r="AF51" s="254"/>
      <c r="AG51" s="254"/>
      <c r="AH51" s="254"/>
      <c r="AI51" s="254"/>
      <c r="AJ51" s="254"/>
      <c r="AK51" s="254"/>
      <c r="AL51" s="254"/>
      <c r="AM51" s="253"/>
      <c r="AO51" s="255"/>
      <c r="AW51" s="257"/>
      <c r="AX51" s="257"/>
    </row>
    <row r="52" spans="1:58" ht="14.1" customHeight="1">
      <c r="D52" s="258">
        <v>915</v>
      </c>
      <c r="E52" s="259">
        <v>1545</v>
      </c>
      <c r="F52" s="260"/>
      <c r="G52" s="258"/>
      <c r="H52" s="258"/>
      <c r="I52" s="260"/>
      <c r="J52" s="258"/>
      <c r="K52" s="261"/>
      <c r="L52" s="261"/>
      <c r="M52" s="258">
        <v>847</v>
      </c>
      <c r="N52" s="258">
        <v>1520</v>
      </c>
      <c r="O52" s="262"/>
      <c r="P52" s="263"/>
      <c r="Q52" s="264"/>
      <c r="R52" s="264"/>
      <c r="S52" s="263"/>
      <c r="T52" s="262"/>
      <c r="U52" s="265"/>
      <c r="V52" s="265"/>
      <c r="W52" s="266">
        <v>720</v>
      </c>
      <c r="X52" s="266">
        <v>1615</v>
      </c>
      <c r="Y52" s="247"/>
      <c r="Z52" s="248"/>
      <c r="AA52" s="249"/>
      <c r="AC52" s="253"/>
      <c r="AD52" s="254"/>
      <c r="AE52" s="254"/>
      <c r="AF52" s="254"/>
      <c r="AG52" s="254"/>
      <c r="AH52" s="254"/>
      <c r="AI52" s="254"/>
      <c r="AJ52" s="254"/>
      <c r="AK52" s="254"/>
      <c r="AL52" s="254"/>
      <c r="AM52" s="253"/>
      <c r="AO52" s="255"/>
      <c r="AW52" s="257"/>
      <c r="AX52" s="257"/>
    </row>
    <row r="53" spans="1:58" ht="14.1" customHeight="1">
      <c r="O53" s="241"/>
      <c r="P53" s="242"/>
      <c r="Q53" s="243"/>
      <c r="R53" s="243"/>
      <c r="S53" s="242"/>
      <c r="T53" s="241"/>
      <c r="U53" s="244"/>
      <c r="V53" s="244"/>
      <c r="W53" s="69"/>
      <c r="X53" s="246"/>
      <c r="Y53" s="247"/>
      <c r="Z53" s="248"/>
      <c r="AA53" s="249"/>
      <c r="AC53" s="253"/>
      <c r="AD53" s="254"/>
      <c r="AE53" s="254"/>
      <c r="AF53" s="254"/>
      <c r="AG53" s="254"/>
      <c r="AH53" s="254"/>
      <c r="AI53" s="254"/>
      <c r="AJ53" s="254"/>
      <c r="AK53" s="254"/>
      <c r="AL53" s="254"/>
      <c r="AM53" s="253"/>
      <c r="AO53" s="255"/>
      <c r="AW53" s="257"/>
      <c r="AX53" s="257"/>
    </row>
    <row r="54" spans="1:58" ht="14.1" customHeight="1">
      <c r="O54" s="241"/>
      <c r="P54" s="242"/>
      <c r="Q54" s="243"/>
      <c r="R54" s="243"/>
      <c r="S54" s="242"/>
      <c r="T54" s="241"/>
      <c r="U54" s="244"/>
      <c r="V54" s="244"/>
      <c r="W54" s="69"/>
      <c r="X54" s="246"/>
      <c r="Y54" s="247"/>
      <c r="Z54" s="248"/>
      <c r="AA54" s="249"/>
      <c r="AC54" s="253"/>
      <c r="AD54" s="254"/>
      <c r="AE54" s="254"/>
      <c r="AF54" s="254"/>
      <c r="AG54" s="254"/>
      <c r="AH54" s="254"/>
      <c r="AI54" s="254"/>
      <c r="AJ54" s="254"/>
      <c r="AK54" s="254"/>
      <c r="AL54" s="254"/>
      <c r="AM54" s="253"/>
      <c r="AO54" s="255"/>
      <c r="AW54" s="257"/>
      <c r="AX54" s="257"/>
    </row>
    <row r="55" spans="1:58" ht="14.1" customHeight="1" thickBot="1">
      <c r="O55" s="241"/>
      <c r="P55" s="242"/>
      <c r="Q55" s="243"/>
      <c r="R55" s="243"/>
      <c r="S55" s="242"/>
      <c r="T55" s="241"/>
      <c r="U55" s="244"/>
      <c r="V55" s="244"/>
      <c r="W55" s="69"/>
      <c r="X55" s="246"/>
      <c r="Y55" s="247"/>
      <c r="Z55" s="248"/>
      <c r="AA55" s="249"/>
      <c r="AC55" s="253"/>
      <c r="AD55" s="254"/>
      <c r="AE55" s="254"/>
      <c r="AF55" s="254"/>
      <c r="AG55" s="254"/>
      <c r="AH55" s="254"/>
      <c r="AI55" s="254"/>
      <c r="AJ55" s="254"/>
      <c r="AK55" s="254"/>
      <c r="AL55" s="254"/>
      <c r="AM55" s="253"/>
      <c r="AO55" s="255"/>
      <c r="AW55" s="257"/>
      <c r="AX55" s="257"/>
    </row>
    <row r="56" spans="1:58" ht="6.95" customHeight="1">
      <c r="C56" s="955">
        <f>+C5</f>
        <v>43839</v>
      </c>
      <c r="D56" s="744"/>
      <c r="E56" s="744"/>
      <c r="F56" s="744"/>
      <c r="G56" s="744"/>
      <c r="H56" s="744"/>
      <c r="I56" s="744"/>
      <c r="J56" s="744"/>
      <c r="K56" s="971"/>
      <c r="L56" s="972"/>
      <c r="M56" s="744">
        <f>1+C56</f>
        <v>43840</v>
      </c>
      <c r="N56" s="744"/>
      <c r="O56" s="744"/>
      <c r="P56" s="744"/>
      <c r="Q56" s="744"/>
      <c r="R56" s="744"/>
      <c r="S56" s="744"/>
      <c r="T56" s="744"/>
      <c r="U56" s="967"/>
      <c r="V56" s="968"/>
      <c r="W56" s="975">
        <f>1+M56</f>
        <v>43841</v>
      </c>
      <c r="X56" s="976"/>
      <c r="Y56" s="976"/>
      <c r="Z56" s="976"/>
      <c r="AA56" s="976"/>
      <c r="AB56" s="976"/>
      <c r="AC56" s="976"/>
      <c r="AD56" s="976"/>
      <c r="AE56" s="979"/>
      <c r="AF56" s="980"/>
      <c r="AG56" s="948">
        <f>1+W56</f>
        <v>43842</v>
      </c>
      <c r="AH56" s="949"/>
      <c r="AI56" s="949"/>
      <c r="AJ56" s="949"/>
      <c r="AK56" s="949"/>
      <c r="AL56" s="949"/>
      <c r="AM56" s="949"/>
      <c r="AN56" s="949"/>
      <c r="AO56" s="791" t="s">
        <v>2</v>
      </c>
      <c r="AW56" s="257"/>
      <c r="AX56" s="257"/>
    </row>
    <row r="57" spans="1:58" s="267" customFormat="1" ht="6.95" customHeight="1" thickBot="1">
      <c r="A57" s="1"/>
      <c r="C57" s="956"/>
      <c r="D57" s="745"/>
      <c r="E57" s="745"/>
      <c r="F57" s="745"/>
      <c r="G57" s="745"/>
      <c r="H57" s="745"/>
      <c r="I57" s="745"/>
      <c r="J57" s="745"/>
      <c r="K57" s="973"/>
      <c r="L57" s="974"/>
      <c r="M57" s="745"/>
      <c r="N57" s="745"/>
      <c r="O57" s="745"/>
      <c r="P57" s="745"/>
      <c r="Q57" s="745"/>
      <c r="R57" s="745"/>
      <c r="S57" s="745"/>
      <c r="T57" s="745"/>
      <c r="U57" s="969"/>
      <c r="V57" s="970"/>
      <c r="W57" s="977"/>
      <c r="X57" s="978"/>
      <c r="Y57" s="978"/>
      <c r="Z57" s="978"/>
      <c r="AA57" s="978"/>
      <c r="AB57" s="978"/>
      <c r="AC57" s="978"/>
      <c r="AD57" s="978"/>
      <c r="AE57" s="981"/>
      <c r="AF57" s="982"/>
      <c r="AG57" s="950"/>
      <c r="AH57" s="951"/>
      <c r="AI57" s="951"/>
      <c r="AJ57" s="951"/>
      <c r="AK57" s="951"/>
      <c r="AL57" s="951"/>
      <c r="AM57" s="951"/>
      <c r="AN57" s="951"/>
      <c r="AO57" s="792"/>
      <c r="AW57" s="257"/>
      <c r="AX57" s="257"/>
    </row>
    <row r="58" spans="1:58" ht="14.1" customHeight="1" thickBot="1">
      <c r="B58" s="268" t="str">
        <f>+B90</f>
        <v>CEQR</v>
      </c>
      <c r="C58" s="231"/>
      <c r="D58" s="232"/>
      <c r="E58" s="233"/>
      <c r="F58" s="234">
        <f>+D58-C58-E58</f>
        <v>0</v>
      </c>
      <c r="G58" s="232"/>
      <c r="H58" s="232"/>
      <c r="I58" s="234">
        <f>+H58-G58</f>
        <v>0</v>
      </c>
      <c r="J58" s="233"/>
      <c r="K58" s="235">
        <f>+I58+F58-L58</f>
        <v>0</v>
      </c>
      <c r="L58" s="269">
        <f>IF(C58&gt;0,(F58+I58)+IF(K$5&gt;0,0+F58,-8),0)</f>
        <v>0</v>
      </c>
      <c r="M58" s="270"/>
      <c r="N58" s="232"/>
      <c r="O58" s="233"/>
      <c r="P58" s="234">
        <f>+N58-M58-O58</f>
        <v>0</v>
      </c>
      <c r="Q58" s="271"/>
      <c r="R58" s="160"/>
      <c r="S58" s="234">
        <f>+R58-Q58</f>
        <v>0</v>
      </c>
      <c r="T58" s="233"/>
      <c r="U58" s="235">
        <f>+S58+P58-V58</f>
        <v>0</v>
      </c>
      <c r="V58" s="269">
        <f>IF(M58&gt;0,(P58+S58)+IF(U$5&gt;0,0+P58,-8),0)</f>
        <v>0</v>
      </c>
      <c r="W58" s="232"/>
      <c r="X58" s="232"/>
      <c r="Y58" s="233"/>
      <c r="Z58" s="234">
        <f>+X58-W58-Y58</f>
        <v>0</v>
      </c>
      <c r="AA58" s="232"/>
      <c r="AB58" s="272"/>
      <c r="AC58" s="234">
        <f>+AB58-AA58</f>
        <v>0</v>
      </c>
      <c r="AD58" s="233"/>
      <c r="AE58" s="235">
        <f>+AC58+Z58-IF(AE$5&gt;0,AF58/2,AF58)</f>
        <v>0</v>
      </c>
      <c r="AF58" s="269">
        <f>IF(W58&gt;0,IF(AE$5&gt;0,(Z58+AC58)*2,(Z58+AC58-8)),0)*IF(Z58&lt;9,IF(AE$5&gt;0,1,2),1)+IF(Z58&gt;8,AC58,0)</f>
        <v>0</v>
      </c>
      <c r="AG58" s="273"/>
      <c r="AH58" s="273"/>
      <c r="AI58" s="274"/>
      <c r="AJ58" s="275">
        <f>+AH58-AG58-AI58</f>
        <v>0</v>
      </c>
      <c r="AK58" s="276"/>
      <c r="AL58" s="276"/>
      <c r="AM58" s="277">
        <f>+AL58-AK58</f>
        <v>0</v>
      </c>
      <c r="AN58" s="274">
        <v>-3</v>
      </c>
      <c r="AO58" s="278">
        <f>(AJ58*2+AM58)</f>
        <v>0</v>
      </c>
      <c r="AP58" s="952">
        <f>+L58+V58+AF58+AO58+L62+V62+AF62-AN58</f>
        <v>3</v>
      </c>
      <c r="AQ58" s="953"/>
      <c r="AR58" s="954">
        <f>ROUND(BD58*AP58,1)</f>
        <v>29.4</v>
      </c>
      <c r="AS58" s="954"/>
      <c r="AT58" s="279">
        <f>IF(AT62&gt;0,AT62*$AT$10,0)</f>
        <v>0</v>
      </c>
      <c r="AU58" s="69"/>
      <c r="AV58" s="100">
        <f>+L58</f>
        <v>0</v>
      </c>
      <c r="AW58" s="100">
        <f>+V58</f>
        <v>0</v>
      </c>
      <c r="AX58" s="100">
        <f>+AF58</f>
        <v>0</v>
      </c>
      <c r="AY58" s="101">
        <f>+AO58</f>
        <v>0</v>
      </c>
      <c r="AZ58" s="100">
        <f>+L62</f>
        <v>0</v>
      </c>
      <c r="BA58" s="100">
        <f>+V62</f>
        <v>0</v>
      </c>
      <c r="BB58" s="100">
        <f>+AF62</f>
        <v>0</v>
      </c>
      <c r="BC58" s="66"/>
      <c r="BD58" s="36">
        <f>+I90</f>
        <v>9.7916660714285708</v>
      </c>
      <c r="BE58" s="67">
        <f>+BD58*AP58</f>
        <v>29.374998214285711</v>
      </c>
      <c r="BF58" s="68">
        <f>+BD58*AY58</f>
        <v>0</v>
      </c>
    </row>
    <row r="59" spans="1:58" ht="14.1" customHeight="1" thickBot="1">
      <c r="C59" s="280"/>
      <c r="D59" s="280"/>
      <c r="E59" s="281"/>
      <c r="F59" s="282"/>
      <c r="G59" s="280"/>
      <c r="H59" s="280"/>
      <c r="I59" s="282"/>
      <c r="J59" s="281"/>
      <c r="K59" s="283"/>
      <c r="L59" s="284"/>
      <c r="M59" s="280"/>
      <c r="N59" s="280"/>
      <c r="O59" s="281"/>
      <c r="P59" s="282"/>
      <c r="Q59" s="285"/>
      <c r="R59" s="286"/>
      <c r="S59" s="282"/>
      <c r="T59" s="281"/>
      <c r="U59" s="283"/>
      <c r="V59" s="284"/>
      <c r="W59" s="280"/>
      <c r="X59" s="280"/>
      <c r="Y59" s="281"/>
      <c r="Z59" s="282"/>
      <c r="AA59" s="280"/>
      <c r="AB59" s="287"/>
      <c r="AC59" s="282"/>
      <c r="AD59" s="281"/>
      <c r="AE59" s="283"/>
      <c r="AF59" s="284"/>
      <c r="AG59" s="243"/>
      <c r="AH59" s="243"/>
      <c r="AI59" s="241"/>
      <c r="AJ59" s="288"/>
      <c r="AK59" s="289"/>
      <c r="AL59" s="289"/>
      <c r="AM59" s="242"/>
      <c r="AN59" s="241"/>
      <c r="AO59" s="244"/>
      <c r="AP59" s="243"/>
      <c r="AQ59" s="243"/>
      <c r="AR59" s="290"/>
      <c r="AS59" s="290"/>
      <c r="AT59" s="291"/>
      <c r="AU59" s="69"/>
      <c r="AV59" s="66"/>
      <c r="AW59" s="66"/>
      <c r="AX59" s="66"/>
      <c r="AY59" s="292"/>
      <c r="AZ59" s="66"/>
      <c r="BA59" s="66"/>
      <c r="BB59" s="66"/>
      <c r="BC59" s="66"/>
      <c r="BD59" s="293"/>
      <c r="BE59" s="294"/>
      <c r="BF59" s="295"/>
    </row>
    <row r="60" spans="1:58" ht="6.95" customHeight="1">
      <c r="C60" s="955">
        <f>+C27</f>
        <v>43843</v>
      </c>
      <c r="D60" s="744"/>
      <c r="E60" s="744"/>
      <c r="F60" s="744"/>
      <c r="G60" s="744"/>
      <c r="H60" s="744"/>
      <c r="I60" s="744"/>
      <c r="J60" s="744"/>
      <c r="K60" s="957"/>
      <c r="L60" s="958"/>
      <c r="M60" s="961">
        <f>1+C60</f>
        <v>43844</v>
      </c>
      <c r="N60" s="962"/>
      <c r="O60" s="962"/>
      <c r="P60" s="962"/>
      <c r="Q60" s="962"/>
      <c r="R60" s="962"/>
      <c r="S60" s="962"/>
      <c r="T60" s="963"/>
      <c r="U60" s="967"/>
      <c r="V60" s="968"/>
      <c r="W60" s="744">
        <f>1+M60</f>
        <v>43845</v>
      </c>
      <c r="X60" s="744"/>
      <c r="Y60" s="744"/>
      <c r="Z60" s="744"/>
      <c r="AA60" s="744"/>
      <c r="AB60" s="744"/>
      <c r="AC60" s="744"/>
      <c r="AD60" s="744"/>
      <c r="AE60" s="967"/>
      <c r="AF60" s="968"/>
      <c r="AG60" s="254"/>
      <c r="AH60" s="254"/>
      <c r="AI60" s="254"/>
      <c r="AJ60" s="254"/>
      <c r="AK60" s="254"/>
      <c r="AL60" s="254"/>
      <c r="AM60" s="253"/>
      <c r="AO60" s="255"/>
      <c r="AW60" s="257"/>
      <c r="AX60" s="257"/>
    </row>
    <row r="61" spans="1:58" s="267" customFormat="1" ht="6.95" customHeight="1" thickBot="1">
      <c r="A61" s="1"/>
      <c r="C61" s="956"/>
      <c r="D61" s="745"/>
      <c r="E61" s="745"/>
      <c r="F61" s="745"/>
      <c r="G61" s="745"/>
      <c r="H61" s="745"/>
      <c r="I61" s="745"/>
      <c r="J61" s="745"/>
      <c r="K61" s="959"/>
      <c r="L61" s="960"/>
      <c r="M61" s="964"/>
      <c r="N61" s="965"/>
      <c r="O61" s="965"/>
      <c r="P61" s="965"/>
      <c r="Q61" s="965"/>
      <c r="R61" s="965"/>
      <c r="S61" s="965"/>
      <c r="T61" s="966"/>
      <c r="U61" s="969"/>
      <c r="V61" s="970"/>
      <c r="W61" s="745"/>
      <c r="X61" s="745"/>
      <c r="Y61" s="745"/>
      <c r="Z61" s="745"/>
      <c r="AA61" s="745"/>
      <c r="AB61" s="745"/>
      <c r="AC61" s="745"/>
      <c r="AD61" s="745"/>
      <c r="AE61" s="969"/>
      <c r="AF61" s="970"/>
      <c r="AG61" s="296"/>
      <c r="AH61" s="296"/>
      <c r="AI61" s="296"/>
      <c r="AJ61" s="296"/>
      <c r="AK61" s="296"/>
      <c r="AL61" s="296"/>
      <c r="AM61" s="297"/>
      <c r="AO61" s="298"/>
      <c r="AW61" s="257"/>
      <c r="AX61" s="257"/>
    </row>
    <row r="62" spans="1:58" ht="14.1" customHeight="1" thickBot="1">
      <c r="B62" s="268" t="str">
        <f>+B58</f>
        <v>CEQR</v>
      </c>
      <c r="C62" s="231"/>
      <c r="D62" s="232"/>
      <c r="E62" s="233"/>
      <c r="F62" s="234">
        <f>+D62-C62-E62</f>
        <v>0</v>
      </c>
      <c r="G62" s="271"/>
      <c r="H62" s="160"/>
      <c r="I62" s="234">
        <f>+H62-G62</f>
        <v>0</v>
      </c>
      <c r="J62" s="233"/>
      <c r="K62" s="235">
        <f>+I62+F62-L62</f>
        <v>0</v>
      </c>
      <c r="L62" s="269">
        <f>IF(C62&gt;0,(F62+I62)+IF(K$27&gt;0,0+F62,-8),0)</f>
        <v>0</v>
      </c>
      <c r="M62" s="276"/>
      <c r="N62" s="276"/>
      <c r="O62" s="274"/>
      <c r="P62" s="277">
        <f>+N62-M62-O62</f>
        <v>0</v>
      </c>
      <c r="Q62" s="273"/>
      <c r="R62" s="276"/>
      <c r="S62" s="234">
        <f>+R62-Q62</f>
        <v>0</v>
      </c>
      <c r="T62" s="274"/>
      <c r="U62" s="299">
        <f>+S62+P62-V62</f>
        <v>0</v>
      </c>
      <c r="V62" s="300">
        <f>IF(M62&gt;0,(P62+S62)+IF(U$27&gt;0,0+P62,-8),0)</f>
        <v>0</v>
      </c>
      <c r="W62" s="301"/>
      <c r="X62" s="276"/>
      <c r="Y62" s="274"/>
      <c r="Z62" s="277">
        <f>+X62-W62-Y62</f>
        <v>0</v>
      </c>
      <c r="AA62" s="276"/>
      <c r="AB62" s="276"/>
      <c r="AC62" s="234">
        <f>+AB62-AA62</f>
        <v>0</v>
      </c>
      <c r="AD62" s="274"/>
      <c r="AE62" s="299">
        <f>+AC62+Z62-AF62</f>
        <v>0</v>
      </c>
      <c r="AF62" s="236">
        <f>IF(W62&gt;0,(Z62+AC62)+IF(AE$27&gt;0,0+Z62,-8),0)</f>
        <v>0</v>
      </c>
      <c r="AG62" s="69"/>
      <c r="AH62" s="302">
        <v>0</v>
      </c>
      <c r="AI62" s="303">
        <f>+K58+(IF(ISBLANK($K$56),-8,0))</f>
        <v>-8</v>
      </c>
      <c r="AJ62" s="303">
        <f>IF(ISBLANK($U$56),-8,0)+U58</f>
        <v>-8</v>
      </c>
      <c r="AK62" s="304">
        <f>IF(ISBLANK($AE$56),-8,0)+AE58</f>
        <v>-8</v>
      </c>
      <c r="AL62" s="303">
        <f>IF(ISBLANK($AO$56),-8,0)+AM58+AW62</f>
        <v>0</v>
      </c>
      <c r="AM62" s="303">
        <f>IF(ISBLANK($K$60),-8,0)+K62</f>
        <v>-8</v>
      </c>
      <c r="AN62" s="303">
        <f>IF(ISBLANK($U$60),-8,0)+U62</f>
        <v>-8</v>
      </c>
      <c r="AO62" s="303">
        <f>IF(ISBLANK($AE$60),-8,0)+AE62</f>
        <v>-8</v>
      </c>
      <c r="AP62" s="305">
        <f>SUM(AH62:AO62)</f>
        <v>-48</v>
      </c>
      <c r="AQ62" s="306"/>
      <c r="AR62" s="994">
        <f>+X90*Q90</f>
        <v>0</v>
      </c>
      <c r="AS62" s="995"/>
      <c r="AT62" s="307">
        <f>IF(K35+L35&gt;0,1,0)+IF(U35+V35&gt;0,1,0)+IF(AE35+AF35&gt;0,1,0)+IF(AO35&gt;3,1,0)+IF(K62+L62&gt;0,1,0)+IF(U62+V62&gt;0,1,0)+IF(AE62+AF62&gt;0,1,0)</f>
        <v>0</v>
      </c>
      <c r="AU62" s="69"/>
      <c r="AV62" s="69"/>
      <c r="AW62" s="921"/>
      <c r="AX62" s="922"/>
    </row>
    <row r="63" spans="1:58" ht="14.1" customHeight="1">
      <c r="O63" s="241"/>
      <c r="P63" s="242"/>
      <c r="Q63" s="243"/>
      <c r="R63" s="243"/>
      <c r="S63" s="242"/>
      <c r="T63" s="241"/>
      <c r="U63" s="244"/>
      <c r="V63" s="244"/>
      <c r="W63" s="69"/>
      <c r="X63" s="246"/>
      <c r="Y63" s="247"/>
      <c r="Z63" s="248"/>
      <c r="AA63" s="249"/>
      <c r="AC63" s="253"/>
      <c r="AD63" s="254"/>
      <c r="AE63" s="254"/>
      <c r="AF63" s="254"/>
      <c r="AG63" s="254"/>
      <c r="AH63" s="254"/>
      <c r="AI63" s="254"/>
      <c r="AJ63" s="254"/>
      <c r="AK63" s="996"/>
      <c r="AL63" s="996"/>
      <c r="AM63" s="253"/>
      <c r="AO63" s="255"/>
      <c r="AW63" s="257"/>
      <c r="AX63" s="257"/>
    </row>
    <row r="64" spans="1:58" ht="14.1" customHeight="1">
      <c r="O64" s="241"/>
      <c r="P64" s="242"/>
      <c r="Q64" s="243"/>
      <c r="R64" s="243"/>
      <c r="S64" s="242"/>
      <c r="T64" s="241"/>
      <c r="U64" s="244"/>
      <c r="V64" s="244"/>
      <c r="W64" s="69"/>
      <c r="X64" s="246"/>
      <c r="Y64" s="247"/>
      <c r="AW64" s="257"/>
      <c r="AX64" s="257"/>
    </row>
    <row r="65" spans="1:50" ht="18" customHeight="1">
      <c r="C65" s="240" t="s">
        <v>28</v>
      </c>
      <c r="O65" s="241"/>
      <c r="P65" s="242"/>
      <c r="Q65" s="243"/>
      <c r="R65" s="243"/>
      <c r="S65" s="242"/>
      <c r="T65" s="241"/>
      <c r="U65" s="244"/>
      <c r="V65" s="244"/>
      <c r="W65" s="69"/>
      <c r="X65" s="246"/>
      <c r="Y65" s="247"/>
      <c r="AW65" s="257"/>
      <c r="AX65" s="257"/>
    </row>
    <row r="66" spans="1:50" ht="3" customHeight="1">
      <c r="Q66" s="308"/>
      <c r="R66" s="309"/>
      <c r="S66" s="310"/>
      <c r="T66" s="311"/>
      <c r="AX66" s="257"/>
    </row>
    <row r="67" spans="1:50" ht="14.1" customHeight="1" thickBot="1">
      <c r="B67" s="7" t="s">
        <v>29</v>
      </c>
      <c r="C67" s="997" t="s">
        <v>30</v>
      </c>
      <c r="D67" s="997"/>
      <c r="E67" s="997" t="s">
        <v>31</v>
      </c>
      <c r="F67" s="997"/>
      <c r="G67" s="998" t="s">
        <v>32</v>
      </c>
      <c r="H67" s="999"/>
      <c r="I67" s="1004" t="s">
        <v>33</v>
      </c>
      <c r="J67" s="1005"/>
      <c r="K67" s="1006" t="s">
        <v>34</v>
      </c>
      <c r="L67" s="1006"/>
      <c r="M67" s="6"/>
      <c r="N67" s="1007" t="s">
        <v>35</v>
      </c>
      <c r="O67" s="1007"/>
      <c r="P67" s="6"/>
      <c r="Q67" s="1008" t="s">
        <v>36</v>
      </c>
      <c r="R67" s="1009"/>
      <c r="U67" s="1019" t="s">
        <v>37</v>
      </c>
      <c r="V67" s="1022" t="s">
        <v>38</v>
      </c>
      <c r="W67" s="1025" t="s">
        <v>39</v>
      </c>
      <c r="X67" s="983" t="s">
        <v>40</v>
      </c>
      <c r="AX67" s="257"/>
    </row>
    <row r="68" spans="1:50" ht="14.1" customHeight="1">
      <c r="B68" s="7" t="s">
        <v>41</v>
      </c>
      <c r="C68" s="997"/>
      <c r="D68" s="997"/>
      <c r="E68" s="997"/>
      <c r="F68" s="997"/>
      <c r="G68" s="1000"/>
      <c r="H68" s="1001"/>
      <c r="I68" s="1004"/>
      <c r="J68" s="1005"/>
      <c r="K68" s="1006"/>
      <c r="L68" s="1006"/>
      <c r="M68" s="6"/>
      <c r="N68" s="1007"/>
      <c r="O68" s="1007"/>
      <c r="P68" s="6"/>
      <c r="Q68" s="1010"/>
      <c r="R68" s="1011"/>
      <c r="U68" s="1020"/>
      <c r="V68" s="1023"/>
      <c r="W68" s="1026"/>
      <c r="X68" s="984"/>
      <c r="AA68" s="312"/>
      <c r="AB68" s="313"/>
      <c r="AC68" s="314"/>
      <c r="AD68" s="315"/>
      <c r="AE68" s="316"/>
      <c r="AF68" s="316"/>
      <c r="AG68" s="316"/>
      <c r="AH68" s="316"/>
      <c r="AI68" s="316"/>
      <c r="AJ68" s="316"/>
      <c r="AK68" s="316"/>
      <c r="AL68" s="316"/>
      <c r="AM68" s="316"/>
      <c r="AN68" s="314"/>
      <c r="AO68" s="314"/>
      <c r="AP68" s="314"/>
      <c r="AQ68" s="314"/>
      <c r="AR68" s="317"/>
      <c r="AX68" s="257"/>
    </row>
    <row r="69" spans="1:50" ht="14.1" customHeight="1">
      <c r="B69" s="7" t="s">
        <v>42</v>
      </c>
      <c r="C69" s="997"/>
      <c r="D69" s="997"/>
      <c r="E69" s="997"/>
      <c r="F69" s="997"/>
      <c r="G69" s="1000"/>
      <c r="H69" s="1001"/>
      <c r="I69" s="1004"/>
      <c r="J69" s="1005"/>
      <c r="K69" s="1006"/>
      <c r="L69" s="1006"/>
      <c r="M69" s="6"/>
      <c r="N69" s="1007"/>
      <c r="O69" s="1007"/>
      <c r="P69" s="6"/>
      <c r="Q69" s="1012"/>
      <c r="R69" s="1013"/>
      <c r="U69" s="1020"/>
      <c r="V69" s="1023"/>
      <c r="W69" s="1026"/>
      <c r="X69" s="984"/>
      <c r="AA69" s="318"/>
      <c r="AB69" s="319" t="s">
        <v>43</v>
      </c>
      <c r="AC69" s="320"/>
      <c r="AD69" s="320"/>
      <c r="AE69" s="320"/>
      <c r="AF69" s="321"/>
      <c r="AG69" s="321"/>
      <c r="AH69" s="320"/>
      <c r="AI69" s="320"/>
      <c r="AJ69" s="320"/>
      <c r="AK69" s="320"/>
      <c r="AL69" s="320"/>
      <c r="AM69" s="320"/>
      <c r="AN69" s="320"/>
      <c r="AO69" s="322"/>
      <c r="AP69" s="322"/>
      <c r="AQ69" s="323"/>
      <c r="AR69" s="324"/>
      <c r="AT69" s="254"/>
      <c r="AX69" s="257"/>
    </row>
    <row r="70" spans="1:50" ht="27" thickBot="1">
      <c r="B70" s="325" t="s">
        <v>44</v>
      </c>
      <c r="C70" s="986">
        <f>+E70*7</f>
        <v>217</v>
      </c>
      <c r="D70" s="986"/>
      <c r="E70" s="987">
        <f>+K70/30</f>
        <v>31</v>
      </c>
      <c r="F70" s="987"/>
      <c r="G70" s="1000"/>
      <c r="H70" s="1001"/>
      <c r="I70" s="988">
        <f>+E70/8</f>
        <v>3.875</v>
      </c>
      <c r="J70" s="989"/>
      <c r="K70" s="990">
        <f>850+80</f>
        <v>930</v>
      </c>
      <c r="L70" s="990"/>
      <c r="M70" s="326"/>
      <c r="N70" s="991">
        <f>+I70/6*7</f>
        <v>4.5208333333333339</v>
      </c>
      <c r="O70" s="992"/>
      <c r="P70" s="326"/>
      <c r="Q70" s="993">
        <f>+$I$71-I70</f>
        <v>1.3562500000000002</v>
      </c>
      <c r="R70" s="993"/>
      <c r="U70" s="1020"/>
      <c r="V70" s="1023"/>
      <c r="W70" s="1026"/>
      <c r="X70" s="984"/>
      <c r="AA70" s="327"/>
      <c r="AB70" s="328"/>
      <c r="AC70" s="328"/>
      <c r="AD70" s="328"/>
      <c r="AE70" s="328"/>
      <c r="AF70" s="328"/>
      <c r="AG70" s="328"/>
      <c r="AH70" s="328"/>
      <c r="AI70" s="328"/>
      <c r="AJ70" s="328"/>
      <c r="AK70" s="328"/>
      <c r="AL70" s="328"/>
      <c r="AM70" s="328"/>
      <c r="AN70" s="328"/>
      <c r="AO70" s="329" t="s">
        <v>45</v>
      </c>
      <c r="AP70" s="330"/>
      <c r="AQ70" s="328"/>
      <c r="AR70" s="331"/>
    </row>
    <row r="71" spans="1:50" ht="24.75">
      <c r="B71" s="332" t="s">
        <v>46</v>
      </c>
      <c r="C71" s="1014">
        <f>+E71*7</f>
        <v>292.95</v>
      </c>
      <c r="D71" s="1014"/>
      <c r="E71" s="1015">
        <f>+K71/30</f>
        <v>41.85</v>
      </c>
      <c r="F71" s="1015"/>
      <c r="G71" s="1002"/>
      <c r="H71" s="1003"/>
      <c r="I71" s="1016">
        <f>+E71/8</f>
        <v>5.2312500000000002</v>
      </c>
      <c r="J71" s="1017"/>
      <c r="K71" s="1018">
        <f>+K70*1.35</f>
        <v>1255.5</v>
      </c>
      <c r="L71" s="1018"/>
      <c r="M71" s="326"/>
      <c r="N71" s="991">
        <f>+I71/6*7</f>
        <v>6.1031250000000004</v>
      </c>
      <c r="O71" s="992"/>
      <c r="P71" s="326"/>
      <c r="Q71" s="993">
        <f>+$I$71-I71</f>
        <v>0</v>
      </c>
      <c r="R71" s="993"/>
      <c r="U71" s="1020"/>
      <c r="V71" s="1023"/>
      <c r="W71" s="1026"/>
      <c r="X71" s="984"/>
      <c r="AA71" s="333"/>
      <c r="AB71" s="333"/>
      <c r="AC71" s="333"/>
      <c r="AD71" s="333"/>
      <c r="AE71" s="333"/>
      <c r="AF71" s="167"/>
      <c r="AG71" s="167"/>
      <c r="AH71" s="167"/>
      <c r="AJ71" s="296"/>
      <c r="AK71" s="296"/>
      <c r="AL71" s="296"/>
      <c r="AM71" s="296"/>
      <c r="AN71" s="296"/>
      <c r="AO71" s="296"/>
      <c r="AP71" s="296"/>
      <c r="AQ71" s="296"/>
      <c r="AR71" s="296"/>
    </row>
    <row r="72" spans="1:50" ht="2.1" customHeight="1" thickBot="1">
      <c r="B72" s="334"/>
      <c r="C72" s="258"/>
      <c r="D72" s="258"/>
      <c r="G72" s="335"/>
      <c r="H72" s="335"/>
      <c r="I72" s="336"/>
      <c r="J72" s="336"/>
      <c r="K72" s="337"/>
      <c r="L72" s="337"/>
      <c r="M72" s="6"/>
      <c r="N72" s="338"/>
      <c r="O72" s="338"/>
      <c r="P72" s="6"/>
      <c r="Q72" s="339"/>
      <c r="R72" s="339"/>
      <c r="U72" s="1021"/>
      <c r="V72" s="1024"/>
      <c r="W72" s="1027"/>
      <c r="X72" s="985"/>
      <c r="AA72" s="3"/>
    </row>
    <row r="73" spans="1:50" ht="16.5">
      <c r="A73" s="1">
        <v>1</v>
      </c>
      <c r="B73" s="340" t="s">
        <v>47</v>
      </c>
      <c r="C73" s="1040">
        <f>6*3+7*33.8</f>
        <v>254.59999999999997</v>
      </c>
      <c r="D73" s="1041"/>
      <c r="E73" s="1030">
        <f t="shared" ref="E73:E81" si="63">+C73/7</f>
        <v>36.371428571428567</v>
      </c>
      <c r="F73" s="1031"/>
      <c r="G73" s="341"/>
      <c r="H73" s="341"/>
      <c r="I73" s="1032">
        <f t="shared" ref="I73:I81" si="64">+E73/8</f>
        <v>4.5464285714285708</v>
      </c>
      <c r="J73" s="1033"/>
      <c r="K73" s="1034">
        <f t="shared" ref="K73:K81" si="65">+E73*30</f>
        <v>1091.1428571428569</v>
      </c>
      <c r="L73" s="1034"/>
      <c r="M73" s="6"/>
      <c r="N73" s="1035">
        <f t="shared" ref="N73:N90" si="66">+I73/6*7</f>
        <v>5.3041666666666654</v>
      </c>
      <c r="O73" s="1035"/>
      <c r="P73" s="6"/>
      <c r="Q73" s="1036">
        <f t="shared" ref="Q73:Q90" si="67">+$I$71-I73</f>
        <v>0.68482142857142936</v>
      </c>
      <c r="R73" s="1037"/>
      <c r="U73" s="342">
        <f t="shared" ref="U73:U78" si="68">+AE33+U33+K33+AO11+AE11+U11+K11</f>
        <v>62</v>
      </c>
      <c r="V73" s="343">
        <v>48</v>
      </c>
      <c r="W73" s="344">
        <f t="shared" ref="W73:W90" si="69">+V73-U73</f>
        <v>-14</v>
      </c>
      <c r="X73" s="345">
        <f t="shared" ref="X73:X78" si="70">+J11+T11+AD11+J33+T33+AD33</f>
        <v>0</v>
      </c>
      <c r="Y73" s="1038">
        <f>+X73*Q73</f>
        <v>0</v>
      </c>
      <c r="Z73" s="1039"/>
      <c r="AA73" s="346"/>
      <c r="AB73" s="347"/>
      <c r="AC73" s="348"/>
      <c r="AD73" s="349"/>
      <c r="AE73" s="350"/>
      <c r="AF73" s="350"/>
      <c r="AG73" s="350"/>
      <c r="AH73" s="350"/>
      <c r="AI73" s="350"/>
      <c r="AJ73" s="350"/>
      <c r="AK73" s="350"/>
      <c r="AL73" s="350"/>
      <c r="AM73" s="350"/>
      <c r="AN73" s="348"/>
      <c r="AO73" s="348"/>
      <c r="AP73" s="348"/>
      <c r="AQ73" s="348"/>
      <c r="AR73" s="351"/>
    </row>
    <row r="74" spans="1:50" ht="16.5">
      <c r="A74" s="1">
        <v>2</v>
      </c>
      <c r="B74" s="340" t="s">
        <v>48</v>
      </c>
      <c r="C74" s="1040">
        <f>6*3+7*38.5</f>
        <v>287.5</v>
      </c>
      <c r="D74" s="1041"/>
      <c r="E74" s="1030">
        <f t="shared" si="63"/>
        <v>41.071428571428569</v>
      </c>
      <c r="F74" s="1031"/>
      <c r="G74" s="341"/>
      <c r="H74" s="341"/>
      <c r="I74" s="1032">
        <f t="shared" si="64"/>
        <v>5.1339285714285712</v>
      </c>
      <c r="J74" s="1033"/>
      <c r="K74" s="1034">
        <f t="shared" si="65"/>
        <v>1232.1428571428571</v>
      </c>
      <c r="L74" s="1034"/>
      <c r="M74" s="6"/>
      <c r="N74" s="1035">
        <f t="shared" si="66"/>
        <v>5.989583333333333</v>
      </c>
      <c r="O74" s="1035"/>
      <c r="P74" s="6"/>
      <c r="Q74" s="1036">
        <f t="shared" si="67"/>
        <v>9.7321428571429003E-2</v>
      </c>
      <c r="R74" s="1037"/>
      <c r="U74" s="342">
        <f t="shared" si="68"/>
        <v>24</v>
      </c>
      <c r="V74" s="343">
        <v>48</v>
      </c>
      <c r="W74" s="344">
        <f t="shared" si="69"/>
        <v>24</v>
      </c>
      <c r="X74" s="345">
        <f t="shared" si="70"/>
        <v>0</v>
      </c>
      <c r="Y74" s="1038">
        <f>+X74*Q74</f>
        <v>0</v>
      </c>
      <c r="Z74" s="1039"/>
      <c r="AA74" s="352"/>
      <c r="AB74" s="353" t="s">
        <v>49</v>
      </c>
      <c r="AC74" s="354"/>
      <c r="AD74" s="354"/>
      <c r="AE74" s="354"/>
      <c r="AF74" s="355"/>
      <c r="AG74" s="355"/>
      <c r="AH74" s="354"/>
      <c r="AI74" s="354"/>
      <c r="AJ74" s="354"/>
      <c r="AK74" s="354"/>
      <c r="AL74" s="354"/>
      <c r="AM74" s="354"/>
      <c r="AN74" s="354"/>
      <c r="AO74" s="356"/>
      <c r="AP74" s="356"/>
      <c r="AQ74" s="357"/>
      <c r="AR74" s="358"/>
    </row>
    <row r="75" spans="1:50" ht="17.25" thickBot="1">
      <c r="A75" s="1">
        <v>4</v>
      </c>
      <c r="B75" s="365" t="s">
        <v>54</v>
      </c>
      <c r="C75" s="1028">
        <f>6*3+7*30.762</f>
        <v>233.334</v>
      </c>
      <c r="D75" s="1029"/>
      <c r="E75" s="1030">
        <f t="shared" si="63"/>
        <v>33.33342857142857</v>
      </c>
      <c r="F75" s="1031"/>
      <c r="G75" s="341"/>
      <c r="H75" s="341"/>
      <c r="I75" s="1032">
        <f t="shared" si="64"/>
        <v>4.1666785714285712</v>
      </c>
      <c r="J75" s="1033"/>
      <c r="K75" s="1034">
        <f t="shared" si="65"/>
        <v>1000.0028571428571</v>
      </c>
      <c r="L75" s="1034"/>
      <c r="M75" s="6"/>
      <c r="N75" s="1035">
        <f t="shared" si="66"/>
        <v>4.8611250000000004</v>
      </c>
      <c r="O75" s="1035"/>
      <c r="P75" s="6"/>
      <c r="Q75" s="1036">
        <f t="shared" si="67"/>
        <v>1.0645714285714289</v>
      </c>
      <c r="R75" s="1037"/>
      <c r="S75" s="1082">
        <f>20*30/180*117</f>
        <v>390</v>
      </c>
      <c r="T75" s="1083"/>
      <c r="U75" s="342">
        <f t="shared" si="68"/>
        <v>0</v>
      </c>
      <c r="V75" s="343">
        <v>48</v>
      </c>
      <c r="W75" s="344">
        <f t="shared" si="69"/>
        <v>48</v>
      </c>
      <c r="X75" s="345">
        <f t="shared" si="70"/>
        <v>0</v>
      </c>
      <c r="Y75" s="1038">
        <f>+X75*Q75</f>
        <v>0</v>
      </c>
      <c r="Z75" s="1039"/>
      <c r="AA75" s="360"/>
      <c r="AB75" s="361"/>
      <c r="AC75" s="361"/>
      <c r="AD75" s="361"/>
      <c r="AE75" s="361"/>
      <c r="AF75" s="361"/>
      <c r="AG75" s="361"/>
      <c r="AH75" s="361"/>
      <c r="AI75" s="361"/>
      <c r="AJ75" s="361"/>
      <c r="AK75" s="361"/>
      <c r="AL75" s="361"/>
      <c r="AM75" s="361"/>
      <c r="AN75" s="361"/>
      <c r="AO75" s="362" t="s">
        <v>51</v>
      </c>
      <c r="AP75" s="363"/>
      <c r="AQ75" s="361"/>
      <c r="AR75" s="364"/>
    </row>
    <row r="76" spans="1:50" ht="16.5">
      <c r="A76" s="1">
        <v>5</v>
      </c>
      <c r="B76" s="340" t="s">
        <v>52</v>
      </c>
      <c r="C76" s="1028">
        <f>6*3+7*38.5</f>
        <v>287.5</v>
      </c>
      <c r="D76" s="1029"/>
      <c r="E76" s="1030">
        <f t="shared" si="63"/>
        <v>41.071428571428569</v>
      </c>
      <c r="F76" s="1031"/>
      <c r="G76" s="341"/>
      <c r="H76" s="341"/>
      <c r="I76" s="1032">
        <f t="shared" si="64"/>
        <v>5.1339285714285712</v>
      </c>
      <c r="J76" s="1033"/>
      <c r="K76" s="1034">
        <f t="shared" si="65"/>
        <v>1232.1428571428571</v>
      </c>
      <c r="L76" s="1034"/>
      <c r="M76" s="6"/>
      <c r="N76" s="1035">
        <f t="shared" si="66"/>
        <v>5.989583333333333</v>
      </c>
      <c r="O76" s="1035"/>
      <c r="P76" s="6"/>
      <c r="Q76" s="1036">
        <f t="shared" si="67"/>
        <v>9.7321428571429003E-2</v>
      </c>
      <c r="R76" s="1037"/>
      <c r="U76" s="342">
        <f t="shared" si="68"/>
        <v>62</v>
      </c>
      <c r="V76" s="343">
        <v>48</v>
      </c>
      <c r="W76" s="344">
        <f t="shared" si="69"/>
        <v>-14</v>
      </c>
      <c r="X76" s="345">
        <f t="shared" si="70"/>
        <v>0</v>
      </c>
    </row>
    <row r="77" spans="1:50" ht="16.5">
      <c r="A77" s="1">
        <v>7</v>
      </c>
      <c r="B77" s="365" t="s">
        <v>53</v>
      </c>
      <c r="C77" s="1042">
        <f>6*3+7*(38.5)</f>
        <v>287.5</v>
      </c>
      <c r="D77" s="1043"/>
      <c r="E77" s="1030">
        <f t="shared" si="63"/>
        <v>41.071428571428569</v>
      </c>
      <c r="F77" s="1031"/>
      <c r="G77" s="1046"/>
      <c r="H77" s="1047"/>
      <c r="I77" s="1032">
        <f t="shared" si="64"/>
        <v>5.1339285714285712</v>
      </c>
      <c r="J77" s="1033"/>
      <c r="K77" s="1034">
        <f t="shared" si="65"/>
        <v>1232.1428571428571</v>
      </c>
      <c r="L77" s="1034"/>
      <c r="M77" s="6"/>
      <c r="N77" s="1035">
        <f>+I77/6*7</f>
        <v>5.989583333333333</v>
      </c>
      <c r="O77" s="1035"/>
      <c r="P77" s="6"/>
      <c r="Q77" s="1036">
        <f>+$I$71-I77</f>
        <v>9.7321428571429003E-2</v>
      </c>
      <c r="R77" s="1037"/>
      <c r="U77" s="342">
        <f t="shared" si="68"/>
        <v>37</v>
      </c>
      <c r="V77" s="343">
        <v>48</v>
      </c>
      <c r="W77" s="344">
        <f>+V77-U77</f>
        <v>11</v>
      </c>
      <c r="X77" s="345">
        <f t="shared" si="70"/>
        <v>0</v>
      </c>
      <c r="AD77"/>
    </row>
    <row r="78" spans="1:50" s="371" customFormat="1" ht="16.5">
      <c r="A78" s="366">
        <v>6</v>
      </c>
      <c r="B78" s="365" t="s">
        <v>54</v>
      </c>
      <c r="C78" s="1042">
        <f>6*3+7*(27)</f>
        <v>207</v>
      </c>
      <c r="D78" s="1043"/>
      <c r="E78" s="1030">
        <f t="shared" si="63"/>
        <v>29.571428571428573</v>
      </c>
      <c r="F78" s="1031"/>
      <c r="G78" s="1087"/>
      <c r="H78" s="1088"/>
      <c r="I78" s="1032">
        <f t="shared" si="64"/>
        <v>3.6964285714285716</v>
      </c>
      <c r="J78" s="1033"/>
      <c r="K78" s="1034">
        <f t="shared" si="65"/>
        <v>887.14285714285722</v>
      </c>
      <c r="L78" s="1034"/>
      <c r="M78" s="6"/>
      <c r="N78" s="1035">
        <f t="shared" si="66"/>
        <v>4.3125</v>
      </c>
      <c r="O78" s="1035"/>
      <c r="P78" s="6"/>
      <c r="Q78" s="1036">
        <f t="shared" si="67"/>
        <v>1.5348214285714286</v>
      </c>
      <c r="R78" s="1037"/>
      <c r="S78" s="1082">
        <f>20*30/180*117</f>
        <v>390</v>
      </c>
      <c r="T78" s="1083"/>
      <c r="U78" s="342">
        <f t="shared" si="68"/>
        <v>0</v>
      </c>
      <c r="V78" s="343">
        <v>48</v>
      </c>
      <c r="W78" s="344">
        <f t="shared" si="69"/>
        <v>48</v>
      </c>
      <c r="X78" s="345">
        <f t="shared" si="70"/>
        <v>0</v>
      </c>
      <c r="Y78" s="367"/>
      <c r="Z78" s="546"/>
      <c r="AA78" s="546"/>
      <c r="AB78" s="546"/>
      <c r="AC78" s="546"/>
      <c r="AD78" s="546"/>
      <c r="AE78" s="296"/>
      <c r="AF78" s="296"/>
      <c r="AG78" s="547"/>
      <c r="AH78" s="547"/>
      <c r="AI78" s="370"/>
      <c r="AJ78" s="370"/>
      <c r="AK78" s="370"/>
      <c r="AL78" s="370"/>
      <c r="AM78" s="547"/>
      <c r="AN78" s="547"/>
      <c r="AO78" s="547"/>
      <c r="AP78" s="547"/>
      <c r="AQ78" s="547"/>
      <c r="AR78" s="547"/>
      <c r="AS78" s="296"/>
      <c r="AT78" s="296"/>
    </row>
    <row r="79" spans="1:50" s="371" customFormat="1" ht="16.5">
      <c r="A79" s="1">
        <v>8</v>
      </c>
      <c r="B79" s="365" t="s">
        <v>54</v>
      </c>
      <c r="C79" s="1042">
        <f t="shared" ref="C79:C84" si="71">6*3+7*(28.4286)</f>
        <v>217.00020000000001</v>
      </c>
      <c r="D79" s="1043"/>
      <c r="E79" s="1030">
        <f t="shared" si="63"/>
        <v>31.000028571428572</v>
      </c>
      <c r="F79" s="1031"/>
      <c r="G79" s="1044"/>
      <c r="H79" s="1045"/>
      <c r="I79" s="1032">
        <f t="shared" si="64"/>
        <v>3.8750035714285715</v>
      </c>
      <c r="J79" s="1033"/>
      <c r="K79" s="1034">
        <f t="shared" si="65"/>
        <v>930.00085714285717</v>
      </c>
      <c r="L79" s="1034"/>
      <c r="M79" s="6"/>
      <c r="N79" s="1035">
        <f t="shared" si="66"/>
        <v>4.5208375000000007</v>
      </c>
      <c r="O79" s="1035"/>
      <c r="P79" s="6"/>
      <c r="Q79" s="1036">
        <f t="shared" si="67"/>
        <v>1.3562464285714286</v>
      </c>
      <c r="R79" s="1037"/>
      <c r="S79" s="3"/>
      <c r="T79" s="3"/>
      <c r="U79" s="342" t="e">
        <f>+#REF!+#REF!+#REF!+#REF!+#REF!+#REF!+#REF!</f>
        <v>#REF!</v>
      </c>
      <c r="V79" s="343">
        <v>48</v>
      </c>
      <c r="W79" s="344" t="e">
        <f t="shared" si="69"/>
        <v>#REF!</v>
      </c>
      <c r="X79" s="345" t="e">
        <f>+#REF!+#REF!+#REF!+#REF!+#REF!+#REF!</f>
        <v>#REF!</v>
      </c>
      <c r="Y79" s="3"/>
      <c r="Z79" s="546"/>
      <c r="AA79" s="546"/>
      <c r="AB79" s="546"/>
      <c r="AC79" s="546"/>
      <c r="AD79" s="546"/>
      <c r="AE79" s="296"/>
      <c r="AF79" s="296"/>
      <c r="AG79" s="547"/>
      <c r="AH79" s="547"/>
      <c r="AI79" s="370"/>
      <c r="AJ79" s="370"/>
      <c r="AK79" s="370"/>
      <c r="AL79" s="370"/>
      <c r="AM79" s="547"/>
      <c r="AN79" s="547"/>
      <c r="AO79" s="547"/>
      <c r="AP79" s="547"/>
      <c r="AQ79" s="547"/>
      <c r="AR79" s="547"/>
      <c r="AS79" s="296"/>
      <c r="AT79" s="296"/>
    </row>
    <row r="80" spans="1:50" ht="16.5">
      <c r="B80" s="359" t="s">
        <v>55</v>
      </c>
      <c r="C80" s="1042">
        <f t="shared" si="71"/>
        <v>217.00020000000001</v>
      </c>
      <c r="D80" s="1043"/>
      <c r="E80" s="1030">
        <f t="shared" si="63"/>
        <v>31.000028571428572</v>
      </c>
      <c r="F80" s="1031"/>
      <c r="G80" s="1044"/>
      <c r="H80" s="1045"/>
      <c r="I80" s="1032">
        <f t="shared" si="64"/>
        <v>3.8750035714285715</v>
      </c>
      <c r="J80" s="1033"/>
      <c r="K80" s="1034">
        <f t="shared" si="65"/>
        <v>930.00085714285717</v>
      </c>
      <c r="L80" s="1034"/>
      <c r="M80" s="6"/>
      <c r="N80" s="1050">
        <f t="shared" si="66"/>
        <v>4.5208375000000007</v>
      </c>
      <c r="O80" s="1051"/>
      <c r="P80" s="6"/>
      <c r="Q80" s="1048">
        <f t="shared" si="67"/>
        <v>1.3562464285714286</v>
      </c>
      <c r="R80" s="1049"/>
      <c r="U80" s="342">
        <f>+AE40+U40+K40+AO18+AE18+U18+K18</f>
        <v>48</v>
      </c>
      <c r="V80" s="343">
        <v>48</v>
      </c>
      <c r="W80" s="344">
        <f t="shared" si="69"/>
        <v>0</v>
      </c>
      <c r="X80" s="345">
        <f>+J17+T17+AD17+J39+T39+AD39</f>
        <v>0</v>
      </c>
      <c r="Y80" s="1038">
        <f>+X80*Q80</f>
        <v>0</v>
      </c>
      <c r="Z80" s="1039"/>
      <c r="AA80" s="372"/>
      <c r="AB80" s="546"/>
      <c r="AC80" s="546"/>
      <c r="AD80" s="546"/>
      <c r="AE80" s="296"/>
      <c r="AF80" s="296"/>
      <c r="AG80" s="547"/>
      <c r="AH80" s="547"/>
      <c r="AI80" s="547"/>
      <c r="AJ80" s="547"/>
      <c r="AK80" s="547"/>
      <c r="AL80" s="547"/>
      <c r="AM80" s="547"/>
      <c r="AN80" s="547"/>
      <c r="AO80" s="547"/>
      <c r="AP80" s="547"/>
      <c r="AQ80" s="547"/>
      <c r="AR80" s="547"/>
      <c r="AS80" s="296"/>
      <c r="AT80" s="296"/>
    </row>
    <row r="81" spans="1:46" ht="16.5">
      <c r="B81" s="359" t="s">
        <v>56</v>
      </c>
      <c r="C81" s="1042">
        <f t="shared" si="71"/>
        <v>217.00020000000001</v>
      </c>
      <c r="D81" s="1043"/>
      <c r="E81" s="1030">
        <f t="shared" si="63"/>
        <v>31.000028571428572</v>
      </c>
      <c r="F81" s="1031"/>
      <c r="G81" s="1044"/>
      <c r="H81" s="1045"/>
      <c r="I81" s="1032">
        <f t="shared" si="64"/>
        <v>3.8750035714285715</v>
      </c>
      <c r="J81" s="1033"/>
      <c r="K81" s="1034">
        <f t="shared" si="65"/>
        <v>930.00085714285717</v>
      </c>
      <c r="L81" s="1034"/>
      <c r="M81" s="6"/>
      <c r="N81" s="1050">
        <f t="shared" si="66"/>
        <v>4.5208375000000007</v>
      </c>
      <c r="O81" s="1051"/>
      <c r="P81" s="6"/>
      <c r="Q81" s="1048">
        <f t="shared" si="67"/>
        <v>1.3562464285714286</v>
      </c>
      <c r="R81" s="1049"/>
      <c r="U81" s="342">
        <f>+AE47+U47+K47+AO25+AE25+U25+K25</f>
        <v>48</v>
      </c>
      <c r="V81" s="343">
        <v>48</v>
      </c>
      <c r="W81" s="344">
        <f t="shared" si="69"/>
        <v>0</v>
      </c>
      <c r="X81" s="345">
        <f>+J18+T18+AD18+J40+T40+AD40</f>
        <v>0</v>
      </c>
      <c r="Y81" s="1038">
        <f>+X81*Q81</f>
        <v>0</v>
      </c>
      <c r="Z81" s="1039"/>
      <c r="AA81" s="372"/>
      <c r="AB81" s="546"/>
      <c r="AC81" s="546"/>
      <c r="AD81" s="546"/>
      <c r="AE81" s="296"/>
      <c r="AF81" s="296"/>
      <c r="AG81" s="547"/>
      <c r="AH81" s="547"/>
      <c r="AI81" s="547"/>
      <c r="AJ81" s="547"/>
      <c r="AK81" s="547"/>
      <c r="AL81" s="547"/>
      <c r="AM81" s="547"/>
      <c r="AN81" s="547"/>
      <c r="AO81" s="547"/>
      <c r="AP81" s="547"/>
      <c r="AQ81" s="547"/>
      <c r="AR81" s="547"/>
      <c r="AS81" s="296"/>
      <c r="AT81" s="296"/>
    </row>
    <row r="82" spans="1:46" ht="16.5">
      <c r="A82" s="366"/>
      <c r="B82" s="359" t="s">
        <v>57</v>
      </c>
      <c r="C82" s="1042">
        <f t="shared" si="71"/>
        <v>217.00020000000001</v>
      </c>
      <c r="D82" s="1043"/>
      <c r="E82" s="1030">
        <f>+C82/7</f>
        <v>31.000028571428572</v>
      </c>
      <c r="F82" s="1031"/>
      <c r="G82" s="1044"/>
      <c r="H82" s="1045"/>
      <c r="I82" s="1032">
        <f>+E82/8</f>
        <v>3.8750035714285715</v>
      </c>
      <c r="J82" s="1033"/>
      <c r="K82" s="1034">
        <f>+E82*30</f>
        <v>930.00085714285717</v>
      </c>
      <c r="L82" s="1034"/>
      <c r="M82" s="6"/>
      <c r="N82" s="1050">
        <f>+I82/6*7</f>
        <v>4.5208375000000007</v>
      </c>
      <c r="O82" s="1051"/>
      <c r="P82" s="6"/>
      <c r="Q82" s="1048">
        <f>+$I$71-I82</f>
        <v>1.3562464285714286</v>
      </c>
      <c r="R82" s="1049"/>
      <c r="U82" s="342">
        <f>+AD42+T42+J42+AN19+AD19+T19+J19</f>
        <v>0</v>
      </c>
      <c r="V82" s="343">
        <v>48</v>
      </c>
      <c r="W82" s="344">
        <f>+V82-U82</f>
        <v>48</v>
      </c>
      <c r="X82" s="345">
        <f>+J19+T19+AD19+J41+T41+AD41</f>
        <v>0</v>
      </c>
      <c r="Y82" s="1038">
        <f>+X82*Q82</f>
        <v>0</v>
      </c>
      <c r="Z82" s="1039"/>
      <c r="AA82" s="372"/>
      <c r="AB82" s="546"/>
      <c r="AC82" s="546"/>
      <c r="AD82" s="546"/>
      <c r="AE82" s="296"/>
      <c r="AF82" s="296"/>
      <c r="AG82" s="547"/>
      <c r="AH82" s="547"/>
      <c r="AI82" s="547"/>
      <c r="AJ82" s="547"/>
      <c r="AK82" s="545"/>
      <c r="AL82" s="545"/>
      <c r="AM82" s="545"/>
      <c r="AN82" s="545"/>
      <c r="AO82" s="545"/>
      <c r="AP82" s="545"/>
      <c r="AQ82" s="545"/>
      <c r="AR82" s="545"/>
      <c r="AS82" s="296"/>
      <c r="AT82" s="296"/>
    </row>
    <row r="83" spans="1:46" ht="16.5">
      <c r="A83" s="366"/>
      <c r="B83" s="359" t="s">
        <v>58</v>
      </c>
      <c r="C83" s="1042">
        <f t="shared" si="71"/>
        <v>217.00020000000001</v>
      </c>
      <c r="D83" s="1043"/>
      <c r="E83" s="1030">
        <f>+C83/7</f>
        <v>31.000028571428572</v>
      </c>
      <c r="F83" s="1031"/>
      <c r="G83" s="1044"/>
      <c r="H83" s="1045"/>
      <c r="I83" s="1032">
        <f>+E83/8</f>
        <v>3.8750035714285715</v>
      </c>
      <c r="J83" s="1033"/>
      <c r="K83" s="1034">
        <f>+E83*30</f>
        <v>930.00085714285717</v>
      </c>
      <c r="L83" s="1034"/>
      <c r="M83" s="6"/>
      <c r="N83" s="1050">
        <f>+I83/6*7</f>
        <v>4.5208375000000007</v>
      </c>
      <c r="O83" s="1051"/>
      <c r="P83" s="6"/>
      <c r="Q83" s="1048">
        <f>+$I$71-I83</f>
        <v>1.3562464285714286</v>
      </c>
      <c r="R83" s="1049"/>
      <c r="U83" s="342">
        <f>+AD47+T47+J47+AN25+AD25+T25+K25</f>
        <v>8</v>
      </c>
      <c r="V83" s="343">
        <v>48</v>
      </c>
      <c r="W83" s="344">
        <f>+V83-U83</f>
        <v>40</v>
      </c>
      <c r="X83" s="345">
        <f>+J25+T25+AD25+J47+T47+AD47</f>
        <v>0</v>
      </c>
      <c r="Z83" s="372"/>
      <c r="AA83" s="372"/>
      <c r="AB83" s="546"/>
      <c r="AC83" s="546"/>
      <c r="AD83" s="546"/>
      <c r="AE83" s="296"/>
      <c r="AF83" s="296"/>
      <c r="AG83" s="547"/>
      <c r="AH83" s="547"/>
      <c r="AI83" s="547"/>
      <c r="AJ83" s="547"/>
      <c r="AK83" s="545"/>
      <c r="AL83" s="545"/>
      <c r="AM83" s="545"/>
      <c r="AN83" s="545"/>
      <c r="AO83" s="545"/>
      <c r="AP83" s="545"/>
      <c r="AQ83" s="545"/>
      <c r="AR83" s="545"/>
      <c r="AS83" s="296"/>
      <c r="AT83" s="296"/>
    </row>
    <row r="84" spans="1:46" ht="16.5">
      <c r="A84" s="366"/>
      <c r="B84" s="359" t="s">
        <v>59</v>
      </c>
      <c r="C84" s="1042">
        <f t="shared" si="71"/>
        <v>217.00020000000001</v>
      </c>
      <c r="D84" s="1043"/>
      <c r="E84" s="1030">
        <f>+C84/7</f>
        <v>31.000028571428572</v>
      </c>
      <c r="F84" s="1031"/>
      <c r="G84" s="1044"/>
      <c r="H84" s="1045"/>
      <c r="I84" s="1032">
        <f>+E84/8</f>
        <v>3.8750035714285715</v>
      </c>
      <c r="J84" s="1033"/>
      <c r="K84" s="1034">
        <f>+E84*30</f>
        <v>930.00085714285717</v>
      </c>
      <c r="L84" s="1034"/>
      <c r="M84" s="6"/>
      <c r="N84" s="1050">
        <f>+I84/6*7</f>
        <v>4.5208375000000007</v>
      </c>
      <c r="O84" s="1051"/>
      <c r="P84" s="6"/>
      <c r="Q84" s="1048">
        <f>+$I$71-I84</f>
        <v>1.3562464285714286</v>
      </c>
      <c r="R84" s="1049"/>
      <c r="U84" s="342">
        <f>+AD48+T48+J48+AN26+AD26+T26+K26</f>
        <v>0</v>
      </c>
      <c r="V84" s="343">
        <v>48</v>
      </c>
      <c r="W84" s="344">
        <f>+V84-U84</f>
        <v>48</v>
      </c>
      <c r="X84" s="345">
        <f>+J26+T26+AD26+J48+T48+AD48</f>
        <v>0</v>
      </c>
      <c r="Z84" s="372"/>
      <c r="AA84" s="372"/>
      <c r="AB84" s="546"/>
      <c r="AC84" s="546"/>
      <c r="AD84" s="546"/>
      <c r="AE84" s="296"/>
      <c r="AF84" s="296"/>
      <c r="AG84" s="547"/>
      <c r="AH84" s="547"/>
      <c r="AI84" s="547"/>
      <c r="AJ84" s="547"/>
      <c r="AK84" s="547"/>
      <c r="AL84" s="547"/>
      <c r="AM84" s="547"/>
      <c r="AN84" s="547"/>
      <c r="AO84" s="547"/>
      <c r="AP84" s="547"/>
      <c r="AQ84" s="547"/>
      <c r="AR84" s="547"/>
      <c r="AS84" s="296"/>
      <c r="AT84" s="296"/>
    </row>
    <row r="85" spans="1:46" ht="16.5">
      <c r="B85" s="365" t="s">
        <v>60</v>
      </c>
      <c r="C85" s="1028">
        <f>+G85*6</f>
        <v>186</v>
      </c>
      <c r="D85" s="1029"/>
      <c r="E85" s="1030">
        <f t="shared" ref="E85:E90" si="72">+C85/7</f>
        <v>26.571428571428573</v>
      </c>
      <c r="F85" s="1031"/>
      <c r="G85" s="1044">
        <v>31</v>
      </c>
      <c r="H85" s="1045"/>
      <c r="I85" s="1032">
        <f>+G85/8</f>
        <v>3.875</v>
      </c>
      <c r="J85" s="1033"/>
      <c r="K85" s="1034">
        <f>+G85*30</f>
        <v>930</v>
      </c>
      <c r="L85" s="1034"/>
      <c r="M85" s="374"/>
      <c r="N85" s="1035">
        <f t="shared" si="66"/>
        <v>4.5208333333333339</v>
      </c>
      <c r="O85" s="1035"/>
      <c r="P85" s="6"/>
      <c r="Q85" s="1036">
        <f t="shared" si="67"/>
        <v>1.3562500000000002</v>
      </c>
      <c r="R85" s="1037"/>
      <c r="U85" s="342">
        <f>+AE43+U43+K43+AO21+AE21+U21+K21</f>
        <v>32</v>
      </c>
      <c r="V85" s="343">
        <v>48</v>
      </c>
      <c r="W85" s="344">
        <f t="shared" si="69"/>
        <v>16</v>
      </c>
      <c r="X85" s="345">
        <f>+J21+T21+AD21+J43+T43+AD43</f>
        <v>0</v>
      </c>
      <c r="Z85" s="372"/>
      <c r="AA85" s="372"/>
      <c r="AB85" s="546"/>
      <c r="AC85" s="546"/>
      <c r="AD85" s="546"/>
      <c r="AE85" s="296"/>
      <c r="AF85" s="296"/>
      <c r="AG85" s="547"/>
      <c r="AH85" s="547"/>
      <c r="AI85" s="547"/>
      <c r="AJ85" s="547"/>
      <c r="AK85" s="547"/>
      <c r="AL85" s="547"/>
      <c r="AM85" s="547"/>
      <c r="AN85" s="547"/>
      <c r="AO85" s="547"/>
      <c r="AP85" s="547"/>
      <c r="AQ85" s="547"/>
      <c r="AR85" s="547"/>
      <c r="AS85" s="296"/>
      <c r="AT85" s="296"/>
    </row>
    <row r="86" spans="1:46" ht="16.5">
      <c r="A86" s="1">
        <v>2</v>
      </c>
      <c r="B86" s="340" t="s">
        <v>61</v>
      </c>
      <c r="C86" s="1040">
        <v>304.26666666666665</v>
      </c>
      <c r="D86" s="1041"/>
      <c r="E86" s="1030">
        <f>+C86/7</f>
        <v>43.466666666666661</v>
      </c>
      <c r="F86" s="1031"/>
      <c r="G86" s="341"/>
      <c r="H86" s="341"/>
      <c r="I86" s="1032">
        <f>+E86/8</f>
        <v>5.4333333333333327</v>
      </c>
      <c r="J86" s="1033"/>
      <c r="K86" s="1034">
        <f>+E86*30</f>
        <v>1303.9999999999998</v>
      </c>
      <c r="L86" s="1034"/>
      <c r="M86" s="6"/>
      <c r="N86" s="1035">
        <f t="shared" si="66"/>
        <v>6.3388888888888886</v>
      </c>
      <c r="O86" s="1035"/>
      <c r="P86" s="6"/>
      <c r="Q86" s="1036">
        <f t="shared" si="67"/>
        <v>-0.2020833333333325</v>
      </c>
      <c r="R86" s="1037"/>
      <c r="U86" s="342">
        <f>+AE48+U48+K48+AO26+AE26+U26+K26</f>
        <v>0</v>
      </c>
      <c r="V86" s="343">
        <v>48</v>
      </c>
      <c r="W86" s="344">
        <f t="shared" si="69"/>
        <v>48</v>
      </c>
      <c r="X86" s="345">
        <f>+J26+T26+AD26+J48+T48+AD48</f>
        <v>0</v>
      </c>
    </row>
    <row r="87" spans="1:46" ht="16.5">
      <c r="A87" s="1">
        <v>2</v>
      </c>
      <c r="B87" s="359" t="s">
        <v>62</v>
      </c>
      <c r="C87" s="1042">
        <f>6*3+7*(28.4286)</f>
        <v>217.00020000000001</v>
      </c>
      <c r="D87" s="1043"/>
      <c r="E87" s="1030">
        <f t="shared" si="72"/>
        <v>31.000028571428572</v>
      </c>
      <c r="F87" s="1031"/>
      <c r="G87" s="1044"/>
      <c r="H87" s="1045"/>
      <c r="I87" s="1032">
        <f>+E87/8</f>
        <v>3.8750035714285715</v>
      </c>
      <c r="J87" s="1033"/>
      <c r="K87" s="1034">
        <f>+E87*30</f>
        <v>930.00085714285717</v>
      </c>
      <c r="L87" s="1034"/>
      <c r="M87" s="6"/>
      <c r="N87" s="1035">
        <f t="shared" si="66"/>
        <v>4.5208375000000007</v>
      </c>
      <c r="O87" s="1035"/>
      <c r="P87" s="6"/>
      <c r="Q87" s="1036">
        <f t="shared" si="67"/>
        <v>1.3562464285714286</v>
      </c>
      <c r="R87" s="1037"/>
      <c r="U87" s="342">
        <f>+AE44+U44+K44+AO22+AE22+U22+K22</f>
        <v>40</v>
      </c>
      <c r="V87" s="343">
        <v>48</v>
      </c>
      <c r="W87" s="344">
        <f t="shared" si="69"/>
        <v>8</v>
      </c>
      <c r="X87" s="345">
        <f>+J22+T22+AD22+J44+T44+AD44</f>
        <v>0</v>
      </c>
    </row>
    <row r="88" spans="1:46" ht="16.5">
      <c r="A88" s="366"/>
      <c r="B88" s="359" t="s">
        <v>63</v>
      </c>
      <c r="C88" s="1042">
        <f>6*3+7*(28.4286)</f>
        <v>217.00020000000001</v>
      </c>
      <c r="D88" s="1043"/>
      <c r="E88" s="1030">
        <f t="shared" si="72"/>
        <v>31.000028571428572</v>
      </c>
      <c r="F88" s="1031"/>
      <c r="G88" s="1044"/>
      <c r="H88" s="1045"/>
      <c r="I88" s="1032">
        <f>+E88/8</f>
        <v>3.8750035714285715</v>
      </c>
      <c r="J88" s="1033"/>
      <c r="K88" s="1034">
        <f>+E88*30</f>
        <v>930.00085714285717</v>
      </c>
      <c r="L88" s="1034"/>
      <c r="M88" s="6"/>
      <c r="N88" s="1050">
        <f t="shared" si="66"/>
        <v>4.5208375000000007</v>
      </c>
      <c r="O88" s="1051"/>
      <c r="P88" s="6"/>
      <c r="Q88" s="1048">
        <f t="shared" si="67"/>
        <v>1.3562464285714286</v>
      </c>
      <c r="R88" s="1049"/>
      <c r="U88" s="342">
        <f>+AD48+T48+J48+AN26+AD26+T26+K26</f>
        <v>0</v>
      </c>
      <c r="V88" s="343">
        <v>48</v>
      </c>
      <c r="W88" s="344">
        <f t="shared" si="69"/>
        <v>48</v>
      </c>
      <c r="X88" s="345">
        <f>+J26+T26+AD26+J48+T48+AD48</f>
        <v>0</v>
      </c>
      <c r="Z88" s="372"/>
      <c r="AA88" s="372"/>
      <c r="AB88" s="546"/>
      <c r="AC88" s="546"/>
      <c r="AD88" s="546"/>
      <c r="AE88" s="296"/>
      <c r="AF88" s="296"/>
      <c r="AG88" s="547"/>
      <c r="AH88" s="547"/>
      <c r="AI88" s="547"/>
      <c r="AJ88" s="547"/>
      <c r="AK88" s="545"/>
      <c r="AL88" s="545"/>
      <c r="AM88" s="545"/>
      <c r="AN88" s="545"/>
      <c r="AO88" s="545"/>
      <c r="AP88" s="545"/>
      <c r="AQ88" s="545"/>
      <c r="AR88" s="545"/>
      <c r="AS88" s="296"/>
      <c r="AT88" s="296"/>
    </row>
    <row r="89" spans="1:46" ht="16.5">
      <c r="A89" s="366"/>
      <c r="B89" s="359" t="s">
        <v>64</v>
      </c>
      <c r="C89" s="1042">
        <f>6*3+7*(28.4286)</f>
        <v>217.00020000000001</v>
      </c>
      <c r="D89" s="1043"/>
      <c r="E89" s="1030">
        <f t="shared" si="72"/>
        <v>31.000028571428572</v>
      </c>
      <c r="F89" s="1031"/>
      <c r="G89" s="1044"/>
      <c r="H89" s="1045"/>
      <c r="I89" s="1032">
        <f>+E89/8</f>
        <v>3.8750035714285715</v>
      </c>
      <c r="J89" s="1033"/>
      <c r="K89" s="1034">
        <f>+E89*30</f>
        <v>930.00085714285717</v>
      </c>
      <c r="L89" s="1034"/>
      <c r="M89" s="6"/>
      <c r="N89" s="1050">
        <f t="shared" si="66"/>
        <v>4.5208375000000007</v>
      </c>
      <c r="O89" s="1051"/>
      <c r="P89" s="6"/>
      <c r="Q89" s="1048">
        <f t="shared" si="67"/>
        <v>1.3562464285714286</v>
      </c>
      <c r="R89" s="1049"/>
      <c r="U89" s="342">
        <f>+AD49+T49+J49+AN27+AD27+T27+K27</f>
        <v>43844</v>
      </c>
      <c r="V89" s="343">
        <v>48</v>
      </c>
      <c r="W89" s="344">
        <f t="shared" si="69"/>
        <v>-43796</v>
      </c>
      <c r="X89" s="345">
        <f>+J27+T27+AD27+J49+T49+AD49</f>
        <v>0</v>
      </c>
      <c r="Z89" s="372"/>
      <c r="AA89" s="372"/>
      <c r="AB89" s="546"/>
      <c r="AC89" s="546"/>
      <c r="AD89" s="546"/>
      <c r="AE89" s="296"/>
      <c r="AF89" s="296"/>
      <c r="AG89" s="547"/>
      <c r="AH89" s="547"/>
      <c r="AI89" s="547"/>
      <c r="AJ89" s="547"/>
      <c r="AK89" s="545"/>
      <c r="AL89" s="545"/>
      <c r="AM89" s="545"/>
      <c r="AN89" s="545"/>
      <c r="AO89" s="545"/>
      <c r="AP89" s="545"/>
      <c r="AQ89" s="545"/>
      <c r="AR89" s="545"/>
      <c r="AS89" s="296"/>
      <c r="AT89" s="296"/>
    </row>
    <row r="90" spans="1:46" ht="16.5">
      <c r="B90" s="375" t="s">
        <v>65</v>
      </c>
      <c r="C90" s="1054">
        <f>6*3+7*(G90)</f>
        <v>548.33330000000001</v>
      </c>
      <c r="D90" s="1055"/>
      <c r="E90" s="1056">
        <f t="shared" si="72"/>
        <v>78.333328571428567</v>
      </c>
      <c r="F90" s="1057"/>
      <c r="G90" s="1058">
        <v>75.761899999999997</v>
      </c>
      <c r="H90" s="1059"/>
      <c r="I90" s="1060">
        <f>+E90/8</f>
        <v>9.7916660714285708</v>
      </c>
      <c r="J90" s="1061"/>
      <c r="K90" s="1062">
        <f>+E90*30</f>
        <v>2349.9998571428569</v>
      </c>
      <c r="L90" s="1063"/>
      <c r="M90" s="6"/>
      <c r="N90" s="1035">
        <f t="shared" si="66"/>
        <v>11.423610416666666</v>
      </c>
      <c r="O90" s="1035"/>
      <c r="P90" s="6"/>
      <c r="Q90" s="1048">
        <f t="shared" si="67"/>
        <v>-4.5604160714285706</v>
      </c>
      <c r="R90" s="1049"/>
      <c r="U90" s="342">
        <f>+AE50+U50+K50+AO28+AE28+U28+K28</f>
        <v>0</v>
      </c>
      <c r="V90" s="343">
        <v>48</v>
      </c>
      <c r="W90" s="344">
        <f t="shared" si="69"/>
        <v>48</v>
      </c>
      <c r="X90" s="345">
        <f>+J28+T28+AD28+J50+T50+AD50</f>
        <v>0</v>
      </c>
      <c r="Z90" s="372"/>
      <c r="AA90" s="372"/>
      <c r="AB90" s="546"/>
      <c r="AC90" s="546"/>
      <c r="AD90" s="546"/>
      <c r="AE90" s="296"/>
      <c r="AF90" s="296"/>
      <c r="AG90" s="547"/>
      <c r="AH90" s="547"/>
      <c r="AI90" s="547"/>
      <c r="AJ90" s="547"/>
      <c r="AK90" s="547"/>
      <c r="AL90" s="547"/>
      <c r="AM90" s="547"/>
      <c r="AN90" s="547"/>
      <c r="AO90" s="547"/>
      <c r="AP90" s="547"/>
      <c r="AQ90" s="296"/>
      <c r="AR90" s="296"/>
      <c r="AS90" s="296"/>
      <c r="AT90" s="296"/>
    </row>
    <row r="91" spans="1:46">
      <c r="AE91" s="376"/>
      <c r="AF91" s="376"/>
      <c r="AJ91" s="376"/>
      <c r="AK91" s="376"/>
    </row>
    <row r="92" spans="1:46" ht="26.25" thickBot="1">
      <c r="B92" s="377" t="s">
        <v>66</v>
      </c>
      <c r="H92" s="1052">
        <v>43191</v>
      </c>
      <c r="I92" s="1052"/>
      <c r="J92" s="1052"/>
      <c r="K92" s="1052"/>
      <c r="L92" s="1052"/>
      <c r="M92" s="1052"/>
      <c r="N92" s="1052"/>
      <c r="AD92" s="378"/>
      <c r="AE92" s="378"/>
      <c r="AF92" s="378"/>
      <c r="AG92" s="167"/>
      <c r="AH92" s="167"/>
      <c r="AI92" s="167"/>
      <c r="AJ92" s="376"/>
      <c r="AK92" s="376"/>
    </row>
    <row r="93" spans="1:46" ht="16.5" thickBot="1">
      <c r="B93" s="379">
        <v>1100</v>
      </c>
      <c r="C93" s="240" t="s">
        <v>67</v>
      </c>
      <c r="AD93" s="296"/>
      <c r="AE93" s="296"/>
      <c r="AF93" s="296"/>
      <c r="AG93" s="296"/>
      <c r="AH93" s="296"/>
      <c r="AI93" s="296"/>
      <c r="AJ93" s="296"/>
      <c r="AK93" s="296"/>
      <c r="AL93" s="296"/>
      <c r="AM93" s="296"/>
      <c r="AN93" s="296"/>
      <c r="AO93" s="296"/>
      <c r="AP93" s="267"/>
      <c r="AQ93" s="267"/>
      <c r="AR93" s="267"/>
      <c r="AS93" s="267"/>
      <c r="AT93" s="267"/>
    </row>
    <row r="94" spans="1:46" ht="15.75">
      <c r="B94" s="168">
        <f>+B93/30*7</f>
        <v>256.66666666666663</v>
      </c>
      <c r="C94" s="240" t="s">
        <v>68</v>
      </c>
      <c r="D94" s="380"/>
      <c r="O94" s="1053" t="s">
        <v>69</v>
      </c>
      <c r="P94" s="1053"/>
      <c r="Q94" s="1053"/>
      <c r="R94" s="1053"/>
      <c r="S94" s="1053"/>
      <c r="T94" s="1053"/>
      <c r="U94" s="1053"/>
      <c r="V94" s="1053"/>
      <c r="W94" s="1053"/>
      <c r="X94" s="1053"/>
      <c r="Y94" s="1053"/>
      <c r="Z94" s="1053"/>
      <c r="AD94" s="296"/>
      <c r="AE94" s="547"/>
      <c r="AF94" s="547"/>
      <c r="AG94" s="296"/>
      <c r="AH94" s="296"/>
      <c r="AI94" s="296"/>
      <c r="AJ94" s="547"/>
      <c r="AK94" s="547"/>
      <c r="AL94" s="296"/>
      <c r="AM94" s="296"/>
      <c r="AN94" s="296"/>
      <c r="AO94" s="296"/>
      <c r="AP94" s="267"/>
      <c r="AQ94" s="267"/>
      <c r="AR94" s="267"/>
      <c r="AS94" s="267"/>
      <c r="AT94" s="267"/>
    </row>
    <row r="95" spans="1:46">
      <c r="B95" s="168">
        <f>+B94-18</f>
        <v>238.66666666666663</v>
      </c>
      <c r="C95" s="240" t="s">
        <v>70</v>
      </c>
      <c r="O95" s="1053">
        <f>+B93</f>
        <v>1100</v>
      </c>
      <c r="P95" s="1053"/>
      <c r="Q95" s="1053" t="s">
        <v>71</v>
      </c>
      <c r="R95" s="1053"/>
      <c r="S95" s="1053"/>
      <c r="T95" s="1053"/>
      <c r="U95" s="1053"/>
      <c r="V95" s="1053"/>
      <c r="W95" s="1053"/>
      <c r="X95" s="1053"/>
      <c r="Y95" s="1053"/>
      <c r="Z95" s="1053"/>
      <c r="AA95" s="7" t="s">
        <v>72</v>
      </c>
      <c r="AD95" s="296"/>
      <c r="AE95" s="547"/>
      <c r="AF95" s="547"/>
      <c r="AG95" s="296"/>
      <c r="AH95" s="296"/>
      <c r="AI95" s="296"/>
      <c r="AJ95" s="547"/>
      <c r="AK95" s="547"/>
      <c r="AL95" s="296"/>
      <c r="AM95" s="296"/>
      <c r="AN95" s="296"/>
      <c r="AO95" s="296"/>
      <c r="AP95" s="267"/>
      <c r="AQ95" s="267"/>
      <c r="AR95" s="267"/>
      <c r="AS95" s="267"/>
      <c r="AT95" s="267"/>
    </row>
    <row r="96" spans="1:46">
      <c r="B96" s="381">
        <f>+B95/7+0</f>
        <v>34.095238095238088</v>
      </c>
      <c r="C96" s="382" t="s">
        <v>73</v>
      </c>
      <c r="D96" s="383"/>
      <c r="O96" s="1053">
        <f>+O95/30*7</f>
        <v>256.66666666666663</v>
      </c>
      <c r="P96" s="1053"/>
      <c r="Q96" s="1053" t="s">
        <v>74</v>
      </c>
      <c r="R96" s="1053"/>
      <c r="S96" s="1053"/>
      <c r="T96" s="1053"/>
      <c r="U96" s="1053"/>
      <c r="V96" s="1053"/>
      <c r="W96" s="1053"/>
      <c r="X96" s="1053"/>
      <c r="Y96" s="1053"/>
      <c r="Z96" s="1053"/>
      <c r="AA96" s="1064">
        <f>+O96*0.87</f>
        <v>223.29999999999995</v>
      </c>
      <c r="AB96" s="1064"/>
      <c r="AD96" s="296"/>
      <c r="AE96" s="384"/>
      <c r="AF96" s="384"/>
      <c r="AG96" s="296"/>
      <c r="AH96" s="296"/>
      <c r="AI96" s="296"/>
      <c r="AJ96" s="384"/>
      <c r="AK96" s="384"/>
      <c r="AL96" s="385"/>
      <c r="AM96" s="385"/>
      <c r="AN96" s="385"/>
      <c r="AO96" s="385"/>
      <c r="AP96" s="386"/>
      <c r="AQ96" s="386"/>
      <c r="AR96" s="267"/>
      <c r="AS96" s="267"/>
      <c r="AT96" s="267"/>
    </row>
    <row r="97" spans="2:46">
      <c r="O97" s="1053">
        <f>+O96/7</f>
        <v>36.666666666666664</v>
      </c>
      <c r="P97" s="1053"/>
      <c r="Q97" s="1053" t="s">
        <v>75</v>
      </c>
      <c r="R97" s="1053"/>
      <c r="S97" s="1053"/>
      <c r="T97" s="1053"/>
      <c r="U97" s="1053"/>
      <c r="V97" s="1053"/>
      <c r="W97" s="1053"/>
      <c r="X97" s="1053"/>
      <c r="Y97" s="1053"/>
      <c r="Z97" s="1053"/>
      <c r="AD97" s="296"/>
      <c r="AE97" s="547"/>
      <c r="AF97" s="547"/>
      <c r="AG97" s="296"/>
      <c r="AH97" s="296"/>
      <c r="AI97" s="296"/>
      <c r="AJ97" s="547"/>
      <c r="AK97" s="547"/>
      <c r="AL97" s="387"/>
      <c r="AM97" s="387"/>
      <c r="AN97" s="385"/>
      <c r="AO97" s="385"/>
      <c r="AP97" s="386"/>
      <c r="AQ97" s="386"/>
      <c r="AR97" s="267"/>
      <c r="AS97" s="267"/>
      <c r="AT97" s="267"/>
    </row>
    <row r="98" spans="2:46" ht="15.75">
      <c r="B98" s="388">
        <f>+B96</f>
        <v>34.095238095238088</v>
      </c>
      <c r="C98" s="389" t="s">
        <v>76</v>
      </c>
      <c r="D98" s="390"/>
      <c r="E98" s="390"/>
      <c r="F98" s="390"/>
      <c r="O98" s="1065">
        <f>(O96-18)/7</f>
        <v>34.095238095238088</v>
      </c>
      <c r="P98" s="1065"/>
      <c r="Q98" s="1065" t="s">
        <v>77</v>
      </c>
      <c r="R98" s="1065"/>
      <c r="S98" s="1065"/>
      <c r="T98" s="1065"/>
      <c r="U98" s="1065"/>
      <c r="V98" s="1065"/>
      <c r="W98" s="1065"/>
      <c r="X98" s="1065"/>
      <c r="Y98" s="1065"/>
      <c r="Z98" s="1065"/>
      <c r="AD98" s="296"/>
      <c r="AE98" s="391"/>
      <c r="AF98" s="391"/>
      <c r="AG98" s="392"/>
      <c r="AH98" s="392"/>
      <c r="AI98" s="392"/>
      <c r="AJ98" s="391"/>
      <c r="AK98" s="391"/>
      <c r="AL98" s="385"/>
      <c r="AM98" s="385"/>
      <c r="AN98" s="385"/>
      <c r="AO98" s="385"/>
      <c r="AP98" s="386"/>
      <c r="AQ98" s="386"/>
      <c r="AR98" s="267"/>
      <c r="AS98" s="267"/>
      <c r="AT98" s="267"/>
    </row>
    <row r="99" spans="2:46">
      <c r="B99" s="168">
        <v>3</v>
      </c>
      <c r="C99" s="240" t="s">
        <v>78</v>
      </c>
      <c r="O99" s="1053">
        <v>3</v>
      </c>
      <c r="P99" s="1053"/>
      <c r="Q99" s="1053" t="s">
        <v>79</v>
      </c>
      <c r="R99" s="1053"/>
      <c r="S99" s="1053"/>
      <c r="T99" s="1053"/>
      <c r="U99" s="1053"/>
      <c r="V99" s="1053"/>
      <c r="W99" s="1053"/>
      <c r="X99" s="1053"/>
      <c r="Y99" s="1053"/>
      <c r="Z99" s="1053"/>
      <c r="AD99" s="296"/>
      <c r="AE99" s="296"/>
      <c r="AF99" s="391"/>
      <c r="AG99" s="392"/>
      <c r="AH99" s="392"/>
      <c r="AI99" s="392"/>
      <c r="AJ99" s="391"/>
      <c r="AK99" s="296"/>
      <c r="AL99" s="385"/>
      <c r="AM99" s="385"/>
      <c r="AN99" s="385"/>
      <c r="AO99" s="385"/>
      <c r="AP99" s="386"/>
      <c r="AQ99" s="386"/>
      <c r="AR99" s="267"/>
      <c r="AS99" s="267"/>
      <c r="AT99" s="267"/>
    </row>
    <row r="100" spans="2:46">
      <c r="B100" s="381">
        <f>+B99+B98</f>
        <v>37.095238095238088</v>
      </c>
      <c r="C100" s="382" t="s">
        <v>80</v>
      </c>
      <c r="D100" s="393"/>
      <c r="E100" s="394"/>
      <c r="F100" s="395"/>
      <c r="G100" s="393"/>
      <c r="H100" s="393"/>
      <c r="I100" s="395"/>
      <c r="J100" s="393"/>
      <c r="K100" s="396"/>
      <c r="L100" s="396"/>
      <c r="M100" s="383"/>
      <c r="O100" s="1053">
        <f>+O99+O98</f>
        <v>37.095238095238088</v>
      </c>
      <c r="P100" s="1053"/>
      <c r="AD100" s="296"/>
      <c r="AE100" s="547"/>
      <c r="AF100" s="547"/>
      <c r="AG100" s="296"/>
      <c r="AH100" s="296"/>
      <c r="AI100" s="296"/>
      <c r="AJ100" s="547"/>
      <c r="AK100" s="547"/>
      <c r="AL100" s="387"/>
      <c r="AM100" s="387"/>
      <c r="AN100" s="387"/>
      <c r="AO100" s="387"/>
      <c r="AP100" s="397"/>
      <c r="AQ100" s="267"/>
      <c r="AR100" s="267"/>
      <c r="AS100" s="267"/>
      <c r="AT100" s="267"/>
    </row>
    <row r="101" spans="2:46">
      <c r="B101" s="168"/>
      <c r="AD101" s="296"/>
      <c r="AE101" s="398"/>
      <c r="AF101" s="398"/>
      <c r="AG101" s="398"/>
      <c r="AH101" s="296"/>
      <c r="AI101" s="296"/>
      <c r="AJ101" s="398"/>
      <c r="AK101" s="398"/>
      <c r="AL101" s="385"/>
      <c r="AM101" s="296"/>
      <c r="AN101" s="296"/>
      <c r="AO101" s="296"/>
      <c r="AP101" s="267"/>
      <c r="AQ101" s="267"/>
      <c r="AR101" s="267"/>
      <c r="AS101" s="267"/>
      <c r="AT101" s="267"/>
    </row>
    <row r="102" spans="2:46">
      <c r="B102" s="168">
        <f>+B100*6</f>
        <v>222.57142857142853</v>
      </c>
      <c r="C102" s="240" t="s">
        <v>81</v>
      </c>
      <c r="O102" s="1053" t="s">
        <v>82</v>
      </c>
      <c r="P102" s="1053"/>
      <c r="Q102" s="1053"/>
      <c r="R102" s="1053"/>
      <c r="S102" s="1053"/>
      <c r="T102" s="1053"/>
      <c r="U102" s="1053"/>
      <c r="V102" s="1053"/>
      <c r="W102" s="1053"/>
      <c r="X102" s="1053"/>
      <c r="Y102" s="1053"/>
      <c r="Z102" s="1053"/>
      <c r="AD102" s="296"/>
      <c r="AE102" s="296"/>
      <c r="AF102" s="296"/>
      <c r="AG102" s="296"/>
      <c r="AH102" s="296"/>
      <c r="AI102" s="385"/>
      <c r="AJ102" s="385"/>
      <c r="AK102" s="387"/>
      <c r="AL102" s="545"/>
      <c r="AM102" s="547"/>
      <c r="AN102" s="545"/>
      <c r="AO102" s="296"/>
      <c r="AP102" s="267"/>
      <c r="AQ102" s="267"/>
      <c r="AR102" s="267"/>
      <c r="AS102" s="267"/>
      <c r="AT102" s="267"/>
    </row>
    <row r="103" spans="2:46">
      <c r="B103" s="399">
        <f>+B98</f>
        <v>34.095238095238088</v>
      </c>
      <c r="C103" s="400" t="s">
        <v>83</v>
      </c>
      <c r="D103" s="401"/>
      <c r="E103" s="402"/>
      <c r="F103" s="403"/>
      <c r="G103" s="401"/>
      <c r="H103" s="401"/>
      <c r="I103" s="403"/>
      <c r="J103" s="401"/>
      <c r="K103" s="404"/>
      <c r="L103" s="405"/>
      <c r="O103" s="1053">
        <f>+O95*1.1</f>
        <v>1210</v>
      </c>
      <c r="P103" s="1053"/>
      <c r="Q103" s="1053" t="s">
        <v>71</v>
      </c>
      <c r="R103" s="1053"/>
      <c r="S103" s="1053"/>
      <c r="T103" s="1053"/>
      <c r="U103" s="1053"/>
      <c r="V103" s="1053"/>
      <c r="W103" s="1053"/>
      <c r="X103" s="1053"/>
      <c r="Y103" s="1053"/>
      <c r="Z103" s="1053"/>
      <c r="AA103" s="7" t="s">
        <v>84</v>
      </c>
      <c r="AG103" s="267"/>
      <c r="AH103" s="267"/>
      <c r="AI103" s="386"/>
      <c r="AJ103" s="386"/>
      <c r="AK103" s="386"/>
      <c r="AL103" s="267"/>
      <c r="AM103" s="267"/>
      <c r="AN103" s="267"/>
      <c r="AO103" s="267"/>
    </row>
    <row r="104" spans="2:46">
      <c r="B104" s="381">
        <f>+B103+B102</f>
        <v>256.66666666666663</v>
      </c>
      <c r="C104" s="382" t="s">
        <v>85</v>
      </c>
      <c r="D104" s="393"/>
      <c r="E104" s="394"/>
      <c r="F104" s="395"/>
      <c r="G104" s="393"/>
      <c r="H104" s="393"/>
      <c r="I104" s="395"/>
      <c r="J104" s="393"/>
      <c r="K104" s="406"/>
      <c r="L104" s="405"/>
      <c r="O104" s="1053">
        <f>+O103/30*7</f>
        <v>282.33333333333337</v>
      </c>
      <c r="P104" s="1053"/>
      <c r="Q104" s="1053" t="s">
        <v>74</v>
      </c>
      <c r="R104" s="1053"/>
      <c r="S104" s="1053"/>
      <c r="T104" s="1053"/>
      <c r="U104" s="1053"/>
      <c r="V104" s="1053"/>
      <c r="W104" s="1053"/>
      <c r="X104" s="1053"/>
      <c r="Y104" s="1053"/>
      <c r="Z104" s="1053"/>
      <c r="AA104" s="1064">
        <f>+O104*0.87</f>
        <v>245.63000000000002</v>
      </c>
      <c r="AB104" s="1064"/>
      <c r="AG104" s="267"/>
      <c r="AH104" s="267"/>
      <c r="AI104" s="386"/>
      <c r="AJ104" s="386"/>
      <c r="AK104" s="407"/>
      <c r="AL104" s="267"/>
      <c r="AM104" s="267"/>
      <c r="AN104" s="267"/>
      <c r="AO104" s="267"/>
    </row>
    <row r="105" spans="2:46">
      <c r="B105" s="408"/>
      <c r="C105" s="409"/>
      <c r="D105" s="333"/>
      <c r="E105" s="410"/>
      <c r="F105" s="411"/>
      <c r="G105" s="333"/>
      <c r="H105" s="333"/>
      <c r="I105" s="411"/>
      <c r="J105" s="333"/>
      <c r="K105" s="405"/>
      <c r="L105" s="405"/>
      <c r="O105" s="1053">
        <f>+O104/7</f>
        <v>40.333333333333336</v>
      </c>
      <c r="P105" s="1053"/>
      <c r="Q105" s="1053" t="s">
        <v>75</v>
      </c>
      <c r="R105" s="1053"/>
      <c r="S105" s="1053"/>
      <c r="T105" s="1053"/>
      <c r="U105" s="1053"/>
      <c r="V105" s="1053"/>
      <c r="W105" s="1053"/>
      <c r="X105" s="1053"/>
      <c r="Y105" s="1053"/>
      <c r="Z105" s="1053"/>
      <c r="AG105" s="267"/>
      <c r="AH105" s="267"/>
      <c r="AI105" s="412"/>
      <c r="AJ105" s="413"/>
      <c r="AK105" s="407"/>
      <c r="AL105" s="267"/>
      <c r="AM105" s="267"/>
      <c r="AN105" s="267"/>
      <c r="AO105" s="267"/>
    </row>
    <row r="106" spans="2:46" ht="15.75">
      <c r="B106" s="414">
        <f>+B104/7</f>
        <v>36.666666666666664</v>
      </c>
      <c r="C106" s="415" t="s">
        <v>86</v>
      </c>
      <c r="D106" s="416"/>
      <c r="E106" s="417"/>
      <c r="F106" s="418"/>
      <c r="G106" s="419"/>
      <c r="H106" s="419"/>
      <c r="I106" s="411"/>
      <c r="J106" s="333"/>
      <c r="K106" s="405"/>
      <c r="L106" s="405"/>
      <c r="O106" s="1065">
        <f>(O104-18)/7</f>
        <v>37.761904761904766</v>
      </c>
      <c r="P106" s="1065"/>
      <c r="Q106" s="1065" t="s">
        <v>77</v>
      </c>
      <c r="R106" s="1065"/>
      <c r="S106" s="1065"/>
      <c r="T106" s="1065"/>
      <c r="U106" s="1065"/>
      <c r="V106" s="1065"/>
      <c r="W106" s="1065"/>
      <c r="X106" s="1065"/>
      <c r="Y106" s="1065"/>
      <c r="Z106" s="1065"/>
      <c r="AG106" s="267"/>
      <c r="AH106" s="267"/>
      <c r="AI106" s="267"/>
      <c r="AJ106" s="267"/>
      <c r="AK106" s="407"/>
      <c r="AL106" s="267"/>
      <c r="AM106" s="267"/>
      <c r="AN106" s="267"/>
      <c r="AO106" s="267"/>
    </row>
    <row r="107" spans="2:46">
      <c r="B107" s="408"/>
      <c r="C107" s="409"/>
      <c r="D107" s="333"/>
      <c r="E107" s="410"/>
      <c r="F107" s="411"/>
      <c r="G107" s="333"/>
      <c r="H107" s="333"/>
      <c r="I107" s="411"/>
      <c r="J107" s="333"/>
      <c r="K107" s="405"/>
      <c r="L107" s="405"/>
      <c r="O107" s="1053">
        <v>3</v>
      </c>
      <c r="P107" s="1053"/>
      <c r="Q107" s="1053" t="s">
        <v>79</v>
      </c>
      <c r="R107" s="1053"/>
      <c r="S107" s="1053"/>
      <c r="T107" s="1053"/>
      <c r="U107" s="1053"/>
      <c r="V107" s="1053"/>
      <c r="W107" s="1053"/>
      <c r="X107" s="1053"/>
      <c r="Y107" s="1053"/>
      <c r="Z107" s="1053"/>
      <c r="AG107" s="267"/>
      <c r="AH107" s="267"/>
      <c r="AI107" s="267"/>
      <c r="AJ107" s="267"/>
      <c r="AK107" s="267"/>
      <c r="AL107" s="267"/>
      <c r="AM107" s="267"/>
      <c r="AN107" s="267"/>
      <c r="AO107" s="267"/>
    </row>
    <row r="108" spans="2:46">
      <c r="B108" s="408"/>
      <c r="C108" s="409"/>
      <c r="D108" s="333"/>
      <c r="E108" s="410"/>
      <c r="F108" s="411"/>
      <c r="G108" s="333"/>
      <c r="H108" s="333"/>
      <c r="I108" s="411"/>
      <c r="J108" s="333"/>
      <c r="K108" s="405"/>
      <c r="L108" s="405"/>
      <c r="O108" s="1053">
        <f>+O107+O106</f>
        <v>40.761904761904766</v>
      </c>
      <c r="P108" s="1053"/>
      <c r="AG108" s="267"/>
      <c r="AH108" s="267"/>
      <c r="AI108" s="267"/>
      <c r="AJ108" s="267"/>
      <c r="AK108" s="267"/>
      <c r="AL108" s="267"/>
      <c r="AM108" s="267"/>
      <c r="AN108" s="267"/>
      <c r="AO108" s="267"/>
    </row>
    <row r="109" spans="2:46">
      <c r="AG109" s="267"/>
      <c r="AH109" s="267"/>
      <c r="AI109" s="267"/>
      <c r="AJ109" s="267"/>
      <c r="AK109" s="267"/>
      <c r="AL109" s="267"/>
      <c r="AM109" s="267"/>
      <c r="AN109" s="267"/>
      <c r="AO109" s="267"/>
    </row>
    <row r="110" spans="2:46" ht="26.25" thickBot="1">
      <c r="B110" s="377" t="s">
        <v>87</v>
      </c>
      <c r="H110" s="1052">
        <v>43167</v>
      </c>
      <c r="I110" s="1052"/>
      <c r="J110" s="1052"/>
      <c r="K110" s="1052"/>
      <c r="L110" s="1052"/>
      <c r="M110" s="1052"/>
      <c r="N110" s="1052"/>
      <c r="O110" s="420" t="s">
        <v>88</v>
      </c>
      <c r="P110" s="421"/>
      <c r="Q110" s="422"/>
      <c r="AG110" s="267"/>
      <c r="AH110" s="267"/>
      <c r="AI110" s="267"/>
      <c r="AJ110" s="267"/>
      <c r="AK110" s="267"/>
      <c r="AL110" s="267"/>
      <c r="AM110" s="267"/>
      <c r="AN110" s="267"/>
      <c r="AO110" s="267"/>
    </row>
    <row r="111" spans="2:46" ht="16.5" thickBot="1">
      <c r="B111" s="379">
        <v>850</v>
      </c>
      <c r="C111" s="240" t="s">
        <v>67</v>
      </c>
      <c r="AD111" s="296"/>
      <c r="AE111" s="296"/>
      <c r="AF111" s="296"/>
      <c r="AG111" s="296"/>
      <c r="AH111" s="296"/>
      <c r="AI111" s="296"/>
      <c r="AJ111" s="296"/>
      <c r="AK111" s="296"/>
      <c r="AL111" s="296"/>
      <c r="AM111" s="296"/>
      <c r="AN111" s="296"/>
      <c r="AO111" s="296"/>
      <c r="AP111" s="267"/>
      <c r="AQ111" s="267"/>
      <c r="AR111" s="267"/>
      <c r="AS111" s="267"/>
      <c r="AT111" s="267"/>
    </row>
    <row r="112" spans="2:46" ht="15.75">
      <c r="B112" s="423">
        <f>+B111/30*7</f>
        <v>198.33333333333331</v>
      </c>
      <c r="C112" s="240" t="s">
        <v>68</v>
      </c>
      <c r="D112" s="380"/>
      <c r="O112" s="1053" t="s">
        <v>69</v>
      </c>
      <c r="P112" s="1053"/>
      <c r="Q112" s="1053"/>
      <c r="R112" s="1053"/>
      <c r="S112" s="1053"/>
      <c r="T112" s="1053"/>
      <c r="U112" s="1053"/>
      <c r="V112" s="1053"/>
      <c r="W112" s="1053"/>
      <c r="X112" s="1053"/>
      <c r="Y112" s="1053"/>
      <c r="Z112" s="1053"/>
      <c r="AD112" s="296"/>
      <c r="AE112" s="547"/>
      <c r="AF112" s="547"/>
      <c r="AG112" s="296"/>
      <c r="AH112" s="296"/>
      <c r="AI112" s="296"/>
      <c r="AJ112" s="547"/>
      <c r="AK112" s="547"/>
      <c r="AL112" s="296"/>
      <c r="AM112" s="296"/>
      <c r="AN112" s="296"/>
      <c r="AO112" s="296"/>
      <c r="AP112" s="267"/>
      <c r="AQ112" s="267"/>
      <c r="AR112" s="267"/>
      <c r="AS112" s="267"/>
      <c r="AT112" s="267"/>
    </row>
    <row r="113" spans="2:46">
      <c r="B113" s="423">
        <f>+B112-18</f>
        <v>180.33333333333331</v>
      </c>
      <c r="C113" s="240" t="s">
        <v>70</v>
      </c>
      <c r="O113" s="1053">
        <f>+B111</f>
        <v>850</v>
      </c>
      <c r="P113" s="1053"/>
      <c r="Q113" s="1053" t="s">
        <v>71</v>
      </c>
      <c r="R113" s="1053"/>
      <c r="S113" s="1053"/>
      <c r="T113" s="1053"/>
      <c r="U113" s="1053"/>
      <c r="V113" s="1053"/>
      <c r="W113" s="1053"/>
      <c r="X113" s="1053"/>
      <c r="Y113" s="1053"/>
      <c r="Z113" s="1053"/>
      <c r="AA113" s="7" t="s">
        <v>72</v>
      </c>
      <c r="AD113" s="296"/>
      <c r="AE113" s="996">
        <v>198.32</v>
      </c>
      <c r="AF113" s="996"/>
      <c r="AG113" s="996"/>
      <c r="AH113" s="296"/>
      <c r="AI113" s="996"/>
      <c r="AJ113" s="996"/>
      <c r="AK113" s="996"/>
      <c r="AL113" s="1068">
        <f>+AL114+AL115</f>
        <v>192.18149689334777</v>
      </c>
      <c r="AM113" s="1068"/>
      <c r="AN113" s="1068"/>
      <c r="AO113" s="1068">
        <f>+AL113-18</f>
        <v>174.18149689334777</v>
      </c>
      <c r="AP113" s="1068"/>
      <c r="AQ113" s="1068"/>
      <c r="AR113" s="267"/>
      <c r="AS113" s="267"/>
      <c r="AT113" s="267"/>
    </row>
    <row r="114" spans="2:46">
      <c r="B114" s="424">
        <f>+B113/7</f>
        <v>25.761904761904759</v>
      </c>
      <c r="C114" s="382" t="s">
        <v>73</v>
      </c>
      <c r="D114" s="383"/>
      <c r="O114" s="1053">
        <f>+O113/30*7</f>
        <v>198.33333333333331</v>
      </c>
      <c r="P114" s="1053"/>
      <c r="Q114" s="1053" t="s">
        <v>74</v>
      </c>
      <c r="R114" s="1053"/>
      <c r="S114" s="1053"/>
      <c r="T114" s="1053"/>
      <c r="U114" s="1053"/>
      <c r="V114" s="1053"/>
      <c r="W114" s="1053"/>
      <c r="X114" s="1053"/>
      <c r="Y114" s="1053"/>
      <c r="Z114" s="1053"/>
      <c r="AA114" s="1064">
        <f>+O114*0.87</f>
        <v>172.54999999999998</v>
      </c>
      <c r="AB114" s="1064"/>
      <c r="AD114" s="296"/>
      <c r="AE114" s="996">
        <v>22.89</v>
      </c>
      <c r="AF114" s="996"/>
      <c r="AG114" s="996"/>
      <c r="AH114" s="296"/>
      <c r="AI114" s="1069">
        <f>+AE114/AE113</f>
        <v>0.11541952400161357</v>
      </c>
      <c r="AJ114" s="1069"/>
      <c r="AK114" s="1069"/>
      <c r="AL114" s="1068">
        <f>+AI114*AL115/AI115</f>
        <v>22.181496893347781</v>
      </c>
      <c r="AM114" s="1068"/>
      <c r="AN114" s="1068"/>
      <c r="AO114" s="1070">
        <f>+AO113/7</f>
        <v>24.883070984763968</v>
      </c>
      <c r="AP114" s="1071"/>
      <c r="AQ114" s="1072"/>
      <c r="AR114" s="267"/>
      <c r="AS114" s="267"/>
      <c r="AT114" s="267"/>
    </row>
    <row r="115" spans="2:46">
      <c r="O115" s="1053">
        <f>+O114/7</f>
        <v>28.333333333333332</v>
      </c>
      <c r="P115" s="1053"/>
      <c r="Q115" s="1053" t="s">
        <v>75</v>
      </c>
      <c r="R115" s="1053"/>
      <c r="S115" s="1053"/>
      <c r="T115" s="1053"/>
      <c r="U115" s="1053"/>
      <c r="V115" s="1053"/>
      <c r="W115" s="1053"/>
      <c r="X115" s="1053"/>
      <c r="Y115" s="1053"/>
      <c r="Z115" s="1053"/>
      <c r="AD115" s="296"/>
      <c r="AE115" s="996">
        <v>175.43</v>
      </c>
      <c r="AF115" s="996"/>
      <c r="AG115" s="996"/>
      <c r="AH115" s="296"/>
      <c r="AI115" s="1066">
        <f>1-AI114</f>
        <v>0.88458047599838641</v>
      </c>
      <c r="AJ115" s="1067"/>
      <c r="AK115" s="1067"/>
      <c r="AL115" s="1068">
        <v>170</v>
      </c>
      <c r="AM115" s="1068"/>
      <c r="AN115" s="1068"/>
      <c r="AO115" s="996"/>
      <c r="AP115" s="996"/>
      <c r="AQ115" s="996"/>
      <c r="AR115" s="267"/>
      <c r="AS115" s="267"/>
      <c r="AT115" s="267"/>
    </row>
    <row r="116" spans="2:46" ht="15.75">
      <c r="B116" s="388">
        <f>+B114</f>
        <v>25.761904761904759</v>
      </c>
      <c r="C116" s="389" t="s">
        <v>76</v>
      </c>
      <c r="D116" s="390"/>
      <c r="E116" s="390"/>
      <c r="F116" s="390"/>
      <c r="O116" s="1065">
        <f>(O114-18)/7</f>
        <v>25.761904761904759</v>
      </c>
      <c r="P116" s="1065"/>
      <c r="Q116" s="1065" t="s">
        <v>77</v>
      </c>
      <c r="R116" s="1065"/>
      <c r="S116" s="1065"/>
      <c r="T116" s="1065"/>
      <c r="U116" s="1065"/>
      <c r="V116" s="1065"/>
      <c r="W116" s="1065"/>
      <c r="X116" s="1065"/>
      <c r="Y116" s="1065"/>
      <c r="Z116" s="1065"/>
      <c r="AD116" s="296"/>
      <c r="AE116" s="996"/>
      <c r="AF116" s="996"/>
      <c r="AG116" s="996"/>
      <c r="AH116" s="296"/>
      <c r="AI116" s="1067"/>
      <c r="AJ116" s="1067"/>
      <c r="AK116" s="1067"/>
      <c r="AL116" s="296"/>
      <c r="AM116" s="385"/>
      <c r="AN116" s="385"/>
      <c r="AO116" s="385"/>
      <c r="AP116" s="386"/>
      <c r="AQ116" s="386"/>
      <c r="AR116" s="267"/>
      <c r="AS116" s="267"/>
      <c r="AT116" s="267"/>
    </row>
    <row r="117" spans="2:46">
      <c r="B117" s="168">
        <v>3</v>
      </c>
      <c r="C117" s="240" t="s">
        <v>78</v>
      </c>
      <c r="O117" s="1053">
        <v>3</v>
      </c>
      <c r="P117" s="1053"/>
      <c r="Q117" s="1053" t="s">
        <v>79</v>
      </c>
      <c r="R117" s="1053"/>
      <c r="S117" s="1053"/>
      <c r="T117" s="1053"/>
      <c r="U117" s="1053"/>
      <c r="V117" s="1053"/>
      <c r="W117" s="1053"/>
      <c r="X117" s="1053"/>
      <c r="Y117" s="1053"/>
      <c r="Z117" s="1053"/>
      <c r="AD117" s="296"/>
      <c r="AE117" s="996">
        <v>198.39</v>
      </c>
      <c r="AF117" s="996"/>
      <c r="AG117" s="996"/>
      <c r="AH117" s="296"/>
      <c r="AI117" s="1067">
        <v>198.32</v>
      </c>
      <c r="AJ117" s="1067"/>
      <c r="AK117" s="1067"/>
      <c r="AL117" s="296"/>
      <c r="AM117" s="385"/>
      <c r="AN117" s="385"/>
      <c r="AO117" s="385"/>
      <c r="AP117" s="386"/>
      <c r="AQ117" s="386"/>
      <c r="AR117" s="267"/>
      <c r="AS117" s="267"/>
      <c r="AT117" s="267"/>
    </row>
    <row r="118" spans="2:46">
      <c r="B118" s="381">
        <f>+B117+B116</f>
        <v>28.761904761904759</v>
      </c>
      <c r="C118" s="382" t="s">
        <v>80</v>
      </c>
      <c r="D118" s="393"/>
      <c r="E118" s="394"/>
      <c r="F118" s="395"/>
      <c r="G118" s="393"/>
      <c r="H118" s="393"/>
      <c r="I118" s="395"/>
      <c r="J118" s="393"/>
      <c r="K118" s="396"/>
      <c r="L118" s="396"/>
      <c r="M118" s="383"/>
      <c r="O118" s="1053">
        <f>+O117+O116</f>
        <v>28.761904761904759</v>
      </c>
      <c r="P118" s="1053"/>
      <c r="AD118" s="296"/>
      <c r="AE118" s="1073">
        <f>+AE117/7*30</f>
        <v>850.24285714285702</v>
      </c>
      <c r="AF118" s="1073"/>
      <c r="AG118" s="1073"/>
      <c r="AH118" s="296"/>
      <c r="AI118" s="1074">
        <f>+AI117/7*30</f>
        <v>849.94285714285718</v>
      </c>
      <c r="AJ118" s="1074"/>
      <c r="AK118" s="1074"/>
      <c r="AL118" s="296"/>
      <c r="AM118" s="387"/>
      <c r="AN118" s="387"/>
      <c r="AO118" s="387"/>
      <c r="AP118" s="397"/>
      <c r="AQ118" s="267"/>
      <c r="AR118" s="267"/>
      <c r="AS118" s="267"/>
      <c r="AT118" s="267"/>
    </row>
    <row r="119" spans="2:46">
      <c r="B119" s="168"/>
      <c r="AD119" s="296"/>
      <c r="AE119" s="296"/>
      <c r="AF119" s="296"/>
      <c r="AG119" s="296"/>
      <c r="AH119" s="296"/>
      <c r="AI119" s="296"/>
      <c r="AJ119" s="296"/>
      <c r="AK119" s="296"/>
      <c r="AL119" s="296"/>
      <c r="AM119" s="296"/>
      <c r="AN119" s="296"/>
      <c r="AO119" s="296"/>
      <c r="AP119" s="267"/>
      <c r="AQ119" s="267"/>
      <c r="AR119" s="267"/>
      <c r="AS119" s="267"/>
      <c r="AT119" s="267"/>
    </row>
    <row r="120" spans="2:46">
      <c r="B120" s="168">
        <f>+B118*6</f>
        <v>172.57142857142856</v>
      </c>
      <c r="C120" s="240" t="s">
        <v>81</v>
      </c>
      <c r="O120" s="1053" t="s">
        <v>82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D120" s="296"/>
      <c r="AE120" s="296"/>
      <c r="AF120" s="296"/>
      <c r="AG120" s="296"/>
      <c r="AH120" s="296"/>
      <c r="AI120" s="385"/>
      <c r="AJ120" s="385"/>
      <c r="AK120" s="387"/>
      <c r="AL120" s="545"/>
      <c r="AM120" s="547"/>
      <c r="AN120" s="545"/>
      <c r="AO120" s="296"/>
      <c r="AP120" s="267"/>
      <c r="AQ120" s="267"/>
      <c r="AR120" s="267"/>
      <c r="AS120" s="267"/>
      <c r="AT120" s="267"/>
    </row>
    <row r="121" spans="2:46">
      <c r="B121" s="399">
        <f>+B116</f>
        <v>25.761904761904759</v>
      </c>
      <c r="C121" s="400" t="s">
        <v>83</v>
      </c>
      <c r="D121" s="401"/>
      <c r="E121" s="402"/>
      <c r="F121" s="403"/>
      <c r="G121" s="401"/>
      <c r="H121" s="401"/>
      <c r="I121" s="403"/>
      <c r="J121" s="401"/>
      <c r="K121" s="404"/>
      <c r="L121" s="405"/>
      <c r="O121" s="1053">
        <f>+O113*1.1</f>
        <v>935.00000000000011</v>
      </c>
      <c r="P121" s="1053"/>
      <c r="Q121" s="1053" t="s">
        <v>71</v>
      </c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7" t="s">
        <v>84</v>
      </c>
      <c r="AG121" s="267"/>
      <c r="AH121" s="267"/>
      <c r="AI121" s="386"/>
      <c r="AJ121" s="386"/>
      <c r="AK121" s="386"/>
      <c r="AL121" s="267"/>
      <c r="AM121" s="267"/>
      <c r="AN121" s="267"/>
      <c r="AO121" s="267"/>
    </row>
    <row r="122" spans="2:46">
      <c r="B122" s="381">
        <f>+B121+B120</f>
        <v>198.33333333333331</v>
      </c>
      <c r="C122" s="382" t="s">
        <v>85</v>
      </c>
      <c r="D122" s="393"/>
      <c r="E122" s="394"/>
      <c r="F122" s="395"/>
      <c r="G122" s="393"/>
      <c r="H122" s="393"/>
      <c r="I122" s="395"/>
      <c r="J122" s="393"/>
      <c r="K122" s="406"/>
      <c r="L122" s="405"/>
      <c r="O122" s="1053">
        <f>+O121/30*7</f>
        <v>218.16666666666669</v>
      </c>
      <c r="P122" s="1053"/>
      <c r="Q122" s="1053" t="s">
        <v>74</v>
      </c>
      <c r="R122" s="1053"/>
      <c r="S122" s="1053"/>
      <c r="T122" s="1053"/>
      <c r="U122" s="1053"/>
      <c r="V122" s="1053"/>
      <c r="W122" s="1053"/>
      <c r="X122" s="1053"/>
      <c r="Y122" s="1053"/>
      <c r="Z122" s="1053"/>
      <c r="AA122" s="1064">
        <f>+O122*0.87</f>
        <v>189.80500000000001</v>
      </c>
      <c r="AB122" s="1064"/>
      <c r="AG122" s="267"/>
      <c r="AH122" s="267"/>
      <c r="AI122" s="386"/>
      <c r="AJ122" s="386"/>
      <c r="AK122" s="407"/>
      <c r="AL122" s="267"/>
      <c r="AM122" s="267"/>
      <c r="AN122" s="267"/>
      <c r="AO122" s="267"/>
    </row>
    <row r="123" spans="2:46">
      <c r="B123" s="408"/>
      <c r="C123" s="409"/>
      <c r="D123" s="333"/>
      <c r="E123" s="410"/>
      <c r="F123" s="411"/>
      <c r="G123" s="333"/>
      <c r="H123" s="333"/>
      <c r="I123" s="411"/>
      <c r="J123" s="333"/>
      <c r="K123" s="405"/>
      <c r="L123" s="405"/>
      <c r="O123" s="1053">
        <f>+O122/7</f>
        <v>31.166666666666668</v>
      </c>
      <c r="P123" s="1053"/>
      <c r="Q123" s="1053" t="s">
        <v>75</v>
      </c>
      <c r="R123" s="1053"/>
      <c r="S123" s="1053"/>
      <c r="T123" s="1053"/>
      <c r="U123" s="1053"/>
      <c r="V123" s="1053"/>
      <c r="W123" s="1053"/>
      <c r="X123" s="1053"/>
      <c r="Y123" s="1053"/>
      <c r="Z123" s="1053"/>
      <c r="AG123" s="267"/>
      <c r="AH123" s="267"/>
      <c r="AI123" s="412"/>
      <c r="AJ123" s="413"/>
      <c r="AK123" s="407"/>
      <c r="AL123" s="267"/>
      <c r="AM123" s="267"/>
      <c r="AN123" s="267"/>
      <c r="AO123" s="267"/>
    </row>
    <row r="124" spans="2:46" ht="15.75">
      <c r="B124" s="426">
        <f>+B122/7</f>
        <v>28.333333333333332</v>
      </c>
      <c r="C124" s="415" t="s">
        <v>86</v>
      </c>
      <c r="D124" s="416"/>
      <c r="E124" s="417"/>
      <c r="F124" s="411"/>
      <c r="G124" s="333"/>
      <c r="H124" s="333"/>
      <c r="I124" s="411"/>
      <c r="J124" s="333"/>
      <c r="K124" s="405"/>
      <c r="L124" s="405"/>
      <c r="O124" s="1065">
        <f>(O122-18)/7</f>
        <v>28.595238095238098</v>
      </c>
      <c r="P124" s="1065"/>
      <c r="Q124" s="1065" t="s">
        <v>77</v>
      </c>
      <c r="R124" s="1065"/>
      <c r="S124" s="1065"/>
      <c r="T124" s="1065"/>
      <c r="U124" s="1065"/>
      <c r="V124" s="1065"/>
      <c r="W124" s="1065"/>
      <c r="X124" s="1065"/>
      <c r="Y124" s="1065"/>
      <c r="Z124" s="1065"/>
      <c r="AG124" s="267"/>
      <c r="AH124" s="267"/>
      <c r="AI124" s="267"/>
      <c r="AJ124" s="267"/>
      <c r="AK124" s="407"/>
      <c r="AL124" s="267"/>
      <c r="AM124" s="267"/>
      <c r="AN124" s="267"/>
      <c r="AO124" s="267"/>
    </row>
    <row r="125" spans="2:46">
      <c r="B125" s="408"/>
      <c r="C125" s="409"/>
      <c r="D125" s="333"/>
      <c r="E125" s="410"/>
      <c r="F125" s="411"/>
      <c r="G125" s="333"/>
      <c r="H125" s="333"/>
      <c r="I125" s="411"/>
      <c r="J125" s="333"/>
      <c r="K125" s="405"/>
      <c r="L125" s="405"/>
      <c r="O125" s="1053">
        <v>3</v>
      </c>
      <c r="P125" s="1053"/>
      <c r="Q125" s="1053" t="s">
        <v>79</v>
      </c>
      <c r="R125" s="1053"/>
      <c r="S125" s="1053"/>
      <c r="T125" s="1053"/>
      <c r="U125" s="1053"/>
      <c r="V125" s="1053"/>
      <c r="W125" s="1053"/>
      <c r="X125" s="1053"/>
      <c r="Y125" s="1053"/>
      <c r="Z125" s="1053"/>
      <c r="AG125" s="267"/>
      <c r="AH125" s="267"/>
      <c r="AI125" s="267"/>
      <c r="AJ125" s="267"/>
      <c r="AK125" s="267"/>
      <c r="AL125" s="267"/>
      <c r="AM125" s="267"/>
      <c r="AN125" s="267"/>
      <c r="AO125" s="267"/>
    </row>
    <row r="126" spans="2:46">
      <c r="B126" s="408">
        <v>28.333333333333332</v>
      </c>
      <c r="C126" s="409"/>
      <c r="D126" s="333"/>
      <c r="E126" s="410"/>
      <c r="F126" s="411"/>
      <c r="G126" s="333"/>
      <c r="H126" s="333"/>
      <c r="I126" s="411"/>
      <c r="J126" s="333"/>
      <c r="K126" s="405"/>
      <c r="L126" s="405"/>
      <c r="O126" s="1053">
        <f>+O125+O124</f>
        <v>31.595238095238098</v>
      </c>
      <c r="P126" s="1053"/>
      <c r="AG126" s="267"/>
      <c r="AH126" s="267"/>
      <c r="AI126" s="267"/>
      <c r="AJ126" s="267"/>
      <c r="AK126" s="267"/>
      <c r="AL126" s="267"/>
      <c r="AM126" s="267"/>
      <c r="AN126" s="267"/>
      <c r="AO126" s="267"/>
    </row>
    <row r="127" spans="2:46">
      <c r="B127" s="168"/>
      <c r="AG127" s="267"/>
      <c r="AH127" s="267"/>
      <c r="AI127" s="267"/>
      <c r="AJ127" s="267"/>
      <c r="AK127" s="267"/>
      <c r="AL127" s="267"/>
      <c r="AM127" s="267"/>
      <c r="AN127" s="267"/>
      <c r="AO127" s="267"/>
    </row>
    <row r="128" spans="2:46">
      <c r="B128" s="168"/>
      <c r="AG128" s="267"/>
      <c r="AH128" s="267"/>
      <c r="AI128" s="267"/>
      <c r="AJ128" s="267"/>
      <c r="AK128" s="267"/>
      <c r="AL128" s="267"/>
      <c r="AM128" s="267"/>
      <c r="AN128" s="267"/>
      <c r="AO128" s="267"/>
    </row>
    <row r="129" spans="2:46" ht="26.25" thickBot="1">
      <c r="B129" s="377" t="s">
        <v>89</v>
      </c>
      <c r="H129" s="1052">
        <v>42922</v>
      </c>
      <c r="I129" s="1052"/>
      <c r="J129" s="1052"/>
      <c r="K129" s="1052"/>
      <c r="L129" s="1052"/>
      <c r="M129" s="1052"/>
      <c r="N129" s="1052"/>
      <c r="AD129" s="378"/>
      <c r="AE129" s="378"/>
      <c r="AF129" s="378"/>
      <c r="AG129" s="167"/>
      <c r="AH129" s="167"/>
      <c r="AI129" s="167"/>
      <c r="AJ129" s="376"/>
      <c r="AK129" s="376"/>
    </row>
    <row r="130" spans="2:46" ht="16.5" thickBot="1">
      <c r="B130" s="379">
        <v>1231.53</v>
      </c>
      <c r="C130" s="240" t="s">
        <v>67</v>
      </c>
      <c r="AD130" s="296"/>
      <c r="AE130" s="296"/>
      <c r="AF130" s="296"/>
      <c r="AG130" s="296"/>
      <c r="AH130" s="296"/>
      <c r="AI130" s="296"/>
      <c r="AJ130" s="296"/>
      <c r="AK130" s="296"/>
      <c r="AL130" s="296"/>
      <c r="AM130" s="296"/>
      <c r="AN130" s="296"/>
      <c r="AO130" s="296"/>
      <c r="AP130" s="267"/>
      <c r="AQ130" s="267"/>
      <c r="AR130" s="267"/>
      <c r="AS130" s="267"/>
      <c r="AT130" s="267"/>
    </row>
    <row r="131" spans="2:46" ht="15.75">
      <c r="B131" s="168">
        <f>+B130/30*7</f>
        <v>287.35700000000003</v>
      </c>
      <c r="C131" s="240" t="s">
        <v>68</v>
      </c>
      <c r="D131" s="380"/>
      <c r="O131" s="1053" t="s">
        <v>69</v>
      </c>
      <c r="P131" s="1053"/>
      <c r="Q131" s="1053"/>
      <c r="R131" s="1053"/>
      <c r="S131" s="1053"/>
      <c r="T131" s="1053"/>
      <c r="U131" s="1053"/>
      <c r="V131" s="1053"/>
      <c r="W131" s="1053"/>
      <c r="X131" s="1053"/>
      <c r="Y131" s="1053"/>
      <c r="Z131" s="1053"/>
      <c r="AD131" s="296"/>
      <c r="AE131" s="547"/>
      <c r="AF131" s="547"/>
      <c r="AG131" s="296"/>
      <c r="AH131" s="296"/>
      <c r="AI131" s="296"/>
      <c r="AJ131" s="547"/>
      <c r="AK131" s="547"/>
      <c r="AL131" s="296"/>
      <c r="AM131" s="296"/>
      <c r="AN131" s="296"/>
      <c r="AO131" s="296"/>
      <c r="AP131" s="267"/>
      <c r="AQ131" s="267"/>
      <c r="AR131" s="267"/>
      <c r="AS131" s="267"/>
      <c r="AT131" s="267"/>
    </row>
    <row r="132" spans="2:46">
      <c r="B132" s="168">
        <f>+B131-18</f>
        <v>269.35700000000003</v>
      </c>
      <c r="C132" s="240" t="s">
        <v>70</v>
      </c>
      <c r="O132" s="1053">
        <f>+B130</f>
        <v>1231.53</v>
      </c>
      <c r="P132" s="1053"/>
      <c r="Q132" s="1053" t="s">
        <v>71</v>
      </c>
      <c r="R132" s="1053"/>
      <c r="S132" s="1053"/>
      <c r="T132" s="1053"/>
      <c r="U132" s="1053"/>
      <c r="V132" s="1053"/>
      <c r="W132" s="1053"/>
      <c r="X132" s="1053"/>
      <c r="Y132" s="1053"/>
      <c r="Z132" s="1053"/>
      <c r="AA132" s="7" t="s">
        <v>72</v>
      </c>
      <c r="AD132" s="296"/>
      <c r="AE132" s="547"/>
      <c r="AF132" s="547"/>
      <c r="AG132" s="296"/>
      <c r="AH132" s="296"/>
      <c r="AI132" s="296"/>
      <c r="AJ132" s="547"/>
      <c r="AK132" s="547"/>
      <c r="AL132" s="296"/>
      <c r="AM132" s="296"/>
      <c r="AN132" s="296"/>
      <c r="AO132" s="296"/>
      <c r="AP132" s="267"/>
      <c r="AQ132" s="267"/>
      <c r="AR132" s="267"/>
      <c r="AS132" s="267"/>
      <c r="AT132" s="267"/>
    </row>
    <row r="133" spans="2:46">
      <c r="B133" s="381">
        <f>+B132/7+0</f>
        <v>38.479571428571433</v>
      </c>
      <c r="C133" s="382" t="s">
        <v>73</v>
      </c>
      <c r="D133" s="383"/>
      <c r="O133" s="1053">
        <f>+O132/30*7</f>
        <v>287.35700000000003</v>
      </c>
      <c r="P133" s="1053"/>
      <c r="Q133" s="1053" t="s">
        <v>74</v>
      </c>
      <c r="R133" s="1053"/>
      <c r="S133" s="1053"/>
      <c r="T133" s="1053"/>
      <c r="U133" s="1053"/>
      <c r="V133" s="1053"/>
      <c r="W133" s="1053"/>
      <c r="X133" s="1053"/>
      <c r="Y133" s="1053"/>
      <c r="Z133" s="1053"/>
      <c r="AA133" s="1064">
        <f>+O133*0.87</f>
        <v>250.00059000000002</v>
      </c>
      <c r="AB133" s="1064"/>
      <c r="AD133" s="296"/>
      <c r="AE133" s="384"/>
      <c r="AF133" s="384"/>
      <c r="AG133" s="296"/>
      <c r="AH133" s="296"/>
      <c r="AI133" s="296"/>
      <c r="AJ133" s="384"/>
      <c r="AK133" s="384"/>
      <c r="AL133" s="385"/>
      <c r="AM133" s="385"/>
      <c r="AN133" s="385"/>
      <c r="AO133" s="385"/>
      <c r="AP133" s="386"/>
      <c r="AQ133" s="386"/>
      <c r="AR133" s="267"/>
      <c r="AS133" s="267"/>
      <c r="AT133" s="267"/>
    </row>
    <row r="134" spans="2:46">
      <c r="O134" s="1053">
        <f>+O133/7</f>
        <v>41.051000000000002</v>
      </c>
      <c r="P134" s="1053"/>
      <c r="Q134" s="1053" t="s">
        <v>75</v>
      </c>
      <c r="R134" s="1053"/>
      <c r="S134" s="1053"/>
      <c r="T134" s="1053"/>
      <c r="U134" s="1053"/>
      <c r="V134" s="1053"/>
      <c r="W134" s="1053"/>
      <c r="X134" s="1053"/>
      <c r="Y134" s="1053"/>
      <c r="Z134" s="1053"/>
      <c r="AD134" s="296"/>
      <c r="AE134" s="547"/>
      <c r="AF134" s="547"/>
      <c r="AG134" s="296"/>
      <c r="AH134" s="296"/>
      <c r="AI134" s="296"/>
      <c r="AJ134" s="547"/>
      <c r="AK134" s="547"/>
      <c r="AL134" s="387"/>
      <c r="AM134" s="387"/>
      <c r="AN134" s="385"/>
      <c r="AO134" s="385"/>
      <c r="AP134" s="386"/>
      <c r="AQ134" s="386"/>
      <c r="AR134" s="267"/>
      <c r="AS134" s="267"/>
      <c r="AT134" s="267"/>
    </row>
    <row r="135" spans="2:46" ht="15.75">
      <c r="B135" s="427">
        <f>+B133</f>
        <v>38.479571428571433</v>
      </c>
      <c r="C135" s="389" t="s">
        <v>76</v>
      </c>
      <c r="D135" s="390"/>
      <c r="E135" s="390"/>
      <c r="F135" s="390"/>
      <c r="O135" s="1065">
        <f>(O133-18)/7</f>
        <v>38.479571428571433</v>
      </c>
      <c r="P135" s="1065"/>
      <c r="Q135" s="1065" t="s">
        <v>77</v>
      </c>
      <c r="R135" s="1065"/>
      <c r="S135" s="1065"/>
      <c r="T135" s="1065"/>
      <c r="U135" s="1065"/>
      <c r="V135" s="1065"/>
      <c r="W135" s="1065"/>
      <c r="X135" s="1065"/>
      <c r="Y135" s="1065"/>
      <c r="Z135" s="1065"/>
      <c r="AD135" s="296"/>
      <c r="AE135" s="391"/>
      <c r="AF135" s="391"/>
      <c r="AG135" s="392"/>
      <c r="AH135" s="392"/>
      <c r="AI135" s="392"/>
      <c r="AJ135" s="391"/>
      <c r="AK135" s="391"/>
      <c r="AL135" s="385"/>
      <c r="AM135" s="385"/>
      <c r="AN135" s="385"/>
      <c r="AO135" s="385"/>
      <c r="AP135" s="386"/>
      <c r="AQ135" s="386"/>
      <c r="AR135" s="267"/>
      <c r="AS135" s="267"/>
      <c r="AT135" s="267"/>
    </row>
    <row r="136" spans="2:46">
      <c r="B136" s="168">
        <v>3</v>
      </c>
      <c r="C136" s="240" t="s">
        <v>78</v>
      </c>
      <c r="O136" s="1053">
        <v>3</v>
      </c>
      <c r="P136" s="1053"/>
      <c r="Q136" s="1053" t="s">
        <v>79</v>
      </c>
      <c r="R136" s="1053"/>
      <c r="S136" s="1053"/>
      <c r="T136" s="1053"/>
      <c r="U136" s="1053"/>
      <c r="V136" s="1053"/>
      <c r="W136" s="1053"/>
      <c r="X136" s="1053"/>
      <c r="Y136" s="1053"/>
      <c r="Z136" s="1053"/>
      <c r="AD136" s="296"/>
      <c r="AE136" s="296"/>
      <c r="AF136" s="391"/>
      <c r="AG136" s="392"/>
      <c r="AH136" s="392"/>
      <c r="AI136" s="392"/>
      <c r="AJ136" s="391"/>
      <c r="AK136" s="296"/>
      <c r="AL136" s="385"/>
      <c r="AM136" s="385"/>
      <c r="AN136" s="385"/>
      <c r="AO136" s="385"/>
      <c r="AP136" s="386"/>
      <c r="AQ136" s="386"/>
      <c r="AR136" s="267"/>
      <c r="AS136" s="267"/>
      <c r="AT136" s="267"/>
    </row>
    <row r="137" spans="2:46">
      <c r="B137" s="381">
        <f>+B136+B135</f>
        <v>41.479571428571433</v>
      </c>
      <c r="C137" s="382" t="s">
        <v>80</v>
      </c>
      <c r="D137" s="393"/>
      <c r="E137" s="394"/>
      <c r="F137" s="395"/>
      <c r="G137" s="393"/>
      <c r="H137" s="393"/>
      <c r="I137" s="395"/>
      <c r="J137" s="393"/>
      <c r="K137" s="396"/>
      <c r="L137" s="396"/>
      <c r="M137" s="383"/>
      <c r="O137" s="1053">
        <f>+O136+O135</f>
        <v>41.479571428571433</v>
      </c>
      <c r="P137" s="1053"/>
      <c r="AD137" s="296"/>
      <c r="AE137" s="547"/>
      <c r="AF137" s="547"/>
      <c r="AG137" s="296"/>
      <c r="AH137" s="296"/>
      <c r="AI137" s="296"/>
      <c r="AJ137" s="547"/>
      <c r="AK137" s="547"/>
      <c r="AL137" s="387"/>
      <c r="AM137" s="387"/>
      <c r="AN137" s="387"/>
      <c r="AO137" s="387"/>
      <c r="AP137" s="397"/>
      <c r="AQ137" s="267"/>
      <c r="AR137" s="267"/>
      <c r="AS137" s="267"/>
      <c r="AT137" s="267"/>
    </row>
    <row r="138" spans="2:46">
      <c r="B138" s="168"/>
      <c r="AD138" s="296"/>
      <c r="AE138" s="398"/>
      <c r="AF138" s="398"/>
      <c r="AG138" s="398"/>
      <c r="AH138" s="296"/>
      <c r="AI138" s="296"/>
      <c r="AJ138" s="398"/>
      <c r="AK138" s="398"/>
      <c r="AL138" s="385"/>
      <c r="AM138" s="296"/>
      <c r="AN138" s="296"/>
      <c r="AO138" s="296"/>
      <c r="AP138" s="267"/>
      <c r="AQ138" s="267"/>
      <c r="AR138" s="267"/>
      <c r="AS138" s="267"/>
      <c r="AT138" s="267"/>
    </row>
    <row r="139" spans="2:46">
      <c r="B139" s="168">
        <f>+B137*6</f>
        <v>248.8774285714286</v>
      </c>
      <c r="C139" s="240" t="s">
        <v>81</v>
      </c>
      <c r="O139" s="1053" t="s">
        <v>82</v>
      </c>
      <c r="P139" s="1053"/>
      <c r="Q139" s="1053"/>
      <c r="R139" s="1053"/>
      <c r="S139" s="1053"/>
      <c r="T139" s="1053"/>
      <c r="U139" s="1053"/>
      <c r="V139" s="1053"/>
      <c r="W139" s="1053"/>
      <c r="X139" s="1053"/>
      <c r="Y139" s="1053"/>
      <c r="Z139" s="1053"/>
      <c r="AD139" s="296"/>
      <c r="AE139" s="296"/>
      <c r="AF139" s="296"/>
      <c r="AG139" s="296"/>
      <c r="AH139" s="296"/>
      <c r="AI139" s="385"/>
      <c r="AJ139" s="385"/>
      <c r="AK139" s="387"/>
      <c r="AL139" s="545"/>
      <c r="AM139" s="547"/>
      <c r="AN139" s="545"/>
      <c r="AO139" s="296"/>
      <c r="AP139" s="267"/>
      <c r="AQ139" s="267"/>
      <c r="AR139" s="267"/>
      <c r="AS139" s="267"/>
      <c r="AT139" s="267"/>
    </row>
    <row r="140" spans="2:46">
      <c r="B140" s="399">
        <f>+B135</f>
        <v>38.479571428571433</v>
      </c>
      <c r="C140" s="400" t="s">
        <v>83</v>
      </c>
      <c r="D140" s="401"/>
      <c r="E140" s="402"/>
      <c r="F140" s="403"/>
      <c r="G140" s="401"/>
      <c r="H140" s="401"/>
      <c r="I140" s="403"/>
      <c r="J140" s="401"/>
      <c r="K140" s="404"/>
      <c r="L140" s="405"/>
      <c r="O140" s="1053">
        <f>+O132*1.1</f>
        <v>1354.683</v>
      </c>
      <c r="P140" s="1053"/>
      <c r="Q140" s="1053" t="s">
        <v>71</v>
      </c>
      <c r="R140" s="1053"/>
      <c r="S140" s="1053"/>
      <c r="T140" s="1053"/>
      <c r="U140" s="1053"/>
      <c r="V140" s="1053"/>
      <c r="W140" s="1053"/>
      <c r="X140" s="1053"/>
      <c r="Y140" s="1053"/>
      <c r="Z140" s="1053"/>
      <c r="AA140" s="7" t="s">
        <v>84</v>
      </c>
      <c r="AG140" s="267"/>
      <c r="AH140" s="267"/>
      <c r="AI140" s="386"/>
      <c r="AJ140" s="386"/>
      <c r="AK140" s="386"/>
      <c r="AL140" s="267"/>
      <c r="AM140" s="267"/>
      <c r="AN140" s="267"/>
      <c r="AO140" s="267"/>
    </row>
    <row r="141" spans="2:46">
      <c r="B141" s="381">
        <f>+B140+B139</f>
        <v>287.35700000000003</v>
      </c>
      <c r="C141" s="382" t="s">
        <v>85</v>
      </c>
      <c r="D141" s="393"/>
      <c r="E141" s="394"/>
      <c r="F141" s="395"/>
      <c r="G141" s="393"/>
      <c r="H141" s="393"/>
      <c r="I141" s="395"/>
      <c r="J141" s="393"/>
      <c r="K141" s="406"/>
      <c r="L141" s="405"/>
      <c r="O141" s="1053">
        <f>+O140/30*7</f>
        <v>316.09270000000004</v>
      </c>
      <c r="P141" s="1053"/>
      <c r="Q141" s="1053" t="s">
        <v>74</v>
      </c>
      <c r="R141" s="1053"/>
      <c r="S141" s="1053"/>
      <c r="T141" s="1053"/>
      <c r="U141" s="1053"/>
      <c r="V141" s="1053"/>
      <c r="W141" s="1053"/>
      <c r="X141" s="1053"/>
      <c r="Y141" s="1053"/>
      <c r="Z141" s="1053"/>
      <c r="AA141" s="1064">
        <f>+O141*0.87</f>
        <v>275.00064900000001</v>
      </c>
      <c r="AB141" s="1064"/>
      <c r="AG141" s="267"/>
      <c r="AH141" s="267"/>
      <c r="AI141" s="386"/>
      <c r="AJ141" s="386"/>
      <c r="AK141" s="407"/>
      <c r="AL141" s="267"/>
      <c r="AM141" s="267"/>
      <c r="AN141" s="267"/>
      <c r="AO141" s="267"/>
    </row>
    <row r="142" spans="2:46">
      <c r="B142" s="408"/>
      <c r="C142" s="409"/>
      <c r="D142" s="333"/>
      <c r="E142" s="410"/>
      <c r="F142" s="411"/>
      <c r="G142" s="333"/>
      <c r="H142" s="333"/>
      <c r="I142" s="411"/>
      <c r="J142" s="333"/>
      <c r="K142" s="405"/>
      <c r="L142" s="405"/>
      <c r="O142" s="1053">
        <f>+O141/7</f>
        <v>45.156100000000002</v>
      </c>
      <c r="P142" s="1053"/>
      <c r="Q142" s="1053" t="s">
        <v>75</v>
      </c>
      <c r="R142" s="1053"/>
      <c r="S142" s="1053"/>
      <c r="T142" s="1053"/>
      <c r="U142" s="1053"/>
      <c r="V142" s="1053"/>
      <c r="W142" s="1053"/>
      <c r="X142" s="1053"/>
      <c r="Y142" s="1053"/>
      <c r="Z142" s="1053"/>
      <c r="AG142" s="267"/>
      <c r="AH142" s="267"/>
      <c r="AI142" s="412"/>
      <c r="AJ142" s="413"/>
      <c r="AK142" s="407"/>
      <c r="AL142" s="267"/>
      <c r="AM142" s="267"/>
      <c r="AN142" s="267"/>
      <c r="AO142" s="267"/>
    </row>
    <row r="143" spans="2:46" ht="15.75">
      <c r="B143" s="426">
        <f>+B141/7</f>
        <v>41.051000000000002</v>
      </c>
      <c r="C143" s="415" t="s">
        <v>86</v>
      </c>
      <c r="D143" s="416"/>
      <c r="E143" s="417"/>
      <c r="F143" s="418"/>
      <c r="G143" s="419"/>
      <c r="H143" s="419"/>
      <c r="I143" s="411"/>
      <c r="J143" s="333"/>
      <c r="K143" s="405"/>
      <c r="L143" s="405"/>
      <c r="O143" s="1065">
        <f>(O141-18)/7</f>
        <v>42.584671428571433</v>
      </c>
      <c r="P143" s="1065"/>
      <c r="Q143" s="1065" t="s">
        <v>77</v>
      </c>
      <c r="R143" s="1065"/>
      <c r="S143" s="1065"/>
      <c r="T143" s="1065"/>
      <c r="U143" s="1065"/>
      <c r="V143" s="1065"/>
      <c r="W143" s="1065"/>
      <c r="X143" s="1065"/>
      <c r="Y143" s="1065"/>
      <c r="Z143" s="1065"/>
      <c r="AG143" s="267"/>
      <c r="AH143" s="267"/>
      <c r="AI143" s="267"/>
      <c r="AJ143" s="267"/>
      <c r="AK143" s="407"/>
      <c r="AL143" s="267"/>
      <c r="AM143" s="267"/>
      <c r="AN143" s="267"/>
      <c r="AO143" s="267"/>
    </row>
    <row r="144" spans="2:46">
      <c r="B144" s="408"/>
      <c r="C144" s="409"/>
      <c r="D144" s="333"/>
      <c r="E144" s="410"/>
      <c r="F144" s="411"/>
      <c r="G144" s="333"/>
      <c r="H144" s="333"/>
      <c r="I144" s="411"/>
      <c r="J144" s="333"/>
      <c r="K144" s="405"/>
      <c r="L144" s="405"/>
      <c r="O144" s="1053">
        <v>3</v>
      </c>
      <c r="P144" s="1053"/>
      <c r="Q144" s="1053" t="s">
        <v>79</v>
      </c>
      <c r="R144" s="1053"/>
      <c r="S144" s="1053"/>
      <c r="T144" s="1053"/>
      <c r="U144" s="1053"/>
      <c r="V144" s="1053"/>
      <c r="W144" s="1053"/>
      <c r="X144" s="1053"/>
      <c r="Y144" s="1053"/>
      <c r="Z144" s="1053"/>
      <c r="AG144" s="267"/>
      <c r="AH144" s="267"/>
      <c r="AI144" s="267"/>
      <c r="AJ144" s="267"/>
      <c r="AK144" s="267"/>
      <c r="AL144" s="267"/>
      <c r="AM144" s="267"/>
      <c r="AN144" s="267"/>
      <c r="AO144" s="267"/>
    </row>
    <row r="145" spans="2:46">
      <c r="B145" s="408"/>
      <c r="C145" s="409"/>
      <c r="D145" s="333"/>
      <c r="E145" s="410"/>
      <c r="F145" s="411"/>
      <c r="G145" s="333"/>
      <c r="H145" s="333"/>
      <c r="I145" s="411"/>
      <c r="J145" s="333"/>
      <c r="K145" s="405"/>
      <c r="L145" s="405"/>
      <c r="O145" s="1053">
        <f>+O144+O143</f>
        <v>45.584671428571433</v>
      </c>
      <c r="P145" s="1053"/>
      <c r="AG145" s="267"/>
      <c r="AH145" s="267"/>
      <c r="AI145" s="267"/>
      <c r="AJ145" s="267"/>
      <c r="AK145" s="267"/>
      <c r="AL145" s="267"/>
      <c r="AM145" s="267"/>
      <c r="AN145" s="267"/>
      <c r="AO145" s="267"/>
    </row>
    <row r="146" spans="2:46">
      <c r="B146" s="168"/>
      <c r="AG146" s="267"/>
      <c r="AH146" s="267"/>
      <c r="AI146" s="267"/>
      <c r="AJ146" s="267"/>
      <c r="AK146" s="267"/>
      <c r="AL146" s="267"/>
      <c r="AM146" s="267"/>
      <c r="AN146" s="267"/>
      <c r="AO146" s="267"/>
    </row>
    <row r="147" spans="2:46" ht="26.25" thickBot="1">
      <c r="B147" s="377" t="s">
        <v>53</v>
      </c>
      <c r="H147" s="1052">
        <v>42744</v>
      </c>
      <c r="I147" s="1052"/>
      <c r="J147" s="1052"/>
      <c r="K147" s="1052"/>
      <c r="L147" s="1052"/>
      <c r="M147" s="1052"/>
      <c r="N147" s="1052"/>
      <c r="AD147" s="378"/>
      <c r="AE147" s="378"/>
      <c r="AF147" s="378"/>
      <c r="AG147" s="167"/>
      <c r="AH147" s="167"/>
      <c r="AI147" s="167"/>
      <c r="AJ147" s="376"/>
      <c r="AK147" s="376"/>
    </row>
    <row r="148" spans="2:46" ht="16.5" thickBot="1">
      <c r="B148" s="379">
        <v>1232.1400000000001</v>
      </c>
      <c r="C148" s="240" t="s">
        <v>67</v>
      </c>
      <c r="AD148" s="296"/>
      <c r="AE148" s="296"/>
      <c r="AF148" s="296"/>
      <c r="AG148" s="296"/>
      <c r="AH148" s="296"/>
      <c r="AI148" s="296"/>
      <c r="AJ148" s="296"/>
      <c r="AK148" s="296"/>
      <c r="AL148" s="296"/>
      <c r="AM148" s="296"/>
      <c r="AN148" s="296"/>
      <c r="AO148" s="296"/>
      <c r="AP148" s="267"/>
      <c r="AQ148" s="267"/>
      <c r="AR148" s="267"/>
      <c r="AS148" s="267"/>
      <c r="AT148" s="267"/>
    </row>
    <row r="149" spans="2:46" ht="15.75">
      <c r="B149" s="168">
        <f>+B148/30*7</f>
        <v>287.49933333333337</v>
      </c>
      <c r="C149" s="240" t="s">
        <v>68</v>
      </c>
      <c r="D149" s="380"/>
      <c r="O149" s="1053" t="s">
        <v>69</v>
      </c>
      <c r="P149" s="1053"/>
      <c r="Q149" s="1053"/>
      <c r="R149" s="1053"/>
      <c r="S149" s="1053"/>
      <c r="T149" s="1053"/>
      <c r="U149" s="1053"/>
      <c r="V149" s="1053"/>
      <c r="W149" s="1053"/>
      <c r="X149" s="1053"/>
      <c r="Y149" s="1053"/>
      <c r="Z149" s="1053"/>
      <c r="AD149" s="296"/>
      <c r="AE149" s="547"/>
      <c r="AF149" s="547"/>
      <c r="AG149" s="296"/>
      <c r="AH149" s="296"/>
      <c r="AI149" s="296"/>
      <c r="AJ149" s="547"/>
      <c r="AK149" s="547"/>
      <c r="AL149" s="296"/>
      <c r="AM149" s="296"/>
      <c r="AN149" s="296"/>
      <c r="AO149" s="296"/>
      <c r="AP149" s="267"/>
      <c r="AQ149" s="267"/>
      <c r="AR149" s="267"/>
      <c r="AS149" s="267"/>
      <c r="AT149" s="267"/>
    </row>
    <row r="150" spans="2:46">
      <c r="B150" s="168">
        <f>+B149-18</f>
        <v>269.49933333333337</v>
      </c>
      <c r="C150" s="240" t="s">
        <v>70</v>
      </c>
      <c r="O150" s="1053">
        <f>+B148</f>
        <v>1232.1400000000001</v>
      </c>
      <c r="P150" s="1053"/>
      <c r="Q150" s="1053" t="s">
        <v>71</v>
      </c>
      <c r="R150" s="1053"/>
      <c r="S150" s="1053"/>
      <c r="T150" s="1053"/>
      <c r="U150" s="1053"/>
      <c r="V150" s="1053"/>
      <c r="W150" s="1053"/>
      <c r="X150" s="1053"/>
      <c r="Y150" s="1053"/>
      <c r="Z150" s="1053"/>
      <c r="AA150" s="7" t="s">
        <v>72</v>
      </c>
      <c r="AD150" s="296"/>
      <c r="AE150" s="547"/>
      <c r="AF150" s="547"/>
      <c r="AG150" s="296"/>
      <c r="AH150" s="296"/>
      <c r="AI150" s="296"/>
      <c r="AJ150" s="547"/>
      <c r="AK150" s="547"/>
      <c r="AL150" s="296"/>
      <c r="AM150" s="296"/>
      <c r="AN150" s="296"/>
      <c r="AO150" s="296"/>
      <c r="AP150" s="267"/>
      <c r="AQ150" s="267"/>
      <c r="AR150" s="267"/>
      <c r="AS150" s="267"/>
      <c r="AT150" s="267"/>
    </row>
    <row r="151" spans="2:46">
      <c r="B151" s="381">
        <f>+B150/7+0</f>
        <v>38.499904761904766</v>
      </c>
      <c r="C151" s="382" t="s">
        <v>73</v>
      </c>
      <c r="D151" s="383"/>
      <c r="O151" s="1053">
        <f>+O150/30*7</f>
        <v>287.49933333333337</v>
      </c>
      <c r="P151" s="1053"/>
      <c r="Q151" s="1053" t="s">
        <v>74</v>
      </c>
      <c r="R151" s="1053"/>
      <c r="S151" s="1053"/>
      <c r="T151" s="1053"/>
      <c r="U151" s="1053"/>
      <c r="V151" s="1053"/>
      <c r="W151" s="1053"/>
      <c r="X151" s="1053"/>
      <c r="Y151" s="1053"/>
      <c r="Z151" s="1053"/>
      <c r="AA151" s="1064">
        <f>+O151*0.87</f>
        <v>250.12442000000001</v>
      </c>
      <c r="AB151" s="1064"/>
      <c r="AD151" s="296"/>
      <c r="AE151" s="384"/>
      <c r="AF151" s="384"/>
      <c r="AG151" s="296"/>
      <c r="AH151" s="296"/>
      <c r="AI151" s="296"/>
      <c r="AJ151" s="384"/>
      <c r="AK151" s="384"/>
      <c r="AL151" s="385"/>
      <c r="AM151" s="385"/>
      <c r="AN151" s="385"/>
      <c r="AO151" s="385"/>
      <c r="AP151" s="386"/>
      <c r="AQ151" s="386"/>
      <c r="AR151" s="267"/>
      <c r="AS151" s="267"/>
      <c r="AT151" s="267"/>
    </row>
    <row r="152" spans="2:46">
      <c r="O152" s="1053">
        <f>+O151/7</f>
        <v>41.071333333333335</v>
      </c>
      <c r="P152" s="1053"/>
      <c r="Q152" s="1053" t="s">
        <v>75</v>
      </c>
      <c r="R152" s="1053"/>
      <c r="S152" s="1053"/>
      <c r="T152" s="1053"/>
      <c r="U152" s="1053"/>
      <c r="V152" s="1053"/>
      <c r="W152" s="1053"/>
      <c r="X152" s="1053"/>
      <c r="Y152" s="1053"/>
      <c r="Z152" s="1053"/>
      <c r="AD152" s="296"/>
      <c r="AE152" s="547"/>
      <c r="AF152" s="547"/>
      <c r="AG152" s="296"/>
      <c r="AH152" s="296"/>
      <c r="AI152" s="296"/>
      <c r="AJ152" s="547"/>
      <c r="AK152" s="547"/>
      <c r="AL152" s="387"/>
      <c r="AM152" s="387"/>
      <c r="AN152" s="385"/>
      <c r="AO152" s="385"/>
      <c r="AP152" s="386"/>
      <c r="AQ152" s="386"/>
      <c r="AR152" s="267"/>
      <c r="AS152" s="267"/>
      <c r="AT152" s="267"/>
    </row>
    <row r="153" spans="2:46" ht="15.75">
      <c r="B153" s="427">
        <f>+B151</f>
        <v>38.499904761904766</v>
      </c>
      <c r="C153" s="389" t="s">
        <v>76</v>
      </c>
      <c r="D153" s="390"/>
      <c r="E153" s="390"/>
      <c r="F153" s="390"/>
      <c r="O153" s="1065">
        <f>(O151-18)/7</f>
        <v>38.499904761904766</v>
      </c>
      <c r="P153" s="1065"/>
      <c r="Q153" s="1065" t="s">
        <v>77</v>
      </c>
      <c r="R153" s="1065"/>
      <c r="S153" s="1065"/>
      <c r="T153" s="1065"/>
      <c r="U153" s="1065"/>
      <c r="V153" s="1065"/>
      <c r="W153" s="1065"/>
      <c r="X153" s="1065"/>
      <c r="Y153" s="1065"/>
      <c r="Z153" s="1065"/>
      <c r="AD153" s="296"/>
      <c r="AE153" s="391"/>
      <c r="AF153" s="391"/>
      <c r="AG153" s="392"/>
      <c r="AH153" s="392"/>
      <c r="AI153" s="392"/>
      <c r="AJ153" s="391"/>
      <c r="AK153" s="391"/>
      <c r="AL153" s="385"/>
      <c r="AM153" s="385"/>
      <c r="AN153" s="385"/>
      <c r="AO153" s="385"/>
      <c r="AP153" s="386"/>
      <c r="AQ153" s="386"/>
      <c r="AR153" s="267"/>
      <c r="AS153" s="267"/>
      <c r="AT153" s="267"/>
    </row>
    <row r="154" spans="2:46">
      <c r="B154" s="168">
        <v>3</v>
      </c>
      <c r="C154" s="240" t="s">
        <v>78</v>
      </c>
      <c r="O154" s="1053">
        <v>3</v>
      </c>
      <c r="P154" s="1053"/>
      <c r="Q154" s="1053" t="s">
        <v>79</v>
      </c>
      <c r="R154" s="1053"/>
      <c r="S154" s="1053"/>
      <c r="T154" s="1053"/>
      <c r="U154" s="1053"/>
      <c r="V154" s="1053"/>
      <c r="W154" s="1053"/>
      <c r="X154" s="1053"/>
      <c r="Y154" s="1053"/>
      <c r="Z154" s="1053"/>
      <c r="AD154" s="296"/>
      <c r="AE154" s="296"/>
      <c r="AF154" s="996">
        <v>993814365</v>
      </c>
      <c r="AG154" s="996"/>
      <c r="AH154" s="996"/>
      <c r="AI154" s="996"/>
      <c r="AJ154" s="996"/>
      <c r="AK154" s="296"/>
      <c r="AL154" s="385"/>
      <c r="AM154" s="385"/>
      <c r="AN154" s="385"/>
      <c r="AO154" s="385"/>
      <c r="AP154" s="386"/>
      <c r="AQ154" s="386"/>
      <c r="AR154" s="267"/>
      <c r="AS154" s="267"/>
      <c r="AT154" s="267"/>
    </row>
    <row r="155" spans="2:46">
      <c r="B155" s="381">
        <f>+B154+B153</f>
        <v>41.499904761904766</v>
      </c>
      <c r="C155" s="382" t="s">
        <v>80</v>
      </c>
      <c r="D155" s="393"/>
      <c r="E155" s="394"/>
      <c r="F155" s="395"/>
      <c r="G155" s="393"/>
      <c r="H155" s="393"/>
      <c r="I155" s="395"/>
      <c r="J155" s="393"/>
      <c r="K155" s="396"/>
      <c r="L155" s="396"/>
      <c r="M155" s="383"/>
      <c r="O155" s="1053">
        <f>+O154+O153</f>
        <v>41.499904761904766</v>
      </c>
      <c r="P155" s="1053"/>
      <c r="AD155" s="296"/>
      <c r="AE155" s="547"/>
      <c r="AF155" s="547"/>
      <c r="AG155" s="296"/>
      <c r="AH155" s="296"/>
      <c r="AI155" s="296"/>
      <c r="AJ155" s="547"/>
      <c r="AK155" s="547"/>
      <c r="AL155" s="387"/>
      <c r="AM155" s="387"/>
      <c r="AN155" s="387"/>
      <c r="AO155" s="387"/>
      <c r="AP155" s="397"/>
      <c r="AQ155" s="267"/>
      <c r="AR155" s="267"/>
      <c r="AS155" s="267"/>
      <c r="AT155" s="267"/>
    </row>
    <row r="156" spans="2:46">
      <c r="B156" s="168"/>
      <c r="AD156" s="296"/>
      <c r="AE156" s="398"/>
      <c r="AF156" s="398"/>
      <c r="AG156" s="398"/>
      <c r="AH156" s="296"/>
      <c r="AI156" s="296"/>
      <c r="AJ156" s="398"/>
      <c r="AK156" s="398"/>
      <c r="AL156" s="385"/>
      <c r="AM156" s="296"/>
      <c r="AN156" s="296"/>
      <c r="AO156" s="296"/>
      <c r="AP156" s="267"/>
      <c r="AQ156" s="267"/>
      <c r="AR156" s="267"/>
      <c r="AS156" s="267"/>
      <c r="AT156" s="267"/>
    </row>
    <row r="157" spans="2:46">
      <c r="B157" s="168">
        <f>+B155*6</f>
        <v>248.99942857142861</v>
      </c>
      <c r="C157" s="240" t="s">
        <v>81</v>
      </c>
      <c r="O157" s="1053" t="s">
        <v>82</v>
      </c>
      <c r="P157" s="1053"/>
      <c r="Q157" s="1053"/>
      <c r="R157" s="1053"/>
      <c r="S157" s="1053"/>
      <c r="T157" s="1053"/>
      <c r="U157" s="1053"/>
      <c r="V157" s="1053"/>
      <c r="W157" s="1053"/>
      <c r="X157" s="1053"/>
      <c r="Y157" s="1053"/>
      <c r="Z157" s="1053"/>
      <c r="AD157" s="296"/>
      <c r="AE157" s="296"/>
      <c r="AF157" s="296"/>
      <c r="AG157" s="296"/>
      <c r="AH157" s="296"/>
      <c r="AI157" s="385"/>
      <c r="AJ157" s="385"/>
      <c r="AK157" s="387"/>
      <c r="AL157" s="545"/>
      <c r="AM157" s="547"/>
      <c r="AN157" s="545"/>
      <c r="AO157" s="296"/>
      <c r="AP157" s="267"/>
      <c r="AQ157" s="267"/>
      <c r="AR157" s="267"/>
      <c r="AS157" s="267"/>
      <c r="AT157" s="267"/>
    </row>
    <row r="158" spans="2:46">
      <c r="B158" s="399">
        <f>+B153</f>
        <v>38.499904761904766</v>
      </c>
      <c r="C158" s="400" t="s">
        <v>83</v>
      </c>
      <c r="D158" s="401"/>
      <c r="E158" s="402"/>
      <c r="F158" s="403"/>
      <c r="G158" s="401"/>
      <c r="H158" s="401"/>
      <c r="I158" s="403"/>
      <c r="J158" s="401"/>
      <c r="K158" s="404"/>
      <c r="L158" s="405"/>
      <c r="O158" s="1053">
        <f>+O150*1.1</f>
        <v>1355.3540000000003</v>
      </c>
      <c r="P158" s="1053"/>
      <c r="Q158" s="1053" t="s">
        <v>71</v>
      </c>
      <c r="R158" s="1053"/>
      <c r="S158" s="1053"/>
      <c r="T158" s="1053"/>
      <c r="U158" s="1053"/>
      <c r="V158" s="1053"/>
      <c r="W158" s="1053"/>
      <c r="X158" s="1053"/>
      <c r="Y158" s="1053"/>
      <c r="Z158" s="1053"/>
      <c r="AA158" s="7" t="s">
        <v>84</v>
      </c>
      <c r="AG158" s="267"/>
      <c r="AH158" s="267"/>
      <c r="AI158" s="386"/>
      <c r="AJ158" s="386"/>
      <c r="AK158" s="386"/>
      <c r="AL158" s="267"/>
      <c r="AM158" s="267"/>
      <c r="AN158" s="267"/>
      <c r="AO158" s="267"/>
    </row>
    <row r="159" spans="2:46">
      <c r="B159" s="381">
        <f>+B158+B157</f>
        <v>287.49933333333337</v>
      </c>
      <c r="C159" s="382" t="s">
        <v>85</v>
      </c>
      <c r="D159" s="393"/>
      <c r="E159" s="394"/>
      <c r="F159" s="395"/>
      <c r="G159" s="393"/>
      <c r="H159" s="393"/>
      <c r="I159" s="395"/>
      <c r="J159" s="393"/>
      <c r="K159" s="406"/>
      <c r="L159" s="405"/>
      <c r="O159" s="1053">
        <f>+O158/30*7</f>
        <v>316.2492666666667</v>
      </c>
      <c r="P159" s="1053"/>
      <c r="Q159" s="1053" t="s">
        <v>74</v>
      </c>
      <c r="R159" s="1053"/>
      <c r="S159" s="1053"/>
      <c r="T159" s="1053"/>
      <c r="U159" s="1053"/>
      <c r="V159" s="1053"/>
      <c r="W159" s="1053"/>
      <c r="X159" s="1053"/>
      <c r="Y159" s="1053"/>
      <c r="Z159" s="1053"/>
      <c r="AA159" s="1064">
        <f>+O159*0.87</f>
        <v>275.13686200000001</v>
      </c>
      <c r="AB159" s="1064"/>
      <c r="AG159" s="267"/>
      <c r="AH159" s="267"/>
      <c r="AI159" s="386"/>
      <c r="AJ159" s="386"/>
      <c r="AK159" s="407"/>
      <c r="AL159" s="267"/>
      <c r="AM159" s="267"/>
      <c r="AN159" s="267"/>
      <c r="AO159" s="267"/>
    </row>
    <row r="160" spans="2:46">
      <c r="B160" s="408"/>
      <c r="C160" s="409"/>
      <c r="D160" s="333"/>
      <c r="E160" s="410"/>
      <c r="F160" s="411"/>
      <c r="G160" s="333"/>
      <c r="H160" s="333"/>
      <c r="I160" s="411"/>
      <c r="J160" s="333"/>
      <c r="K160" s="405"/>
      <c r="L160" s="405"/>
      <c r="O160" s="1053">
        <f>+O159/7</f>
        <v>45.178466666666672</v>
      </c>
      <c r="P160" s="1053"/>
      <c r="Q160" s="1053" t="s">
        <v>75</v>
      </c>
      <c r="R160" s="1053"/>
      <c r="S160" s="1053"/>
      <c r="T160" s="1053"/>
      <c r="U160" s="1053"/>
      <c r="V160" s="1053"/>
      <c r="W160" s="1053"/>
      <c r="X160" s="1053"/>
      <c r="Y160" s="1053"/>
      <c r="Z160" s="1053"/>
      <c r="AG160" s="267"/>
      <c r="AH160" s="267"/>
      <c r="AI160" s="412"/>
      <c r="AJ160" s="413"/>
      <c r="AK160" s="407"/>
      <c r="AL160" s="267"/>
      <c r="AM160" s="267"/>
      <c r="AN160" s="267"/>
      <c r="AO160" s="267"/>
    </row>
    <row r="161" spans="2:46" ht="15.75">
      <c r="B161" s="426">
        <f>+B159/7</f>
        <v>41.071333333333335</v>
      </c>
      <c r="C161" s="415" t="s">
        <v>86</v>
      </c>
      <c r="D161" s="416"/>
      <c r="E161" s="417"/>
      <c r="F161" s="418"/>
      <c r="G161" s="419"/>
      <c r="H161" s="419"/>
      <c r="I161" s="411"/>
      <c r="J161" s="333"/>
      <c r="K161" s="405"/>
      <c r="L161" s="405"/>
      <c r="O161" s="1065">
        <f>(O159-18)/7</f>
        <v>42.607038095238103</v>
      </c>
      <c r="P161" s="1065"/>
      <c r="Q161" s="1065" t="s">
        <v>77</v>
      </c>
      <c r="R161" s="1065"/>
      <c r="S161" s="1065"/>
      <c r="T161" s="1065"/>
      <c r="U161" s="1065"/>
      <c r="V161" s="1065"/>
      <c r="W161" s="1065"/>
      <c r="X161" s="1065"/>
      <c r="Y161" s="1065"/>
      <c r="Z161" s="1065"/>
      <c r="AG161" s="267"/>
      <c r="AH161" s="267"/>
      <c r="AI161" s="267"/>
      <c r="AJ161" s="267"/>
      <c r="AK161" s="407"/>
      <c r="AL161" s="267"/>
      <c r="AM161" s="267"/>
      <c r="AN161" s="267"/>
      <c r="AO161" s="267"/>
    </row>
    <row r="162" spans="2:46">
      <c r="B162" s="408"/>
      <c r="C162" s="409"/>
      <c r="D162" s="333"/>
      <c r="E162" s="410"/>
      <c r="F162" s="411"/>
      <c r="G162" s="333"/>
      <c r="H162" s="333"/>
      <c r="I162" s="411"/>
      <c r="J162" s="333"/>
      <c r="K162" s="405"/>
      <c r="L162" s="405"/>
      <c r="O162" s="1053">
        <v>3</v>
      </c>
      <c r="P162" s="1053"/>
      <c r="Q162" s="1053" t="s">
        <v>79</v>
      </c>
      <c r="R162" s="1053"/>
      <c r="S162" s="1053"/>
      <c r="T162" s="1053"/>
      <c r="U162" s="1053"/>
      <c r="V162" s="1053"/>
      <c r="W162" s="1053"/>
      <c r="X162" s="1053"/>
      <c r="Y162" s="1053"/>
      <c r="Z162" s="1053"/>
      <c r="AG162" s="267"/>
      <c r="AH162" s="267"/>
      <c r="AI162" s="267"/>
      <c r="AJ162" s="267"/>
      <c r="AK162" s="267"/>
      <c r="AL162" s="267"/>
      <c r="AM162" s="267"/>
      <c r="AN162" s="267"/>
      <c r="AO162" s="267"/>
    </row>
    <row r="163" spans="2:46">
      <c r="B163" s="408"/>
      <c r="C163" s="409"/>
      <c r="D163" s="333"/>
      <c r="E163" s="410"/>
      <c r="F163" s="411"/>
      <c r="G163" s="333"/>
      <c r="H163" s="333"/>
      <c r="I163" s="411"/>
      <c r="J163" s="333"/>
      <c r="K163" s="405"/>
      <c r="L163" s="405"/>
      <c r="O163" s="1053">
        <f>+O162+O161</f>
        <v>45.607038095238103</v>
      </c>
      <c r="P163" s="1053"/>
      <c r="AG163" s="267"/>
      <c r="AH163" s="267"/>
      <c r="AI163" s="267"/>
      <c r="AJ163" s="267"/>
      <c r="AK163" s="267"/>
      <c r="AL163" s="267"/>
      <c r="AM163" s="267"/>
      <c r="AN163" s="267"/>
      <c r="AO163" s="267"/>
    </row>
    <row r="164" spans="2:46">
      <c r="B164" s="168"/>
      <c r="AG164" s="267"/>
      <c r="AH164" s="267"/>
      <c r="AI164" s="267"/>
      <c r="AJ164" s="267"/>
      <c r="AK164" s="267"/>
      <c r="AL164" s="267"/>
      <c r="AM164" s="267"/>
      <c r="AN164" s="267"/>
      <c r="AO164" s="267"/>
    </row>
    <row r="165" spans="2:46">
      <c r="AG165" s="267"/>
      <c r="AH165" s="267"/>
      <c r="AI165" s="267"/>
      <c r="AJ165" s="267"/>
      <c r="AK165" s="267"/>
      <c r="AL165" s="267"/>
      <c r="AM165" s="267"/>
      <c r="AN165" s="267"/>
      <c r="AO165" s="267"/>
    </row>
    <row r="166" spans="2:46">
      <c r="AG166" s="267"/>
      <c r="AH166" s="267"/>
      <c r="AI166" s="267"/>
      <c r="AJ166" s="267"/>
      <c r="AK166" s="267"/>
      <c r="AL166" s="267"/>
      <c r="AM166" s="267"/>
      <c r="AN166" s="267"/>
      <c r="AO166" s="267"/>
    </row>
    <row r="167" spans="2:46" ht="26.25" thickBot="1">
      <c r="B167" s="377" t="s">
        <v>90</v>
      </c>
      <c r="H167" s="1052">
        <v>42736</v>
      </c>
      <c r="I167" s="1052"/>
      <c r="J167" s="1052"/>
      <c r="K167" s="1052"/>
      <c r="L167" s="1052"/>
      <c r="M167" s="1052"/>
      <c r="N167" s="1052"/>
      <c r="AG167" s="267"/>
      <c r="AH167" s="267"/>
      <c r="AI167" s="267"/>
      <c r="AJ167" s="267"/>
      <c r="AK167" s="267"/>
      <c r="AL167" s="267"/>
      <c r="AM167" s="267"/>
      <c r="AN167" s="267"/>
      <c r="AO167" s="267"/>
    </row>
    <row r="168" spans="2:46" ht="16.5" thickBot="1">
      <c r="B168" s="379">
        <v>850</v>
      </c>
      <c r="C168" s="240" t="s">
        <v>67</v>
      </c>
      <c r="AD168" s="296"/>
      <c r="AE168" s="296"/>
      <c r="AF168" s="296"/>
      <c r="AG168" s="296"/>
      <c r="AH168" s="296"/>
      <c r="AI168" s="296"/>
      <c r="AJ168" s="296"/>
      <c r="AK168" s="296"/>
      <c r="AL168" s="296"/>
      <c r="AM168" s="296"/>
      <c r="AN168" s="296"/>
      <c r="AO168" s="296"/>
      <c r="AP168" s="267"/>
      <c r="AQ168" s="267"/>
      <c r="AR168" s="267"/>
      <c r="AS168" s="267"/>
      <c r="AT168" s="267"/>
    </row>
    <row r="169" spans="2:46" ht="15.75">
      <c r="B169" s="168">
        <f>+B168/30*7</f>
        <v>198.33333333333331</v>
      </c>
      <c r="C169" s="240" t="s">
        <v>68</v>
      </c>
      <c r="D169" s="380"/>
      <c r="O169" s="1053" t="s">
        <v>69</v>
      </c>
      <c r="P169" s="1053"/>
      <c r="Q169" s="1053"/>
      <c r="R169" s="1053"/>
      <c r="S169" s="1053"/>
      <c r="T169" s="1053"/>
      <c r="U169" s="1053"/>
      <c r="V169" s="1053"/>
      <c r="W169" s="1053"/>
      <c r="X169" s="1053"/>
      <c r="Y169" s="1053"/>
      <c r="Z169" s="1053"/>
      <c r="AD169" s="296"/>
      <c r="AE169" s="547"/>
      <c r="AF169" s="547"/>
      <c r="AG169" s="296"/>
      <c r="AH169" s="296"/>
      <c r="AI169" s="296"/>
      <c r="AJ169" s="547"/>
      <c r="AK169" s="547"/>
      <c r="AL169" s="296"/>
      <c r="AM169" s="296"/>
      <c r="AN169" s="296"/>
      <c r="AO169" s="296"/>
      <c r="AP169" s="267"/>
      <c r="AQ169" s="267"/>
      <c r="AR169" s="267"/>
      <c r="AS169" s="267"/>
      <c r="AT169" s="267"/>
    </row>
    <row r="170" spans="2:46">
      <c r="B170" s="168">
        <f>+B169-18</f>
        <v>180.33333333333331</v>
      </c>
      <c r="C170" s="240" t="s">
        <v>70</v>
      </c>
      <c r="O170" s="1053">
        <f>+B168</f>
        <v>850</v>
      </c>
      <c r="P170" s="1053"/>
      <c r="Q170" s="1053" t="s">
        <v>71</v>
      </c>
      <c r="R170" s="1053"/>
      <c r="S170" s="1053"/>
      <c r="T170" s="1053"/>
      <c r="U170" s="1053"/>
      <c r="V170" s="1053"/>
      <c r="W170" s="1053"/>
      <c r="X170" s="1053"/>
      <c r="Y170" s="1053"/>
      <c r="Z170" s="1053"/>
      <c r="AA170" s="7" t="s">
        <v>72</v>
      </c>
      <c r="AD170" s="428" t="s">
        <v>91</v>
      </c>
      <c r="AE170" s="429"/>
      <c r="AF170" s="429"/>
      <c r="AG170" s="1075">
        <v>233.32</v>
      </c>
      <c r="AH170" s="1075"/>
      <c r="AI170" s="430"/>
      <c r="AJ170" s="1076">
        <f>233.32-AG170</f>
        <v>0</v>
      </c>
      <c r="AK170" s="1076"/>
      <c r="AL170" s="431"/>
      <c r="AM170" s="296"/>
      <c r="AN170" s="296"/>
      <c r="AO170" s="296"/>
      <c r="AP170" s="267"/>
      <c r="AQ170" s="267"/>
      <c r="AR170" s="267"/>
      <c r="AS170" s="267"/>
      <c r="AT170" s="267"/>
    </row>
    <row r="171" spans="2:46">
      <c r="B171" s="381">
        <f>+B170/7</f>
        <v>25.761904761904759</v>
      </c>
      <c r="C171" s="382" t="s">
        <v>73</v>
      </c>
      <c r="D171" s="383"/>
      <c r="O171" s="1053">
        <f>+O170/30*7</f>
        <v>198.33333333333331</v>
      </c>
      <c r="P171" s="1053"/>
      <c r="Q171" s="1053" t="s">
        <v>74</v>
      </c>
      <c r="R171" s="1053"/>
      <c r="S171" s="1053"/>
      <c r="T171" s="1053"/>
      <c r="U171" s="1053"/>
      <c r="V171" s="1053"/>
      <c r="W171" s="1053"/>
      <c r="X171" s="1053"/>
      <c r="Y171" s="1053"/>
      <c r="Z171" s="1053"/>
      <c r="AA171" s="1064">
        <f>+O171*0.87</f>
        <v>172.54999999999998</v>
      </c>
      <c r="AB171" s="1064"/>
      <c r="AD171" s="432" t="s">
        <v>92</v>
      </c>
      <c r="AE171" s="433"/>
      <c r="AF171" s="433"/>
      <c r="AG171" s="1077">
        <f>218.15-19.83</f>
        <v>198.32</v>
      </c>
      <c r="AH171" s="1077"/>
      <c r="AI171" s="434"/>
      <c r="AJ171" s="1078">
        <f>233.32-AG171</f>
        <v>35</v>
      </c>
      <c r="AK171" s="1078"/>
      <c r="AL171" s="435"/>
      <c r="AM171" s="385"/>
      <c r="AN171" s="385"/>
      <c r="AO171" s="385"/>
      <c r="AP171" s="386"/>
      <c r="AQ171" s="386"/>
      <c r="AR171" s="267"/>
      <c r="AS171" s="267"/>
      <c r="AT171" s="267"/>
    </row>
    <row r="172" spans="2:46">
      <c r="O172" s="1053">
        <f>+O171/7</f>
        <v>28.333333333333332</v>
      </c>
      <c r="P172" s="1053"/>
      <c r="Q172" s="1053" t="s">
        <v>75</v>
      </c>
      <c r="R172" s="1053"/>
      <c r="S172" s="1053"/>
      <c r="T172" s="1053"/>
      <c r="U172" s="1053"/>
      <c r="V172" s="1053"/>
      <c r="W172" s="1053"/>
      <c r="X172" s="1053"/>
      <c r="Y172" s="1053"/>
      <c r="Z172" s="1053"/>
      <c r="AD172" s="432" t="s">
        <v>93</v>
      </c>
      <c r="AE172" s="436"/>
      <c r="AF172" s="436"/>
      <c r="AG172" s="1077">
        <f>218.15-19.83</f>
        <v>198.32</v>
      </c>
      <c r="AH172" s="1077"/>
      <c r="AI172" s="434"/>
      <c r="AJ172" s="1078">
        <f>233.32-AG172</f>
        <v>35</v>
      </c>
      <c r="AK172" s="1078"/>
      <c r="AL172" s="437"/>
      <c r="AM172" s="387"/>
      <c r="AN172" s="385"/>
      <c r="AO172" s="385"/>
      <c r="AP172" s="386"/>
      <c r="AQ172" s="386"/>
      <c r="AR172" s="267"/>
      <c r="AS172" s="267"/>
      <c r="AT172" s="267"/>
    </row>
    <row r="173" spans="2:46" ht="15.75">
      <c r="B173" s="427">
        <f>+B171</f>
        <v>25.761904761904759</v>
      </c>
      <c r="C173" s="389" t="s">
        <v>76</v>
      </c>
      <c r="D173" s="390"/>
      <c r="E173" s="390"/>
      <c r="F173" s="390"/>
      <c r="O173" s="1065">
        <f>(O171-18)/7</f>
        <v>25.761904761904759</v>
      </c>
      <c r="P173" s="1065"/>
      <c r="Q173" s="1065" t="s">
        <v>77</v>
      </c>
      <c r="R173" s="1065"/>
      <c r="S173" s="1065"/>
      <c r="T173" s="1065"/>
      <c r="U173" s="1065"/>
      <c r="V173" s="1065"/>
      <c r="W173" s="1065"/>
      <c r="X173" s="1065"/>
      <c r="Y173" s="1065"/>
      <c r="Z173" s="1065"/>
      <c r="AD173" s="432" t="s">
        <v>94</v>
      </c>
      <c r="AE173" s="438"/>
      <c r="AF173" s="438"/>
      <c r="AG173" s="1077">
        <f>228.07-29.75</f>
        <v>198.32</v>
      </c>
      <c r="AH173" s="1077"/>
      <c r="AI173" s="439"/>
      <c r="AJ173" s="1078">
        <f>233.32-AG173</f>
        <v>35</v>
      </c>
      <c r="AK173" s="1078"/>
      <c r="AL173" s="435"/>
      <c r="AM173" s="385"/>
      <c r="AN173" s="385"/>
      <c r="AO173" s="385"/>
      <c r="AP173" s="386"/>
      <c r="AQ173" s="386"/>
      <c r="AR173" s="267"/>
      <c r="AS173" s="267"/>
      <c r="AT173" s="267"/>
    </row>
    <row r="174" spans="2:46">
      <c r="B174" s="168">
        <v>3</v>
      </c>
      <c r="C174" s="240" t="s">
        <v>78</v>
      </c>
      <c r="O174" s="1053">
        <v>3</v>
      </c>
      <c r="P174" s="1053"/>
      <c r="Q174" s="1053" t="s">
        <v>79</v>
      </c>
      <c r="R174" s="1053"/>
      <c r="S174" s="1053"/>
      <c r="T174" s="1053"/>
      <c r="U174" s="1053"/>
      <c r="V174" s="1053"/>
      <c r="W174" s="1053"/>
      <c r="X174" s="1053"/>
      <c r="Y174" s="1053"/>
      <c r="Z174" s="1053"/>
      <c r="AD174" s="432" t="s">
        <v>95</v>
      </c>
      <c r="AE174" s="434"/>
      <c r="AF174" s="438"/>
      <c r="AG174" s="1077">
        <f>208.24-9.92</f>
        <v>198.32000000000002</v>
      </c>
      <c r="AH174" s="1077"/>
      <c r="AI174" s="439"/>
      <c r="AJ174" s="1078">
        <f>233.32-AG174</f>
        <v>34.999999999999972</v>
      </c>
      <c r="AK174" s="1078"/>
      <c r="AL174" s="435"/>
      <c r="AM174" s="385"/>
      <c r="AN174" s="385"/>
      <c r="AO174" s="385"/>
      <c r="AP174" s="386"/>
      <c r="AQ174" s="386"/>
      <c r="AR174" s="267"/>
      <c r="AS174" s="267"/>
      <c r="AT174" s="267"/>
    </row>
    <row r="175" spans="2:46">
      <c r="B175" s="381">
        <f>+B174+B173</f>
        <v>28.761904761904759</v>
      </c>
      <c r="C175" s="382" t="s">
        <v>80</v>
      </c>
      <c r="D175" s="393"/>
      <c r="E175" s="394"/>
      <c r="F175" s="395"/>
      <c r="G175" s="393"/>
      <c r="H175" s="393"/>
      <c r="I175" s="395"/>
      <c r="J175" s="393"/>
      <c r="K175" s="396"/>
      <c r="L175" s="396"/>
      <c r="M175" s="383"/>
      <c r="O175" s="1053">
        <f>+O174+O173</f>
        <v>28.761904761904759</v>
      </c>
      <c r="P175" s="1053"/>
      <c r="AD175" s="440"/>
      <c r="AE175" s="436"/>
      <c r="AF175" s="436"/>
      <c r="AG175" s="441" t="s">
        <v>96</v>
      </c>
      <c r="AH175" s="442"/>
      <c r="AI175" s="434"/>
      <c r="AJ175" s="436"/>
      <c r="AK175" s="1079">
        <f>SUM(AJ170:AK174)</f>
        <v>139.99999999999997</v>
      </c>
      <c r="AL175" s="1080"/>
      <c r="AM175" s="387"/>
      <c r="AN175" s="387"/>
      <c r="AO175" s="387"/>
      <c r="AP175" s="397"/>
      <c r="AQ175" s="267"/>
      <c r="AR175" s="267"/>
      <c r="AS175" s="267"/>
      <c r="AT175" s="267"/>
    </row>
    <row r="176" spans="2:46">
      <c r="B176" s="168"/>
      <c r="AD176" s="443"/>
      <c r="AE176" s="444"/>
      <c r="AF176" s="444"/>
      <c r="AG176" s="445"/>
      <c r="AH176" s="446"/>
      <c r="AI176" s="447" t="s">
        <v>97</v>
      </c>
      <c r="AJ176" s="444"/>
      <c r="AK176" s="444"/>
      <c r="AL176" s="448"/>
      <c r="AM176" s="296"/>
      <c r="AN176" s="296"/>
      <c r="AO176" s="296"/>
      <c r="AP176" s="267"/>
      <c r="AQ176" s="267"/>
      <c r="AR176" s="267"/>
      <c r="AS176" s="267"/>
      <c r="AT176" s="267"/>
    </row>
    <row r="177" spans="2:46">
      <c r="B177" s="168">
        <f>+B175*6</f>
        <v>172.57142857142856</v>
      </c>
      <c r="C177" s="240" t="s">
        <v>81</v>
      </c>
      <c r="O177" s="1053" t="s">
        <v>82</v>
      </c>
      <c r="P177" s="1053"/>
      <c r="Q177" s="1053"/>
      <c r="R177" s="1053"/>
      <c r="S177" s="1053"/>
      <c r="T177" s="1053"/>
      <c r="U177" s="1053"/>
      <c r="V177" s="1053"/>
      <c r="W177" s="1053"/>
      <c r="X177" s="1053"/>
      <c r="Y177" s="1053"/>
      <c r="Z177" s="1053"/>
      <c r="AD177" s="296"/>
      <c r="AE177" s="296"/>
      <c r="AF177" s="296"/>
      <c r="AG177" s="296"/>
      <c r="AH177" s="296"/>
      <c r="AI177" s="385"/>
      <c r="AJ177" s="385"/>
      <c r="AK177" s="387"/>
      <c r="AL177" s="545"/>
      <c r="AM177" s="547"/>
      <c r="AN177" s="545"/>
      <c r="AO177" s="296"/>
      <c r="AP177" s="267"/>
      <c r="AQ177" s="267"/>
      <c r="AR177" s="267"/>
      <c r="AS177" s="267"/>
      <c r="AT177" s="267"/>
    </row>
    <row r="178" spans="2:46">
      <c r="B178" s="399">
        <f>+B173</f>
        <v>25.761904761904759</v>
      </c>
      <c r="C178" s="400" t="s">
        <v>83</v>
      </c>
      <c r="D178" s="401"/>
      <c r="E178" s="402"/>
      <c r="F178" s="403"/>
      <c r="G178" s="401"/>
      <c r="H178" s="401"/>
      <c r="I178" s="403"/>
      <c r="J178" s="401"/>
      <c r="K178" s="404"/>
      <c r="L178" s="405"/>
      <c r="O178" s="1053">
        <f>+O170*1.1</f>
        <v>935.00000000000011</v>
      </c>
      <c r="P178" s="1053"/>
      <c r="Q178" s="1053" t="s">
        <v>71</v>
      </c>
      <c r="R178" s="1053"/>
      <c r="S178" s="1053"/>
      <c r="T178" s="1053"/>
      <c r="U178" s="1053"/>
      <c r="V178" s="1053"/>
      <c r="W178" s="1053"/>
      <c r="X178" s="1053"/>
      <c r="Y178" s="1053"/>
      <c r="Z178" s="1053"/>
      <c r="AA178" s="7" t="s">
        <v>84</v>
      </c>
      <c r="AG178" s="267"/>
      <c r="AH178" s="267"/>
      <c r="AI178" s="386"/>
      <c r="AJ178" s="386"/>
      <c r="AK178" s="386"/>
      <c r="AL178" s="267"/>
      <c r="AM178" s="267"/>
      <c r="AN178" s="267"/>
      <c r="AO178" s="267"/>
    </row>
    <row r="179" spans="2:46">
      <c r="B179" s="381">
        <f>+B178+B177</f>
        <v>198.33333333333331</v>
      </c>
      <c r="C179" s="382" t="s">
        <v>85</v>
      </c>
      <c r="D179" s="393"/>
      <c r="E179" s="394"/>
      <c r="F179" s="395"/>
      <c r="G179" s="393"/>
      <c r="H179" s="393"/>
      <c r="I179" s="395"/>
      <c r="J179" s="393"/>
      <c r="K179" s="406"/>
      <c r="L179" s="405"/>
      <c r="O179" s="1053">
        <f>+O178/30*7</f>
        <v>218.16666666666669</v>
      </c>
      <c r="P179" s="1053"/>
      <c r="Q179" s="1053" t="s">
        <v>74</v>
      </c>
      <c r="R179" s="1053"/>
      <c r="S179" s="1053"/>
      <c r="T179" s="1053"/>
      <c r="U179" s="1053"/>
      <c r="V179" s="1053"/>
      <c r="W179" s="1053"/>
      <c r="X179" s="1053"/>
      <c r="Y179" s="1053"/>
      <c r="Z179" s="1053"/>
      <c r="AA179" s="1064">
        <f>+O179*0.87</f>
        <v>189.80500000000001</v>
      </c>
      <c r="AB179" s="1064"/>
      <c r="AG179" s="267"/>
      <c r="AH179" s="267"/>
      <c r="AI179" s="386"/>
      <c r="AJ179" s="386"/>
      <c r="AK179" s="407"/>
      <c r="AL179" s="267"/>
      <c r="AM179" s="267"/>
      <c r="AN179" s="267"/>
      <c r="AO179" s="267"/>
    </row>
    <row r="180" spans="2:46">
      <c r="B180" s="408"/>
      <c r="C180" s="409"/>
      <c r="D180" s="333"/>
      <c r="E180" s="410"/>
      <c r="F180" s="411"/>
      <c r="G180" s="333"/>
      <c r="H180" s="333"/>
      <c r="I180" s="411"/>
      <c r="J180" s="333"/>
      <c r="K180" s="405"/>
      <c r="L180" s="405"/>
      <c r="O180" s="1053">
        <f>+O179/7</f>
        <v>31.166666666666668</v>
      </c>
      <c r="P180" s="1053"/>
      <c r="Q180" s="1053" t="s">
        <v>75</v>
      </c>
      <c r="R180" s="1053"/>
      <c r="S180" s="1053"/>
      <c r="T180" s="1053"/>
      <c r="U180" s="1053"/>
      <c r="V180" s="1053"/>
      <c r="W180" s="1053"/>
      <c r="X180" s="1053"/>
      <c r="Y180" s="1053"/>
      <c r="Z180" s="1053"/>
      <c r="AG180" s="267"/>
      <c r="AH180" s="267"/>
      <c r="AI180" s="412"/>
      <c r="AJ180" s="413"/>
      <c r="AK180" s="407"/>
      <c r="AL180" s="267"/>
      <c r="AM180" s="267"/>
      <c r="AN180" s="267"/>
      <c r="AO180" s="267"/>
    </row>
    <row r="181" spans="2:46">
      <c r="B181" s="449">
        <f>+B179/7</f>
        <v>28.333333333333332</v>
      </c>
      <c r="C181" s="450" t="s">
        <v>86</v>
      </c>
      <c r="F181" s="411"/>
      <c r="G181" s="333"/>
      <c r="H181" s="333"/>
      <c r="I181" s="411"/>
      <c r="J181" s="333"/>
      <c r="K181" s="405"/>
      <c r="L181" s="405"/>
      <c r="O181" s="1065">
        <f>(O179-18)/7</f>
        <v>28.595238095238098</v>
      </c>
      <c r="P181" s="1065"/>
      <c r="Q181" s="1065" t="s">
        <v>77</v>
      </c>
      <c r="R181" s="1065"/>
      <c r="S181" s="1065"/>
      <c r="T181" s="1065"/>
      <c r="U181" s="1065"/>
      <c r="V181" s="1065"/>
      <c r="W181" s="1065"/>
      <c r="X181" s="1065"/>
      <c r="Y181" s="1065"/>
      <c r="Z181" s="1065"/>
      <c r="AG181" s="267"/>
      <c r="AH181" s="267"/>
      <c r="AI181" s="267"/>
      <c r="AJ181" s="267"/>
      <c r="AK181" s="407"/>
      <c r="AL181" s="267"/>
      <c r="AM181" s="267"/>
      <c r="AN181" s="267"/>
      <c r="AO181" s="267"/>
    </row>
    <row r="182" spans="2:46">
      <c r="B182" s="408"/>
      <c r="C182" s="409"/>
      <c r="D182" s="333"/>
      <c r="E182" s="410"/>
      <c r="F182" s="411"/>
      <c r="G182" s="333"/>
      <c r="H182" s="333"/>
      <c r="I182" s="411"/>
      <c r="J182" s="333"/>
      <c r="K182" s="405"/>
      <c r="L182" s="405"/>
      <c r="O182" s="1053">
        <v>3</v>
      </c>
      <c r="P182" s="1053"/>
      <c r="Q182" s="1053" t="s">
        <v>79</v>
      </c>
      <c r="R182" s="1053"/>
      <c r="S182" s="1053"/>
      <c r="T182" s="1053"/>
      <c r="U182" s="1053"/>
      <c r="V182" s="1053"/>
      <c r="W182" s="1053"/>
      <c r="X182" s="1053"/>
      <c r="Y182" s="1053"/>
      <c r="Z182" s="1053"/>
      <c r="AG182" s="267"/>
      <c r="AH182" s="267"/>
      <c r="AI182" s="267"/>
      <c r="AJ182" s="267"/>
      <c r="AK182" s="267"/>
      <c r="AL182" s="267"/>
      <c r="AM182" s="267"/>
      <c r="AN182" s="267"/>
      <c r="AO182" s="267"/>
    </row>
    <row r="183" spans="2:46">
      <c r="B183" s="408"/>
      <c r="C183" s="409"/>
      <c r="D183" s="333"/>
      <c r="E183" s="410"/>
      <c r="F183" s="411"/>
      <c r="G183" s="333"/>
      <c r="H183" s="333"/>
      <c r="I183" s="411"/>
      <c r="J183" s="333"/>
      <c r="K183" s="405"/>
      <c r="L183" s="405"/>
      <c r="O183" s="1053">
        <f>+O182+O181</f>
        <v>31.595238095238098</v>
      </c>
      <c r="P183" s="1053"/>
      <c r="AG183" s="267"/>
      <c r="AH183" s="267"/>
      <c r="AI183" s="267"/>
      <c r="AJ183" s="267"/>
      <c r="AK183" s="267"/>
      <c r="AL183" s="267"/>
      <c r="AM183" s="267"/>
      <c r="AN183" s="267"/>
      <c r="AO183" s="267"/>
    </row>
    <row r="184" spans="2:46">
      <c r="B184" s="168"/>
      <c r="AG184" s="267"/>
      <c r="AH184" s="267"/>
      <c r="AI184" s="267"/>
      <c r="AJ184" s="267"/>
      <c r="AK184" s="267"/>
      <c r="AL184" s="267"/>
      <c r="AM184" s="267"/>
      <c r="AN184" s="267"/>
      <c r="AO184" s="267"/>
    </row>
    <row r="185" spans="2:46">
      <c r="AG185" s="267"/>
      <c r="AH185" s="267"/>
      <c r="AI185" s="267"/>
      <c r="AJ185" s="267"/>
      <c r="AK185" s="267"/>
      <c r="AL185" s="267"/>
      <c r="AM185" s="267"/>
      <c r="AN185" s="267"/>
      <c r="AO185" s="267"/>
    </row>
    <row r="186" spans="2:46" ht="15.75" thickBot="1">
      <c r="AG186" s="267"/>
      <c r="AH186" s="267"/>
      <c r="AI186" s="267"/>
      <c r="AJ186" s="267"/>
      <c r="AK186" s="267"/>
      <c r="AL186" s="267"/>
      <c r="AM186" s="267"/>
      <c r="AN186" s="267"/>
      <c r="AO186" s="267"/>
    </row>
    <row r="187" spans="2:46" ht="17.25" thickTop="1" thickBot="1">
      <c r="B187" s="451">
        <f>850+80</f>
        <v>930</v>
      </c>
      <c r="C187" s="452" t="s">
        <v>67</v>
      </c>
      <c r="D187" s="453"/>
      <c r="E187" s="454" t="s">
        <v>98</v>
      </c>
      <c r="F187" s="455"/>
      <c r="G187" s="453"/>
      <c r="H187" s="453"/>
      <c r="I187" s="455"/>
      <c r="J187" s="453"/>
      <c r="K187" s="456"/>
      <c r="L187" s="456"/>
      <c r="M187" s="453"/>
      <c r="N187" s="453"/>
      <c r="O187" s="453"/>
      <c r="P187" s="453"/>
      <c r="Q187" s="453"/>
      <c r="R187" s="453"/>
      <c r="S187" s="453"/>
      <c r="T187" s="453"/>
      <c r="U187" s="453"/>
      <c r="V187" s="453"/>
      <c r="W187" s="453"/>
      <c r="X187" s="453"/>
      <c r="Y187" s="453"/>
      <c r="Z187" s="453"/>
      <c r="AA187" s="457"/>
      <c r="AB187" s="457"/>
      <c r="AC187" s="458"/>
      <c r="AD187" s="296"/>
      <c r="AE187" s="296"/>
      <c r="AF187" s="296"/>
      <c r="AG187" s="296"/>
      <c r="AH187" s="296"/>
      <c r="AI187" s="296"/>
      <c r="AJ187" s="296"/>
      <c r="AK187" s="296"/>
      <c r="AL187" s="296"/>
      <c r="AM187" s="296"/>
      <c r="AN187" s="296"/>
      <c r="AO187" s="296"/>
      <c r="AP187" s="267"/>
      <c r="AQ187" s="267"/>
      <c r="AR187" s="267"/>
      <c r="AS187" s="267"/>
      <c r="AT187" s="267"/>
    </row>
    <row r="188" spans="2:46" ht="15.75">
      <c r="B188" s="459">
        <f>+B187/30*7</f>
        <v>217</v>
      </c>
      <c r="C188" s="409" t="s">
        <v>68</v>
      </c>
      <c r="D188" s="460"/>
      <c r="E188" s="410"/>
      <c r="F188" s="411"/>
      <c r="G188" s="333"/>
      <c r="H188" s="333"/>
      <c r="I188" s="411"/>
      <c r="J188" s="333"/>
      <c r="K188" s="405"/>
      <c r="L188" s="405"/>
      <c r="M188" s="333"/>
      <c r="N188" s="333"/>
      <c r="O188" s="1053" t="s">
        <v>69</v>
      </c>
      <c r="P188" s="1053"/>
      <c r="Q188" s="1053"/>
      <c r="R188" s="1053"/>
      <c r="S188" s="1053"/>
      <c r="T188" s="1053"/>
      <c r="U188" s="1053"/>
      <c r="V188" s="1053"/>
      <c r="W188" s="1053"/>
      <c r="X188" s="1053"/>
      <c r="Y188" s="1053"/>
      <c r="Z188" s="1053"/>
      <c r="AA188" s="167"/>
      <c r="AB188" s="167"/>
      <c r="AC188" s="461"/>
      <c r="AD188" s="296"/>
      <c r="AE188" s="547"/>
      <c r="AF188" s="547"/>
      <c r="AG188" s="296"/>
      <c r="AH188" s="296"/>
      <c r="AI188" s="296"/>
      <c r="AJ188" s="547"/>
      <c r="AK188" s="547"/>
      <c r="AL188" s="296"/>
      <c r="AM188" s="296"/>
      <c r="AN188" s="296"/>
      <c r="AO188" s="296"/>
      <c r="AP188" s="267"/>
      <c r="AQ188" s="267"/>
      <c r="AR188" s="267"/>
      <c r="AS188" s="267"/>
      <c r="AT188" s="267"/>
    </row>
    <row r="189" spans="2:46">
      <c r="B189" s="459">
        <f>+B188-18</f>
        <v>199</v>
      </c>
      <c r="C189" s="409" t="s">
        <v>70</v>
      </c>
      <c r="D189" s="333"/>
      <c r="E189" s="410"/>
      <c r="F189" s="411"/>
      <c r="G189" s="333"/>
      <c r="H189" s="333"/>
      <c r="I189" s="411"/>
      <c r="J189" s="333"/>
      <c r="K189" s="405"/>
      <c r="L189" s="405"/>
      <c r="M189" s="333"/>
      <c r="N189" s="333"/>
      <c r="O189" s="1053">
        <f>+B187</f>
        <v>930</v>
      </c>
      <c r="P189" s="1053"/>
      <c r="Q189" s="1053" t="s">
        <v>71</v>
      </c>
      <c r="R189" s="1053"/>
      <c r="S189" s="1053"/>
      <c r="T189" s="1053"/>
      <c r="U189" s="1053"/>
      <c r="V189" s="1053"/>
      <c r="W189" s="1053"/>
      <c r="X189" s="1053"/>
      <c r="Y189" s="1053"/>
      <c r="Z189" s="1053"/>
      <c r="AA189" s="167" t="s">
        <v>72</v>
      </c>
      <c r="AB189" s="167"/>
      <c r="AC189" s="461"/>
      <c r="AD189" s="296"/>
      <c r="AE189" s="547"/>
      <c r="AF189" s="547"/>
      <c r="AG189" s="296"/>
      <c r="AH189" s="296"/>
      <c r="AI189" s="296"/>
      <c r="AJ189" s="547"/>
      <c r="AK189" s="547"/>
      <c r="AL189" s="296"/>
      <c r="AM189" s="296"/>
      <c r="AN189" s="296"/>
      <c r="AO189" s="296"/>
      <c r="AP189" s="267"/>
      <c r="AQ189" s="267"/>
      <c r="AR189" s="267"/>
      <c r="AS189" s="267"/>
      <c r="AT189" s="267"/>
    </row>
    <row r="190" spans="2:46">
      <c r="B190" s="462">
        <f>+B189/7</f>
        <v>28.428571428571427</v>
      </c>
      <c r="C190" s="382" t="s">
        <v>73</v>
      </c>
      <c r="D190" s="383"/>
      <c r="E190" s="410"/>
      <c r="F190" s="411"/>
      <c r="G190" s="333"/>
      <c r="H190" s="333"/>
      <c r="I190" s="411"/>
      <c r="J190" s="333"/>
      <c r="K190" s="405"/>
      <c r="L190" s="405"/>
      <c r="M190" s="333"/>
      <c r="N190" s="333"/>
      <c r="O190" s="1053">
        <f>+O189/30*7</f>
        <v>217</v>
      </c>
      <c r="P190" s="1053"/>
      <c r="Q190" s="1053" t="s">
        <v>74</v>
      </c>
      <c r="R190" s="1053"/>
      <c r="S190" s="1053"/>
      <c r="T190" s="1053"/>
      <c r="U190" s="1053"/>
      <c r="V190" s="1053"/>
      <c r="W190" s="1053"/>
      <c r="X190" s="1053"/>
      <c r="Y190" s="1053"/>
      <c r="Z190" s="1053"/>
      <c r="AA190" s="1064">
        <f>+O190*0.87</f>
        <v>188.79</v>
      </c>
      <c r="AB190" s="1064"/>
      <c r="AC190" s="461"/>
      <c r="AD190" s="296"/>
      <c r="AE190" s="384"/>
      <c r="AF190" s="384"/>
      <c r="AG190" s="296"/>
      <c r="AH190" s="296"/>
      <c r="AI190" s="296"/>
      <c r="AJ190" s="384"/>
      <c r="AK190" s="384"/>
      <c r="AL190" s="385"/>
      <c r="AM190" s="385"/>
      <c r="AN190" s="385"/>
      <c r="AO190" s="385"/>
      <c r="AP190" s="386"/>
      <c r="AQ190" s="386"/>
      <c r="AR190" s="267"/>
      <c r="AS190" s="267"/>
      <c r="AT190" s="267"/>
    </row>
    <row r="191" spans="2:46">
      <c r="B191" s="463"/>
      <c r="C191" s="333"/>
      <c r="D191" s="333"/>
      <c r="E191" s="410"/>
      <c r="F191" s="411"/>
      <c r="G191" s="333"/>
      <c r="H191" s="333"/>
      <c r="I191" s="411"/>
      <c r="J191" s="333"/>
      <c r="K191" s="405"/>
      <c r="L191" s="405"/>
      <c r="M191" s="333"/>
      <c r="N191" s="333"/>
      <c r="O191" s="1053">
        <f>+O190/7</f>
        <v>31</v>
      </c>
      <c r="P191" s="1053"/>
      <c r="Q191" s="1053" t="s">
        <v>75</v>
      </c>
      <c r="R191" s="1053"/>
      <c r="S191" s="1053"/>
      <c r="T191" s="1053"/>
      <c r="U191" s="1053"/>
      <c r="V191" s="1053"/>
      <c r="W191" s="1053"/>
      <c r="X191" s="1053"/>
      <c r="Y191" s="1053"/>
      <c r="Z191" s="1053"/>
      <c r="AA191" s="167"/>
      <c r="AB191" s="167"/>
      <c r="AC191" s="461"/>
      <c r="AD191" s="296"/>
      <c r="AE191" s="547"/>
      <c r="AF191" s="547"/>
      <c r="AG191" s="296"/>
      <c r="AH191" s="296"/>
      <c r="AI191" s="296"/>
      <c r="AJ191" s="547"/>
      <c r="AK191" s="547"/>
      <c r="AL191" s="387"/>
      <c r="AM191" s="387"/>
      <c r="AN191" s="385"/>
      <c r="AO191" s="385"/>
      <c r="AP191" s="386"/>
      <c r="AQ191" s="386"/>
      <c r="AR191" s="267"/>
      <c r="AS191" s="267"/>
      <c r="AT191" s="267"/>
    </row>
    <row r="192" spans="2:46" ht="15.75">
      <c r="B192" s="464">
        <f>+B190</f>
        <v>28.428571428571427</v>
      </c>
      <c r="C192" s="465" t="s">
        <v>76</v>
      </c>
      <c r="D192" s="418"/>
      <c r="E192" s="418"/>
      <c r="F192" s="418"/>
      <c r="G192" s="333"/>
      <c r="H192" s="333"/>
      <c r="I192" s="411"/>
      <c r="J192" s="333"/>
      <c r="K192" s="405"/>
      <c r="L192" s="405"/>
      <c r="M192" s="333"/>
      <c r="N192" s="333"/>
      <c r="O192" s="1065">
        <f>(O190-18)/7</f>
        <v>28.428571428571427</v>
      </c>
      <c r="P192" s="1065"/>
      <c r="Q192" s="1065" t="s">
        <v>77</v>
      </c>
      <c r="R192" s="1065"/>
      <c r="S192" s="1065"/>
      <c r="T192" s="1065"/>
      <c r="U192" s="1065"/>
      <c r="V192" s="1065"/>
      <c r="W192" s="1065"/>
      <c r="X192" s="1065"/>
      <c r="Y192" s="1065"/>
      <c r="Z192" s="1065"/>
      <c r="AA192" s="167"/>
      <c r="AB192" s="167"/>
      <c r="AC192" s="461"/>
      <c r="AD192" s="296"/>
      <c r="AE192" s="391"/>
      <c r="AF192" s="391"/>
      <c r="AG192" s="392"/>
      <c r="AH192" s="392"/>
      <c r="AI192" s="392"/>
      <c r="AJ192" s="391"/>
      <c r="AK192" s="391"/>
      <c r="AL192" s="385"/>
      <c r="AM192" s="385"/>
      <c r="AN192" s="385"/>
      <c r="AO192" s="385"/>
      <c r="AP192" s="386"/>
      <c r="AQ192" s="386"/>
      <c r="AR192" s="267"/>
      <c r="AS192" s="267"/>
      <c r="AT192" s="267"/>
    </row>
    <row r="193" spans="2:50">
      <c r="B193" s="459">
        <v>3</v>
      </c>
      <c r="C193" s="409" t="s">
        <v>78</v>
      </c>
      <c r="D193" s="333"/>
      <c r="E193" s="410"/>
      <c r="F193" s="411"/>
      <c r="G193" s="333"/>
      <c r="H193" s="333"/>
      <c r="I193" s="411"/>
      <c r="J193" s="333"/>
      <c r="K193" s="405"/>
      <c r="L193" s="405"/>
      <c r="M193" s="333"/>
      <c r="N193" s="333"/>
      <c r="O193" s="1053">
        <v>3</v>
      </c>
      <c r="P193" s="1053"/>
      <c r="Q193" s="1053" t="s">
        <v>79</v>
      </c>
      <c r="R193" s="1053"/>
      <c r="S193" s="1053"/>
      <c r="T193" s="1053"/>
      <c r="U193" s="1053"/>
      <c r="V193" s="1053"/>
      <c r="W193" s="1053"/>
      <c r="X193" s="1053"/>
      <c r="Y193" s="1053"/>
      <c r="Z193" s="1053"/>
      <c r="AA193" s="167"/>
      <c r="AB193" s="167"/>
      <c r="AC193" s="461"/>
      <c r="AD193" s="296"/>
      <c r="AE193" s="296"/>
      <c r="AF193" s="391"/>
      <c r="AG193" s="392"/>
      <c r="AH193" s="392"/>
      <c r="AI193" s="392"/>
      <c r="AJ193" s="391"/>
      <c r="AK193" s="391"/>
      <c r="AL193" s="385"/>
      <c r="AM193" s="385"/>
      <c r="AN193" s="385"/>
      <c r="AO193" s="385"/>
      <c r="AP193" s="386"/>
      <c r="AQ193" s="386"/>
      <c r="AR193" s="267"/>
      <c r="AS193" s="267"/>
      <c r="AT193" s="267"/>
    </row>
    <row r="194" spans="2:50">
      <c r="B194" s="462">
        <f>+B193+B192</f>
        <v>31.428571428571427</v>
      </c>
      <c r="C194" s="382" t="s">
        <v>80</v>
      </c>
      <c r="D194" s="393"/>
      <c r="E194" s="394"/>
      <c r="F194" s="395"/>
      <c r="G194" s="393"/>
      <c r="H194" s="393"/>
      <c r="I194" s="395"/>
      <c r="J194" s="393"/>
      <c r="K194" s="396"/>
      <c r="L194" s="396"/>
      <c r="M194" s="383"/>
      <c r="N194" s="333"/>
      <c r="O194" s="1053">
        <f>+O193+O192</f>
        <v>31.428571428571427</v>
      </c>
      <c r="P194" s="105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167"/>
      <c r="AB194" s="167"/>
      <c r="AC194" s="461"/>
      <c r="AD194" s="296"/>
      <c r="AE194" s="547"/>
      <c r="AF194" s="547"/>
      <c r="AG194" s="296"/>
      <c r="AH194" s="296"/>
      <c r="AI194" s="296"/>
      <c r="AJ194" s="547"/>
      <c r="AK194" s="547"/>
      <c r="AL194" s="387"/>
      <c r="AM194" s="387"/>
      <c r="AN194" s="387"/>
      <c r="AO194" s="387"/>
      <c r="AP194" s="397"/>
      <c r="AQ194" s="267"/>
      <c r="AR194" s="267"/>
      <c r="AS194" s="267"/>
      <c r="AT194" s="267"/>
    </row>
    <row r="195" spans="2:50">
      <c r="B195" s="459"/>
      <c r="C195" s="333"/>
      <c r="D195" s="333"/>
      <c r="E195" s="410"/>
      <c r="F195" s="411"/>
      <c r="G195" s="333"/>
      <c r="H195" s="333"/>
      <c r="I195" s="411"/>
      <c r="J195" s="333"/>
      <c r="K195" s="405"/>
      <c r="L195" s="405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167"/>
      <c r="AB195" s="167"/>
      <c r="AC195" s="461"/>
      <c r="AD195" s="296"/>
      <c r="AE195" s="398"/>
      <c r="AF195" s="398"/>
      <c r="AG195" s="398"/>
      <c r="AH195" s="296"/>
      <c r="AI195" s="296"/>
      <c r="AJ195" s="398"/>
      <c r="AK195" s="398"/>
      <c r="AL195" s="385"/>
      <c r="AM195" s="296"/>
      <c r="AN195" s="296"/>
      <c r="AO195" s="296"/>
      <c r="AP195" s="267"/>
      <c r="AQ195" s="267"/>
      <c r="AR195" s="267"/>
      <c r="AS195" s="267"/>
      <c r="AT195" s="267"/>
    </row>
    <row r="196" spans="2:50">
      <c r="B196" s="459">
        <f>+B194*6</f>
        <v>188.57142857142856</v>
      </c>
      <c r="C196" s="409" t="s">
        <v>81</v>
      </c>
      <c r="D196" s="333"/>
      <c r="E196" s="410"/>
      <c r="F196" s="411"/>
      <c r="G196" s="333"/>
      <c r="H196" s="333"/>
      <c r="I196" s="411"/>
      <c r="J196" s="333"/>
      <c r="K196" s="405"/>
      <c r="L196" s="405"/>
      <c r="M196" s="333"/>
      <c r="N196" s="333"/>
      <c r="O196" s="1053" t="s">
        <v>82</v>
      </c>
      <c r="P196" s="1053"/>
      <c r="Q196" s="1053"/>
      <c r="R196" s="1053"/>
      <c r="S196" s="1053"/>
      <c r="T196" s="1053"/>
      <c r="U196" s="1053"/>
      <c r="V196" s="1053"/>
      <c r="W196" s="1053"/>
      <c r="X196" s="1053"/>
      <c r="Y196" s="1053"/>
      <c r="Z196" s="1053"/>
      <c r="AA196" s="167"/>
      <c r="AB196" s="167"/>
      <c r="AC196" s="461"/>
      <c r="AD196" s="296"/>
      <c r="AE196" s="296"/>
      <c r="AF196" s="296"/>
      <c r="AG196" s="296"/>
      <c r="AH196" s="296"/>
      <c r="AI196" s="385"/>
      <c r="AJ196" s="385"/>
      <c r="AK196" s="387"/>
      <c r="AL196" s="545"/>
      <c r="AM196" s="547"/>
      <c r="AN196" s="545"/>
      <c r="AO196" s="296"/>
      <c r="AP196" s="267"/>
      <c r="AQ196" s="267"/>
      <c r="AR196" s="267"/>
      <c r="AS196" s="267"/>
      <c r="AT196" s="267"/>
    </row>
    <row r="197" spans="2:50">
      <c r="B197" s="466">
        <f>+B192</f>
        <v>28.428571428571427</v>
      </c>
      <c r="C197" s="400" t="s">
        <v>83</v>
      </c>
      <c r="D197" s="401"/>
      <c r="E197" s="402"/>
      <c r="F197" s="403"/>
      <c r="G197" s="401"/>
      <c r="H197" s="401"/>
      <c r="I197" s="403"/>
      <c r="J197" s="401"/>
      <c r="K197" s="404"/>
      <c r="L197" s="405"/>
      <c r="M197" s="333"/>
      <c r="N197" s="333"/>
      <c r="O197" s="1053">
        <f>+O189*1.1</f>
        <v>1023.0000000000001</v>
      </c>
      <c r="P197" s="1053"/>
      <c r="Q197" s="1053" t="s">
        <v>71</v>
      </c>
      <c r="R197" s="1053"/>
      <c r="S197" s="1053"/>
      <c r="T197" s="1053"/>
      <c r="U197" s="1053"/>
      <c r="V197" s="1053"/>
      <c r="W197" s="1053"/>
      <c r="X197" s="1053"/>
      <c r="Y197" s="1053"/>
      <c r="Z197" s="1053"/>
      <c r="AA197" s="167" t="s">
        <v>84</v>
      </c>
      <c r="AB197" s="167"/>
      <c r="AC197" s="461"/>
      <c r="AG197" s="267"/>
      <c r="AH197" s="267"/>
      <c r="AI197" s="386"/>
      <c r="AJ197" s="386"/>
      <c r="AK197" s="386"/>
      <c r="AL197" s="267"/>
      <c r="AM197" s="267"/>
      <c r="AN197" s="267"/>
      <c r="AO197" s="267"/>
    </row>
    <row r="198" spans="2:50">
      <c r="B198" s="462">
        <f>+B197+B196</f>
        <v>216.99999999999997</v>
      </c>
      <c r="C198" s="382" t="s">
        <v>85</v>
      </c>
      <c r="D198" s="393"/>
      <c r="E198" s="394"/>
      <c r="F198" s="395"/>
      <c r="G198" s="393"/>
      <c r="H198" s="393"/>
      <c r="I198" s="395"/>
      <c r="J198" s="393"/>
      <c r="K198" s="406"/>
      <c r="L198" s="405"/>
      <c r="M198" s="333"/>
      <c r="N198" s="333"/>
      <c r="O198" s="1053">
        <f>+O197/30*7</f>
        <v>238.70000000000002</v>
      </c>
      <c r="P198" s="1053"/>
      <c r="Q198" s="1053" t="s">
        <v>74</v>
      </c>
      <c r="R198" s="1053"/>
      <c r="S198" s="1053"/>
      <c r="T198" s="1053"/>
      <c r="U198" s="1053"/>
      <c r="V198" s="1053"/>
      <c r="W198" s="1053"/>
      <c r="X198" s="1053"/>
      <c r="Y198" s="1053"/>
      <c r="Z198" s="1053"/>
      <c r="AA198" s="1064">
        <f>+O198*0.87</f>
        <v>207.66900000000001</v>
      </c>
      <c r="AB198" s="1064"/>
      <c r="AC198" s="461"/>
      <c r="AG198" s="267"/>
      <c r="AH198" s="267"/>
      <c r="AI198" s="386"/>
      <c r="AJ198" s="386"/>
      <c r="AK198" s="407"/>
      <c r="AL198" s="267"/>
      <c r="AM198" s="267"/>
      <c r="AN198" s="267"/>
      <c r="AO198" s="267"/>
    </row>
    <row r="199" spans="2:50">
      <c r="B199" s="459"/>
      <c r="C199" s="409"/>
      <c r="D199" s="333"/>
      <c r="E199" s="410"/>
      <c r="F199" s="411"/>
      <c r="G199" s="333"/>
      <c r="H199" s="333"/>
      <c r="I199" s="411"/>
      <c r="J199" s="333"/>
      <c r="K199" s="405"/>
      <c r="L199" s="405"/>
      <c r="M199" s="333"/>
      <c r="N199" s="333"/>
      <c r="O199" s="1053">
        <f>+O198/7</f>
        <v>34.1</v>
      </c>
      <c r="P199" s="1053"/>
      <c r="Q199" s="1053" t="s">
        <v>75</v>
      </c>
      <c r="R199" s="1053"/>
      <c r="S199" s="1053"/>
      <c r="T199" s="1053"/>
      <c r="U199" s="1053"/>
      <c r="V199" s="1053"/>
      <c r="W199" s="1053"/>
      <c r="X199" s="1053"/>
      <c r="Y199" s="1053"/>
      <c r="Z199" s="1053"/>
      <c r="AA199" s="167"/>
      <c r="AB199" s="167"/>
      <c r="AC199" s="461"/>
      <c r="AG199" s="267"/>
      <c r="AH199" s="267"/>
      <c r="AI199" s="412"/>
      <c r="AJ199" s="413"/>
      <c r="AK199" s="407"/>
      <c r="AL199" s="267"/>
      <c r="AM199" s="267"/>
      <c r="AN199" s="267"/>
      <c r="AO199" s="267"/>
    </row>
    <row r="200" spans="2:50">
      <c r="B200" s="467">
        <f>+B198/7</f>
        <v>30.999999999999996</v>
      </c>
      <c r="C200" s="468" t="s">
        <v>86</v>
      </c>
      <c r="D200" s="333"/>
      <c r="E200" s="410"/>
      <c r="F200" s="411"/>
      <c r="G200" s="333"/>
      <c r="H200" s="333"/>
      <c r="I200" s="411"/>
      <c r="J200" s="333"/>
      <c r="K200" s="405"/>
      <c r="L200" s="405"/>
      <c r="M200" s="333"/>
      <c r="N200" s="333"/>
      <c r="O200" s="1065">
        <f>(O198-18)/7</f>
        <v>31.528571428571432</v>
      </c>
      <c r="P200" s="1065"/>
      <c r="Q200" s="1065" t="s">
        <v>77</v>
      </c>
      <c r="R200" s="1065"/>
      <c r="S200" s="1065"/>
      <c r="T200" s="1065"/>
      <c r="U200" s="1065"/>
      <c r="V200" s="1065"/>
      <c r="W200" s="1065"/>
      <c r="X200" s="1065"/>
      <c r="Y200" s="1065"/>
      <c r="Z200" s="1065"/>
      <c r="AA200" s="167"/>
      <c r="AB200" s="167"/>
      <c r="AC200" s="461"/>
      <c r="AG200" s="267"/>
      <c r="AH200" s="267"/>
      <c r="AI200" s="267"/>
      <c r="AJ200" s="267"/>
      <c r="AK200" s="407"/>
      <c r="AL200" s="267"/>
      <c r="AM200" s="267"/>
      <c r="AN200" s="267"/>
      <c r="AO200" s="267"/>
    </row>
    <row r="201" spans="2:50">
      <c r="B201" s="459"/>
      <c r="C201" s="409"/>
      <c r="D201" s="333"/>
      <c r="E201" s="410"/>
      <c r="F201" s="411"/>
      <c r="G201" s="333"/>
      <c r="H201" s="333"/>
      <c r="I201" s="411"/>
      <c r="J201" s="333"/>
      <c r="K201" s="405"/>
      <c r="L201" s="405"/>
      <c r="M201" s="333"/>
      <c r="N201" s="333"/>
      <c r="O201" s="1053">
        <v>3</v>
      </c>
      <c r="P201" s="1053"/>
      <c r="Q201" s="1053" t="s">
        <v>79</v>
      </c>
      <c r="R201" s="1053"/>
      <c r="S201" s="1053"/>
      <c r="T201" s="1053"/>
      <c r="U201" s="1053"/>
      <c r="V201" s="1053"/>
      <c r="W201" s="1053"/>
      <c r="X201" s="1053"/>
      <c r="Y201" s="1053"/>
      <c r="Z201" s="1053"/>
      <c r="AA201" s="167"/>
      <c r="AB201" s="167"/>
      <c r="AC201" s="461"/>
      <c r="AG201" s="267"/>
      <c r="AH201" s="267"/>
      <c r="AI201" s="267"/>
      <c r="AJ201" s="267"/>
      <c r="AK201" s="267"/>
      <c r="AL201" s="267"/>
      <c r="AM201" s="267"/>
      <c r="AN201" s="267"/>
      <c r="AO201" s="267"/>
    </row>
    <row r="202" spans="2:50" ht="15.75" thickBot="1">
      <c r="B202" s="469"/>
      <c r="C202" s="470"/>
      <c r="D202" s="471"/>
      <c r="E202" s="472"/>
      <c r="F202" s="473"/>
      <c r="G202" s="471"/>
      <c r="H202" s="471"/>
      <c r="I202" s="473"/>
      <c r="J202" s="471"/>
      <c r="K202" s="474"/>
      <c r="L202" s="474"/>
      <c r="M202" s="471"/>
      <c r="N202" s="471"/>
      <c r="O202" s="1081">
        <f>+O201+O200</f>
        <v>34.528571428571432</v>
      </c>
      <c r="P202" s="1081"/>
      <c r="Q202" s="471"/>
      <c r="R202" s="471"/>
      <c r="S202" s="471"/>
      <c r="T202" s="471"/>
      <c r="U202" s="471"/>
      <c r="V202" s="471"/>
      <c r="W202" s="471"/>
      <c r="X202" s="471"/>
      <c r="Y202" s="471"/>
      <c r="Z202" s="471"/>
      <c r="AA202" s="475"/>
      <c r="AB202" s="475"/>
      <c r="AC202" s="476"/>
      <c r="AG202" s="267"/>
      <c r="AH202" s="267"/>
      <c r="AI202" s="267"/>
      <c r="AJ202" s="267"/>
      <c r="AK202" s="267"/>
      <c r="AL202" s="267"/>
      <c r="AM202" s="267"/>
      <c r="AN202" s="267"/>
      <c r="AO202" s="267"/>
    </row>
    <row r="203" spans="2:50" ht="15.75" thickTop="1">
      <c r="B203" s="168"/>
      <c r="AG203" s="267"/>
      <c r="AH203" s="267"/>
      <c r="AI203" s="267"/>
      <c r="AJ203" s="267"/>
      <c r="AK203" s="267"/>
      <c r="AL203" s="267"/>
      <c r="AM203" s="267"/>
      <c r="AN203" s="267"/>
      <c r="AO203" s="267"/>
    </row>
    <row r="204" spans="2:50" ht="3" customHeight="1">
      <c r="Q204" s="308"/>
      <c r="R204" s="309"/>
      <c r="S204" s="310"/>
      <c r="T204" s="311"/>
      <c r="AA204" s="3"/>
      <c r="AB204" s="256"/>
      <c r="AC204" s="256"/>
      <c r="AD204" s="256"/>
      <c r="AE204" s="256"/>
      <c r="AF204" s="256"/>
      <c r="AG204" s="256"/>
      <c r="AH204" s="256"/>
      <c r="AI204" s="256"/>
      <c r="AJ204" s="256"/>
      <c r="AK204" s="256"/>
      <c r="AL204" s="256"/>
      <c r="AM204" s="254"/>
      <c r="AN204" s="254"/>
      <c r="AO204" s="254"/>
      <c r="AP204" s="254"/>
      <c r="AQ204" s="253"/>
      <c r="AS204" s="255"/>
      <c r="AT204" s="255"/>
      <c r="AX204" s="257"/>
    </row>
    <row r="205" spans="2:50" ht="14.1" customHeight="1">
      <c r="B205" s="7" t="s">
        <v>29</v>
      </c>
      <c r="C205" s="997" t="s">
        <v>30</v>
      </c>
      <c r="D205" s="997"/>
      <c r="E205" s="997" t="s">
        <v>31</v>
      </c>
      <c r="F205" s="997"/>
      <c r="G205" s="998" t="s">
        <v>32</v>
      </c>
      <c r="H205" s="999"/>
      <c r="I205" s="1004" t="s">
        <v>33</v>
      </c>
      <c r="J205" s="1005"/>
      <c r="K205" s="1006" t="s">
        <v>34</v>
      </c>
      <c r="L205" s="1006"/>
      <c r="M205" s="6"/>
      <c r="N205" s="1007" t="s">
        <v>35</v>
      </c>
      <c r="O205" s="1007"/>
      <c r="P205" s="6"/>
      <c r="Q205" s="1008" t="s">
        <v>36</v>
      </c>
      <c r="R205" s="1009"/>
      <c r="U205" s="1019" t="s">
        <v>37</v>
      </c>
      <c r="V205" s="1022" t="s">
        <v>38</v>
      </c>
      <c r="W205" s="1025" t="s">
        <v>39</v>
      </c>
      <c r="X205" s="983" t="s">
        <v>40</v>
      </c>
      <c r="AA205" s="3"/>
      <c r="AB205" s="256"/>
      <c r="AC205" s="256"/>
      <c r="AD205" s="256"/>
      <c r="AE205" s="256"/>
      <c r="AF205" s="256"/>
      <c r="AG205" s="256"/>
      <c r="AH205" s="256"/>
      <c r="AI205" s="256"/>
      <c r="AJ205" s="256"/>
      <c r="AK205" s="256"/>
      <c r="AL205" s="256"/>
      <c r="AM205" s="254"/>
      <c r="AN205" s="254"/>
      <c r="AO205" s="254"/>
      <c r="AP205" s="254"/>
      <c r="AQ205" s="253"/>
      <c r="AS205" s="255"/>
      <c r="AT205" s="255"/>
      <c r="AX205" s="257"/>
    </row>
    <row r="206" spans="2:50" ht="14.1" customHeight="1">
      <c r="B206" s="7" t="s">
        <v>41</v>
      </c>
      <c r="C206" s="997"/>
      <c r="D206" s="997"/>
      <c r="E206" s="997"/>
      <c r="F206" s="997"/>
      <c r="G206" s="1000"/>
      <c r="H206" s="1001"/>
      <c r="I206" s="1004"/>
      <c r="J206" s="1005"/>
      <c r="K206" s="1006"/>
      <c r="L206" s="1006"/>
      <c r="M206" s="6"/>
      <c r="N206" s="1007"/>
      <c r="O206" s="1007"/>
      <c r="P206" s="6"/>
      <c r="Q206" s="1010"/>
      <c r="R206" s="1011"/>
      <c r="U206" s="1020"/>
      <c r="V206" s="1023"/>
      <c r="W206" s="1026"/>
      <c r="X206" s="984"/>
      <c r="AA206" s="3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254"/>
      <c r="AN206" s="254"/>
      <c r="AO206" s="254"/>
      <c r="AP206" s="254"/>
      <c r="AQ206" s="253"/>
      <c r="AS206" s="255"/>
      <c r="AT206" s="255"/>
      <c r="AX206" s="257"/>
    </row>
    <row r="207" spans="2:50" ht="14.1" customHeight="1">
      <c r="B207" s="7" t="s">
        <v>42</v>
      </c>
      <c r="C207" s="997"/>
      <c r="D207" s="997"/>
      <c r="E207" s="997"/>
      <c r="F207" s="997"/>
      <c r="G207" s="1000"/>
      <c r="H207" s="1001"/>
      <c r="I207" s="1004"/>
      <c r="J207" s="1005"/>
      <c r="K207" s="1006"/>
      <c r="L207" s="1006"/>
      <c r="M207" s="6"/>
      <c r="N207" s="1007"/>
      <c r="O207" s="1007"/>
      <c r="P207" s="6"/>
      <c r="Q207" s="1012"/>
      <c r="R207" s="1013"/>
      <c r="U207" s="1020"/>
      <c r="V207" s="1023"/>
      <c r="W207" s="1026"/>
      <c r="X207" s="984"/>
      <c r="AA207" s="3"/>
      <c r="AB207" s="256"/>
      <c r="AC207" s="256"/>
      <c r="AD207" s="256"/>
      <c r="AE207" s="256"/>
      <c r="AF207" s="256"/>
      <c r="AG207" s="256"/>
      <c r="AH207" s="256"/>
      <c r="AI207" s="256"/>
      <c r="AJ207" s="256"/>
      <c r="AK207" s="256"/>
      <c r="AL207" s="256"/>
      <c r="AM207" s="254"/>
      <c r="AN207" s="254"/>
      <c r="AO207" s="254"/>
      <c r="AP207" s="254"/>
      <c r="AQ207" s="253"/>
      <c r="AS207" s="255"/>
      <c r="AT207" s="255"/>
      <c r="AV207" s="254"/>
      <c r="AX207" s="257"/>
    </row>
    <row r="208" spans="2:50" ht="26.25">
      <c r="B208" s="325" t="s">
        <v>44</v>
      </c>
      <c r="C208" s="986">
        <f>+E208*7</f>
        <v>198.33333333333331</v>
      </c>
      <c r="D208" s="986"/>
      <c r="E208" s="987">
        <f>+K208/30</f>
        <v>28.333333333333332</v>
      </c>
      <c r="F208" s="987"/>
      <c r="G208" s="1000"/>
      <c r="H208" s="1001"/>
      <c r="I208" s="988">
        <f>+E208/8</f>
        <v>3.5416666666666665</v>
      </c>
      <c r="J208" s="989"/>
      <c r="K208" s="990">
        <v>850</v>
      </c>
      <c r="L208" s="990"/>
      <c r="M208" s="326"/>
      <c r="N208" s="991">
        <f>+I208/6*7</f>
        <v>4.1319444444444446</v>
      </c>
      <c r="O208" s="992"/>
      <c r="P208" s="326"/>
      <c r="Q208" s="993">
        <f>+$I$71-I208</f>
        <v>1.6895833333333337</v>
      </c>
      <c r="R208" s="993"/>
      <c r="U208" s="1020"/>
      <c r="V208" s="1023"/>
      <c r="W208" s="1026"/>
      <c r="X208" s="984"/>
      <c r="AA208" s="3"/>
      <c r="AB208" s="3"/>
      <c r="AC208" s="3"/>
      <c r="AD208" s="3"/>
    </row>
    <row r="209" spans="1:46" ht="24.75">
      <c r="B209" s="332" t="s">
        <v>46</v>
      </c>
      <c r="C209" s="1014">
        <f>+E209*7</f>
        <v>267.75</v>
      </c>
      <c r="D209" s="1014"/>
      <c r="E209" s="1015">
        <f>+K209/30</f>
        <v>38.25</v>
      </c>
      <c r="F209" s="1015"/>
      <c r="G209" s="1002"/>
      <c r="H209" s="1003"/>
      <c r="I209" s="1016">
        <f>+E209/8</f>
        <v>4.78125</v>
      </c>
      <c r="J209" s="1017"/>
      <c r="K209" s="1018">
        <f>+K208*1.35</f>
        <v>1147.5</v>
      </c>
      <c r="L209" s="1018"/>
      <c r="M209" s="326"/>
      <c r="N209" s="991">
        <f>+I209/6*7</f>
        <v>5.578125</v>
      </c>
      <c r="O209" s="992"/>
      <c r="P209" s="326"/>
      <c r="Q209" s="993">
        <f>+$I$71-I209</f>
        <v>0.45000000000000018</v>
      </c>
      <c r="R209" s="993"/>
      <c r="U209" s="1020"/>
      <c r="V209" s="1023"/>
      <c r="W209" s="1026"/>
      <c r="X209" s="984"/>
      <c r="Z209" s="477"/>
      <c r="AA209" s="546"/>
      <c r="AB209" s="546"/>
      <c r="AC209" s="546"/>
      <c r="AD209" s="546"/>
      <c r="AE209" s="296"/>
      <c r="AF209" s="296"/>
      <c r="AG209" s="478"/>
      <c r="AH209" s="296"/>
      <c r="AI209" s="296"/>
      <c r="AJ209" s="296"/>
      <c r="AK209" s="296"/>
      <c r="AL209" s="296"/>
      <c r="AM209" s="296"/>
      <c r="AN209" s="296"/>
      <c r="AO209" s="296"/>
      <c r="AP209" s="296"/>
      <c r="AQ209" s="296"/>
      <c r="AR209" s="296"/>
      <c r="AS209" s="296"/>
      <c r="AT209" s="296"/>
    </row>
    <row r="210" spans="1:46" ht="2.1" customHeight="1">
      <c r="B210" s="334"/>
      <c r="C210" s="258"/>
      <c r="D210" s="258"/>
      <c r="G210" s="335"/>
      <c r="H210" s="335"/>
      <c r="I210" s="336"/>
      <c r="J210" s="336"/>
      <c r="K210" s="337"/>
      <c r="L210" s="337"/>
      <c r="M210" s="6"/>
      <c r="N210" s="338"/>
      <c r="O210" s="338"/>
      <c r="P210" s="6"/>
      <c r="Q210" s="339"/>
      <c r="R210" s="339"/>
      <c r="U210" s="1021"/>
      <c r="V210" s="1024"/>
      <c r="W210" s="1027"/>
      <c r="X210" s="985"/>
      <c r="Z210" s="477"/>
      <c r="AA210" s="546"/>
      <c r="AB210" s="546"/>
      <c r="AC210" s="546"/>
      <c r="AD210" s="546"/>
      <c r="AE210" s="296"/>
      <c r="AF210" s="296"/>
      <c r="AG210" s="478"/>
      <c r="AH210" s="296"/>
      <c r="AI210" s="296"/>
      <c r="AJ210" s="296"/>
      <c r="AK210" s="296"/>
      <c r="AL210" s="296"/>
      <c r="AM210" s="296"/>
      <c r="AN210" s="296"/>
      <c r="AO210" s="296"/>
      <c r="AP210" s="296"/>
      <c r="AQ210" s="296"/>
      <c r="AR210" s="296"/>
      <c r="AS210" s="296"/>
      <c r="AT210" s="296"/>
    </row>
    <row r="211" spans="1:46" ht="16.5">
      <c r="A211" s="1">
        <v>1</v>
      </c>
      <c r="B211" s="340" t="s">
        <v>47</v>
      </c>
      <c r="C211" s="1040">
        <f>6*3+7*33.8</f>
        <v>254.59999999999997</v>
      </c>
      <c r="D211" s="1041"/>
      <c r="E211" s="1030">
        <f t="shared" ref="E211:E218" si="73">+C211/7</f>
        <v>36.371428571428567</v>
      </c>
      <c r="F211" s="1031"/>
      <c r="G211" s="341"/>
      <c r="H211" s="341"/>
      <c r="I211" s="1032">
        <f t="shared" ref="I211:I218" si="74">+E211/8</f>
        <v>4.5464285714285708</v>
      </c>
      <c r="J211" s="1033"/>
      <c r="K211" s="1034">
        <f t="shared" ref="K211:K221" si="75">+E211*30</f>
        <v>1091.1428571428569</v>
      </c>
      <c r="L211" s="1034"/>
      <c r="M211" s="6"/>
      <c r="N211" s="1035">
        <f t="shared" ref="N211:N225" si="76">+I211/6*7</f>
        <v>5.3041666666666654</v>
      </c>
      <c r="O211" s="1035"/>
      <c r="P211" s="6"/>
      <c r="Q211" s="1036">
        <f t="shared" ref="Q211:Q225" si="77">+$I$71-I211</f>
        <v>0.68482142857142936</v>
      </c>
      <c r="R211" s="1037"/>
      <c r="U211" s="342">
        <f t="shared" ref="U211:U217" si="78">+AE172+U172+K172+AO151+AE151+U151+K151</f>
        <v>0</v>
      </c>
      <c r="V211" s="343">
        <v>48</v>
      </c>
      <c r="W211" s="344">
        <f t="shared" ref="W211:W225" si="79">+V211-U211</f>
        <v>48</v>
      </c>
      <c r="X211" s="345" t="e">
        <f t="shared" ref="X211:X217" si="80">+J151+T151+AD151+J172+T172+AD172</f>
        <v>#VALUE!</v>
      </c>
      <c r="Z211" s="477"/>
      <c r="AA211" s="546"/>
      <c r="AB211" s="546"/>
      <c r="AC211" s="546"/>
      <c r="AD211" s="546"/>
      <c r="AE211" s="296"/>
      <c r="AF211" s="296"/>
      <c r="AG211" s="478"/>
      <c r="AH211" s="296"/>
      <c r="AI211" s="296"/>
      <c r="AJ211" s="296"/>
      <c r="AK211" s="296"/>
      <c r="AL211" s="296"/>
      <c r="AM211" s="296"/>
      <c r="AN211" s="296"/>
      <c r="AO211" s="296"/>
      <c r="AP211" s="296"/>
      <c r="AQ211" s="296"/>
      <c r="AR211" s="296"/>
      <c r="AS211" s="296"/>
      <c r="AT211" s="296"/>
    </row>
    <row r="212" spans="1:46" ht="16.5">
      <c r="A212" s="1">
        <v>2</v>
      </c>
      <c r="B212" s="340" t="s">
        <v>48</v>
      </c>
      <c r="C212" s="1040">
        <f>6*3+7*38.5</f>
        <v>287.5</v>
      </c>
      <c r="D212" s="1041"/>
      <c r="E212" s="1030">
        <f t="shared" si="73"/>
        <v>41.071428571428569</v>
      </c>
      <c r="F212" s="1031"/>
      <c r="G212" s="341"/>
      <c r="H212" s="341"/>
      <c r="I212" s="1032">
        <f t="shared" si="74"/>
        <v>5.1339285714285712</v>
      </c>
      <c r="J212" s="1033"/>
      <c r="K212" s="1034">
        <f t="shared" si="75"/>
        <v>1232.1428571428571</v>
      </c>
      <c r="L212" s="1034"/>
      <c r="M212" s="6"/>
      <c r="N212" s="1035">
        <f t="shared" si="76"/>
        <v>5.989583333333333</v>
      </c>
      <c r="O212" s="1035"/>
      <c r="P212" s="6"/>
      <c r="Q212" s="1036">
        <f t="shared" si="77"/>
        <v>9.7321428571429003E-2</v>
      </c>
      <c r="R212" s="1037"/>
      <c r="U212" s="342">
        <f t="shared" si="78"/>
        <v>0</v>
      </c>
      <c r="V212" s="343">
        <v>48</v>
      </c>
      <c r="W212" s="344">
        <f t="shared" si="79"/>
        <v>48</v>
      </c>
      <c r="X212" s="345" t="e">
        <f t="shared" si="80"/>
        <v>#VALUE!</v>
      </c>
      <c r="Z212" s="477"/>
      <c r="AA212" s="546"/>
      <c r="AB212" s="546"/>
      <c r="AC212" s="546"/>
      <c r="AD212" s="546"/>
      <c r="AE212" s="296"/>
      <c r="AF212" s="296"/>
      <c r="AG212" s="478"/>
      <c r="AH212" s="296"/>
      <c r="AI212" s="296"/>
      <c r="AJ212" s="296"/>
      <c r="AK212" s="296"/>
      <c r="AL212" s="296"/>
      <c r="AM212" s="296"/>
      <c r="AN212" s="296"/>
      <c r="AO212" s="296"/>
      <c r="AP212" s="296"/>
      <c r="AQ212" s="296"/>
      <c r="AR212" s="296"/>
      <c r="AS212" s="296"/>
      <c r="AT212" s="296"/>
    </row>
    <row r="213" spans="1:46" ht="16.5">
      <c r="A213" s="1">
        <v>2</v>
      </c>
      <c r="B213" s="340" t="s">
        <v>61</v>
      </c>
      <c r="C213" s="1040">
        <f>6*3+7*38.5</f>
        <v>287.5</v>
      </c>
      <c r="D213" s="1041"/>
      <c r="E213" s="1030">
        <f t="shared" si="73"/>
        <v>41.071428571428569</v>
      </c>
      <c r="F213" s="1031"/>
      <c r="G213" s="341"/>
      <c r="H213" s="341"/>
      <c r="I213" s="1032">
        <f t="shared" si="74"/>
        <v>5.1339285714285712</v>
      </c>
      <c r="J213" s="1033"/>
      <c r="K213" s="1034">
        <f t="shared" si="75"/>
        <v>1232.1428571428571</v>
      </c>
      <c r="L213" s="1034"/>
      <c r="M213" s="6"/>
      <c r="N213" s="1035">
        <f t="shared" si="76"/>
        <v>5.989583333333333</v>
      </c>
      <c r="O213" s="1035"/>
      <c r="P213" s="6"/>
      <c r="Q213" s="1036">
        <f t="shared" si="77"/>
        <v>9.7321428571429003E-2</v>
      </c>
      <c r="R213" s="1037"/>
      <c r="U213" s="342">
        <f t="shared" si="78"/>
        <v>0</v>
      </c>
      <c r="V213" s="343">
        <v>48</v>
      </c>
      <c r="W213" s="344">
        <f t="shared" si="79"/>
        <v>48</v>
      </c>
      <c r="X213" s="345" t="e">
        <f t="shared" si="80"/>
        <v>#VALUE!</v>
      </c>
      <c r="Z213" s="477"/>
      <c r="AA213" s="546"/>
      <c r="AB213" s="546"/>
      <c r="AC213" s="546"/>
      <c r="AD213" s="546"/>
      <c r="AE213" s="296"/>
      <c r="AF213" s="296"/>
      <c r="AG213" s="478"/>
      <c r="AH213" s="296"/>
      <c r="AI213" s="296"/>
      <c r="AJ213" s="296"/>
      <c r="AK213" s="296"/>
      <c r="AL213" s="296"/>
      <c r="AM213" s="296"/>
      <c r="AN213" s="296"/>
      <c r="AO213" s="296"/>
      <c r="AP213" s="296"/>
      <c r="AQ213" s="296"/>
      <c r="AR213" s="296"/>
      <c r="AS213" s="296"/>
      <c r="AT213" s="296"/>
    </row>
    <row r="214" spans="1:46" ht="16.5">
      <c r="A214" s="1">
        <v>4</v>
      </c>
      <c r="B214" s="359" t="s">
        <v>50</v>
      </c>
      <c r="C214" s="1028">
        <f>6*3+7*30.762</f>
        <v>233.334</v>
      </c>
      <c r="D214" s="1029"/>
      <c r="E214" s="1030">
        <f t="shared" si="73"/>
        <v>33.33342857142857</v>
      </c>
      <c r="F214" s="1031"/>
      <c r="G214" s="341"/>
      <c r="H214" s="341"/>
      <c r="I214" s="1032">
        <f t="shared" si="74"/>
        <v>4.1666785714285712</v>
      </c>
      <c r="J214" s="1033"/>
      <c r="K214" s="1034">
        <f t="shared" si="75"/>
        <v>1000.0028571428571</v>
      </c>
      <c r="L214" s="1034"/>
      <c r="M214" s="6"/>
      <c r="N214" s="1035">
        <f t="shared" si="76"/>
        <v>4.8611250000000004</v>
      </c>
      <c r="O214" s="1035"/>
      <c r="P214" s="6"/>
      <c r="Q214" s="1036">
        <f t="shared" si="77"/>
        <v>1.0645714285714289</v>
      </c>
      <c r="R214" s="1037"/>
      <c r="S214" s="1082">
        <f>20*30/180*117</f>
        <v>390</v>
      </c>
      <c r="T214" s="1083"/>
      <c r="U214" s="342">
        <f t="shared" si="78"/>
        <v>0</v>
      </c>
      <c r="V214" s="343">
        <v>48</v>
      </c>
      <c r="W214" s="344">
        <f t="shared" si="79"/>
        <v>48</v>
      </c>
      <c r="X214" s="345">
        <f t="shared" si="80"/>
        <v>0</v>
      </c>
      <c r="Z214" s="1084" t="s">
        <v>99</v>
      </c>
      <c r="AA214" s="1084"/>
      <c r="AB214" s="1084"/>
      <c r="AC214" s="1084"/>
      <c r="AD214" s="477" t="s">
        <v>100</v>
      </c>
      <c r="AE214" s="546"/>
      <c r="AF214" s="296"/>
      <c r="AG214" s="547"/>
      <c r="AH214" s="547"/>
      <c r="AI214" s="296"/>
      <c r="AJ214" s="296"/>
      <c r="AK214" s="545"/>
      <c r="AL214" s="545"/>
      <c r="AM214" s="545"/>
      <c r="AN214" s="545"/>
      <c r="AO214" s="545"/>
      <c r="AP214" s="545"/>
      <c r="AQ214" s="545"/>
      <c r="AR214" s="545"/>
      <c r="AS214" s="296"/>
      <c r="AT214" s="296"/>
    </row>
    <row r="215" spans="1:46" ht="16.5">
      <c r="A215" s="1">
        <v>5</v>
      </c>
      <c r="B215" s="340" t="s">
        <v>52</v>
      </c>
      <c r="C215" s="1028">
        <f>6*3+7*38.5</f>
        <v>287.5</v>
      </c>
      <c r="D215" s="1029"/>
      <c r="E215" s="1030">
        <f t="shared" si="73"/>
        <v>41.071428571428569</v>
      </c>
      <c r="F215" s="1031"/>
      <c r="G215" s="341"/>
      <c r="H215" s="341"/>
      <c r="I215" s="1032">
        <f t="shared" si="74"/>
        <v>5.1339285714285712</v>
      </c>
      <c r="J215" s="1033"/>
      <c r="K215" s="1034">
        <f t="shared" si="75"/>
        <v>1232.1428571428571</v>
      </c>
      <c r="L215" s="1034"/>
      <c r="M215" s="6"/>
      <c r="N215" s="1035">
        <f t="shared" si="76"/>
        <v>5.989583333333333</v>
      </c>
      <c r="O215" s="1035"/>
      <c r="P215" s="6"/>
      <c r="Q215" s="1036">
        <f t="shared" si="77"/>
        <v>9.7321428571429003E-2</v>
      </c>
      <c r="R215" s="1037"/>
      <c r="U215" s="342">
        <f t="shared" si="78"/>
        <v>0</v>
      </c>
      <c r="V215" s="343">
        <v>48</v>
      </c>
      <c r="W215" s="344">
        <f t="shared" si="79"/>
        <v>48</v>
      </c>
      <c r="X215" s="345">
        <f t="shared" si="80"/>
        <v>0</v>
      </c>
      <c r="Z215" s="546"/>
      <c r="AA215" s="546"/>
      <c r="AB215" s="546"/>
      <c r="AC215" s="546"/>
      <c r="AD215" s="546"/>
      <c r="AE215" s="296"/>
      <c r="AF215" s="296"/>
      <c r="AG215" s="479"/>
      <c r="AH215" s="479"/>
      <c r="AI215" s="547"/>
      <c r="AJ215" s="547"/>
      <c r="AK215" s="547"/>
      <c r="AL215" s="547"/>
      <c r="AM215" s="547"/>
      <c r="AN215" s="547"/>
      <c r="AO215" s="547"/>
      <c r="AP215" s="547"/>
      <c r="AQ215" s="547"/>
      <c r="AR215" s="547"/>
      <c r="AS215" s="296"/>
      <c r="AT215" s="296"/>
    </row>
    <row r="216" spans="1:46" ht="16.5">
      <c r="A216" s="1">
        <v>7</v>
      </c>
      <c r="B216" s="365" t="s">
        <v>53</v>
      </c>
      <c r="C216" s="1042">
        <f>6*3+7*(38.5)</f>
        <v>287.5</v>
      </c>
      <c r="D216" s="1043"/>
      <c r="E216" s="1030">
        <f t="shared" si="73"/>
        <v>41.071428571428569</v>
      </c>
      <c r="F216" s="1031"/>
      <c r="G216" s="1046"/>
      <c r="H216" s="1047"/>
      <c r="I216" s="1032">
        <f t="shared" si="74"/>
        <v>5.1339285714285712</v>
      </c>
      <c r="J216" s="1033"/>
      <c r="K216" s="1034">
        <f t="shared" si="75"/>
        <v>1232.1428571428571</v>
      </c>
      <c r="L216" s="1034"/>
      <c r="M216" s="6"/>
      <c r="N216" s="1035">
        <f t="shared" si="76"/>
        <v>5.989583333333333</v>
      </c>
      <c r="O216" s="1035"/>
      <c r="P216" s="6"/>
      <c r="Q216" s="1036">
        <f t="shared" si="77"/>
        <v>9.7321428571429003E-2</v>
      </c>
      <c r="R216" s="1037"/>
      <c r="U216" s="342">
        <f t="shared" si="78"/>
        <v>0</v>
      </c>
      <c r="V216" s="343">
        <v>48</v>
      </c>
      <c r="W216" s="344">
        <f t="shared" si="79"/>
        <v>48</v>
      </c>
      <c r="X216" s="345">
        <f t="shared" si="80"/>
        <v>0</v>
      </c>
      <c r="Z216" s="372"/>
      <c r="AA216" s="372"/>
      <c r="AB216" s="1085" t="s">
        <v>101</v>
      </c>
      <c r="AC216" s="1086"/>
      <c r="AD216" s="1086"/>
      <c r="AE216" s="1086"/>
      <c r="AF216" s="1086"/>
      <c r="AG216" s="1086"/>
      <c r="AH216" s="1086"/>
      <c r="AI216" s="1086"/>
      <c r="AJ216" s="1086"/>
      <c r="AK216" s="1086"/>
      <c r="AL216" s="370"/>
      <c r="AM216" s="547"/>
      <c r="AN216" s="547"/>
      <c r="AO216" s="547"/>
      <c r="AP216" s="547"/>
      <c r="AQ216" s="547"/>
      <c r="AR216" s="547"/>
      <c r="AS216" s="296"/>
      <c r="AT216" s="296"/>
    </row>
    <row r="217" spans="1:46" s="371" customFormat="1" ht="16.5">
      <c r="A217" s="366">
        <v>6</v>
      </c>
      <c r="B217" s="365" t="s">
        <v>102</v>
      </c>
      <c r="C217" s="1042">
        <f>6*3+7*(27)</f>
        <v>207</v>
      </c>
      <c r="D217" s="1043"/>
      <c r="E217" s="1030">
        <f t="shared" si="73"/>
        <v>29.571428571428573</v>
      </c>
      <c r="F217" s="1031"/>
      <c r="G217" s="1087"/>
      <c r="H217" s="1088"/>
      <c r="I217" s="1032">
        <f t="shared" si="74"/>
        <v>3.6964285714285716</v>
      </c>
      <c r="J217" s="1033"/>
      <c r="K217" s="1034">
        <f t="shared" si="75"/>
        <v>887.14285714285722</v>
      </c>
      <c r="L217" s="1034"/>
      <c r="M217" s="6"/>
      <c r="N217" s="1035">
        <f t="shared" si="76"/>
        <v>4.3125</v>
      </c>
      <c r="O217" s="1035"/>
      <c r="P217" s="6"/>
      <c r="Q217" s="1036">
        <f t="shared" si="77"/>
        <v>1.5348214285714286</v>
      </c>
      <c r="R217" s="1037"/>
      <c r="S217" s="1082">
        <f>20*30/180*117</f>
        <v>390</v>
      </c>
      <c r="T217" s="1083"/>
      <c r="U217" s="342">
        <f t="shared" si="78"/>
        <v>0</v>
      </c>
      <c r="V217" s="343">
        <v>48</v>
      </c>
      <c r="W217" s="344">
        <f t="shared" si="79"/>
        <v>48</v>
      </c>
      <c r="X217" s="345">
        <f t="shared" si="80"/>
        <v>0</v>
      </c>
      <c r="Y217" s="367"/>
      <c r="Z217" s="546"/>
      <c r="AA217" s="546"/>
      <c r="AB217" s="546"/>
      <c r="AC217" s="546"/>
      <c r="AD217" s="546"/>
      <c r="AE217" s="296"/>
      <c r="AF217" s="296"/>
      <c r="AG217" s="547"/>
      <c r="AH217" s="547"/>
      <c r="AI217" s="370"/>
      <c r="AJ217" s="370"/>
      <c r="AK217" s="370"/>
      <c r="AL217" s="370"/>
      <c r="AM217" s="547"/>
      <c r="AN217" s="547"/>
      <c r="AO217" s="547"/>
      <c r="AP217" s="547"/>
      <c r="AQ217" s="547"/>
      <c r="AR217" s="547"/>
      <c r="AS217" s="296"/>
      <c r="AT217" s="296"/>
    </row>
    <row r="218" spans="1:46" s="371" customFormat="1" ht="16.5">
      <c r="A218" s="1">
        <v>8</v>
      </c>
      <c r="B218" s="365" t="s">
        <v>87</v>
      </c>
      <c r="C218" s="1042">
        <f>6*3+7*(25.7619)</f>
        <v>198.33330000000001</v>
      </c>
      <c r="D218" s="1043"/>
      <c r="E218" s="1030">
        <f t="shared" si="73"/>
        <v>28.333328571428574</v>
      </c>
      <c r="F218" s="1031"/>
      <c r="G218" s="1044">
        <v>25.761900000000001</v>
      </c>
      <c r="H218" s="1045"/>
      <c r="I218" s="1032">
        <f t="shared" si="74"/>
        <v>3.5416660714285717</v>
      </c>
      <c r="J218" s="1033"/>
      <c r="K218" s="1034">
        <f t="shared" si="75"/>
        <v>849.99985714285719</v>
      </c>
      <c r="L218" s="1034"/>
      <c r="M218" s="6"/>
      <c r="N218" s="1035">
        <f t="shared" si="76"/>
        <v>4.1319437500000005</v>
      </c>
      <c r="O218" s="1035"/>
      <c r="P218" s="6"/>
      <c r="Q218" s="1036">
        <f t="shared" si="77"/>
        <v>1.6895839285714285</v>
      </c>
      <c r="R218" s="1037"/>
      <c r="S218" s="3"/>
      <c r="T218" s="3"/>
      <c r="U218" s="342">
        <f>+AE180+U180+K180+AO159+AE159+U159+K159</f>
        <v>0</v>
      </c>
      <c r="V218" s="343">
        <v>48</v>
      </c>
      <c r="W218" s="344">
        <f t="shared" si="79"/>
        <v>48</v>
      </c>
      <c r="X218" s="345">
        <f>+J159+T159+AD159+J180+T180+AD180</f>
        <v>0</v>
      </c>
      <c r="Y218" s="3"/>
      <c r="Z218" s="546"/>
      <c r="AA218" s="546"/>
      <c r="AB218" s="546"/>
      <c r="AC218" s="546"/>
      <c r="AD218" s="546"/>
      <c r="AE218" s="296"/>
      <c r="AF218" s="296"/>
      <c r="AG218" s="547"/>
      <c r="AH218" s="547"/>
      <c r="AI218" s="370"/>
      <c r="AJ218" s="370"/>
      <c r="AK218" s="370"/>
      <c r="AL218" s="370"/>
      <c r="AM218" s="547"/>
      <c r="AN218" s="547"/>
      <c r="AO218" s="547"/>
      <c r="AP218" s="547"/>
      <c r="AQ218" s="547"/>
      <c r="AR218" s="547"/>
      <c r="AS218" s="296"/>
      <c r="AT218" s="296"/>
    </row>
    <row r="219" spans="1:46" ht="16.5">
      <c r="B219" s="365" t="s">
        <v>54</v>
      </c>
      <c r="C219" s="1042"/>
      <c r="D219" s="1043"/>
      <c r="E219" s="1030"/>
      <c r="F219" s="1031"/>
      <c r="G219" s="1087"/>
      <c r="H219" s="1088"/>
      <c r="I219" s="1032"/>
      <c r="J219" s="1033"/>
      <c r="K219" s="1034">
        <f t="shared" si="75"/>
        <v>0</v>
      </c>
      <c r="L219" s="1034"/>
      <c r="M219" s="6"/>
      <c r="N219" s="1035">
        <f t="shared" si="76"/>
        <v>0</v>
      </c>
      <c r="O219" s="1035"/>
      <c r="P219" s="6"/>
      <c r="Q219" s="1036">
        <f t="shared" si="77"/>
        <v>5.2312500000000002</v>
      </c>
      <c r="R219" s="1037"/>
      <c r="U219" s="342">
        <f>+AE184+U184+K184+AO163+AE163+U163+K163</f>
        <v>0</v>
      </c>
      <c r="V219" s="343">
        <v>48</v>
      </c>
      <c r="W219" s="344">
        <f t="shared" si="79"/>
        <v>48</v>
      </c>
      <c r="X219" s="345" t="e">
        <f>+#REF!+#REF!+#REF!+#REF!+#REF!+#REF!</f>
        <v>#REF!</v>
      </c>
      <c r="Z219" s="372"/>
      <c r="AA219" s="372"/>
      <c r="AB219" s="546"/>
      <c r="AC219" s="546"/>
      <c r="AD219" s="546"/>
      <c r="AE219" s="296"/>
      <c r="AF219" s="296"/>
      <c r="AG219" s="547"/>
      <c r="AH219" s="547"/>
      <c r="AI219" s="547"/>
      <c r="AJ219" s="547"/>
      <c r="AK219" s="547"/>
      <c r="AL219" s="547"/>
      <c r="AM219" s="547"/>
      <c r="AN219" s="547"/>
      <c r="AO219" s="547"/>
      <c r="AP219" s="547"/>
      <c r="AQ219" s="547"/>
      <c r="AR219" s="547"/>
      <c r="AS219" s="296"/>
      <c r="AT219" s="296"/>
    </row>
    <row r="220" spans="1:46" ht="16.5">
      <c r="B220" s="365" t="s">
        <v>54</v>
      </c>
      <c r="C220" s="1028">
        <f>6*3+7*35</f>
        <v>263</v>
      </c>
      <c r="D220" s="1029"/>
      <c r="E220" s="1030">
        <f t="shared" ref="E220:E225" si="81">+C220/7</f>
        <v>37.571428571428569</v>
      </c>
      <c r="F220" s="1031"/>
      <c r="G220" s="341"/>
      <c r="H220" s="341"/>
      <c r="I220" s="1032">
        <f>+E220/8</f>
        <v>4.6964285714285712</v>
      </c>
      <c r="J220" s="1033"/>
      <c r="K220" s="1034">
        <f t="shared" si="75"/>
        <v>1127.1428571428571</v>
      </c>
      <c r="L220" s="1034"/>
      <c r="M220" s="374"/>
      <c r="N220" s="1035">
        <f t="shared" si="76"/>
        <v>5.479166666666667</v>
      </c>
      <c r="O220" s="1035"/>
      <c r="P220" s="6"/>
      <c r="Q220" s="1036">
        <f t="shared" si="77"/>
        <v>0.534821428571429</v>
      </c>
      <c r="R220" s="1037"/>
      <c r="U220" s="342">
        <f>+AE181+U181+K181+AO160+AE160+U160+K160</f>
        <v>0</v>
      </c>
      <c r="V220" s="343">
        <v>48</v>
      </c>
      <c r="W220" s="344">
        <f t="shared" si="79"/>
        <v>48</v>
      </c>
      <c r="X220" s="345">
        <f>+J160+T160+AD160+J181+T181+AD181</f>
        <v>0</v>
      </c>
      <c r="Z220" s="1084">
        <f>+K220/E220</f>
        <v>30</v>
      </c>
      <c r="AA220" s="1084"/>
      <c r="AB220" s="1084"/>
      <c r="AC220" s="1084"/>
      <c r="AD220" s="546"/>
      <c r="AE220" s="296"/>
      <c r="AF220" s="296"/>
      <c r="AG220" s="479"/>
      <c r="AH220" s="479"/>
      <c r="AI220" s="547"/>
      <c r="AJ220" s="547"/>
      <c r="AK220" s="547"/>
      <c r="AL220" s="547"/>
      <c r="AM220" s="547"/>
      <c r="AN220" s="547"/>
      <c r="AO220" s="547"/>
      <c r="AP220" s="547"/>
      <c r="AQ220" s="547"/>
      <c r="AR220" s="547"/>
      <c r="AS220" s="296"/>
      <c r="AT220" s="296"/>
    </row>
    <row r="221" spans="1:46" ht="16.5">
      <c r="A221" s="1">
        <v>3</v>
      </c>
      <c r="B221" s="340" t="s">
        <v>66</v>
      </c>
      <c r="C221" s="1028">
        <f>6*3+7*34.0952</f>
        <v>256.66639999999995</v>
      </c>
      <c r="D221" s="1029"/>
      <c r="E221" s="1030">
        <f t="shared" si="81"/>
        <v>36.666628571428568</v>
      </c>
      <c r="F221" s="1031"/>
      <c r="G221" s="1044">
        <f>(C221-18)/7</f>
        <v>34.095199999999991</v>
      </c>
      <c r="H221" s="1045"/>
      <c r="I221" s="1032">
        <f>+E221/8</f>
        <v>4.583328571428571</v>
      </c>
      <c r="J221" s="1089"/>
      <c r="K221" s="1090">
        <f t="shared" si="75"/>
        <v>1099.9988571428571</v>
      </c>
      <c r="L221" s="1091"/>
      <c r="M221" s="374"/>
      <c r="N221" s="1050">
        <f t="shared" si="76"/>
        <v>5.3472166666666663</v>
      </c>
      <c r="O221" s="1051"/>
      <c r="P221" s="6"/>
      <c r="Q221" s="1036">
        <f t="shared" si="77"/>
        <v>0.6479214285714292</v>
      </c>
      <c r="R221" s="1037"/>
      <c r="U221" s="342">
        <f>+AE182+U182+K182+AO161+AE161+U161+K161</f>
        <v>0</v>
      </c>
      <c r="V221" s="343">
        <v>48</v>
      </c>
      <c r="W221" s="344">
        <f t="shared" si="79"/>
        <v>48</v>
      </c>
      <c r="X221" s="345">
        <f>+J161+T161+AD161+J182+T182+AD182</f>
        <v>0</v>
      </c>
      <c r="Z221" s="481"/>
      <c r="AA221" s="482"/>
      <c r="AB221" s="477"/>
      <c r="AC221" s="546"/>
      <c r="AD221" s="546"/>
      <c r="AE221" s="296"/>
      <c r="AF221" s="296"/>
      <c r="AG221" s="547"/>
      <c r="AH221" s="547"/>
      <c r="AI221" s="370"/>
      <c r="AJ221" s="370"/>
      <c r="AK221" s="370"/>
      <c r="AL221" s="370"/>
      <c r="AM221" s="547"/>
      <c r="AN221" s="547"/>
      <c r="AO221" s="547"/>
      <c r="AP221" s="547"/>
      <c r="AQ221" s="547"/>
      <c r="AR221" s="547"/>
      <c r="AS221" s="296"/>
      <c r="AT221" s="296"/>
    </row>
    <row r="222" spans="1:46" ht="16.5">
      <c r="B222" s="483" t="s">
        <v>55</v>
      </c>
      <c r="C222" s="1104">
        <f>+G222*6</f>
        <v>169.99979999999999</v>
      </c>
      <c r="D222" s="1105"/>
      <c r="E222" s="1106">
        <f t="shared" si="81"/>
        <v>24.285685714285712</v>
      </c>
      <c r="F222" s="1107"/>
      <c r="G222" s="1108">
        <f>28.3333</f>
        <v>28.333300000000001</v>
      </c>
      <c r="H222" s="1109"/>
      <c r="I222" s="1106">
        <f>+G222/8</f>
        <v>3.5416625000000002</v>
      </c>
      <c r="J222" s="1107"/>
      <c r="K222" s="1110">
        <f>+G222*30</f>
        <v>849.99900000000002</v>
      </c>
      <c r="L222" s="1111"/>
      <c r="M222" s="6"/>
      <c r="N222" s="1050">
        <f t="shared" si="76"/>
        <v>4.1319395833333337</v>
      </c>
      <c r="O222" s="1051"/>
      <c r="P222" s="6"/>
      <c r="Q222" s="1048">
        <f t="shared" si="77"/>
        <v>1.6895875</v>
      </c>
      <c r="R222" s="1049"/>
      <c r="U222" s="342">
        <f>+AE184+U184+K184+AO163+AE163+U163+K163</f>
        <v>0</v>
      </c>
      <c r="V222" s="343">
        <v>48</v>
      </c>
      <c r="W222" s="344">
        <f t="shared" si="79"/>
        <v>48</v>
      </c>
      <c r="X222" s="345">
        <f>+J162+T162+AD162+J183+T183+AD183</f>
        <v>0</v>
      </c>
      <c r="Z222" s="481"/>
      <c r="AA222" s="482"/>
      <c r="AB222" s="477"/>
      <c r="AC222" s="546"/>
      <c r="AD222" s="546"/>
      <c r="AE222" s="296"/>
      <c r="AF222" s="296"/>
      <c r="AG222" s="370"/>
      <c r="AH222" s="370"/>
      <c r="AI222" s="547"/>
      <c r="AJ222" s="547"/>
      <c r="AK222" s="547"/>
      <c r="AL222" s="547"/>
      <c r="AM222" s="547"/>
      <c r="AN222" s="547"/>
      <c r="AO222" s="547"/>
      <c r="AP222" s="547"/>
      <c r="AQ222" s="547"/>
      <c r="AR222" s="547"/>
      <c r="AS222" s="296"/>
      <c r="AT222" s="296"/>
    </row>
    <row r="223" spans="1:46" ht="16.5">
      <c r="B223" s="483" t="s">
        <v>103</v>
      </c>
      <c r="C223" s="1104">
        <f>+G223*6</f>
        <v>199.99979999999999</v>
      </c>
      <c r="D223" s="1105"/>
      <c r="E223" s="1106">
        <f t="shared" si="81"/>
        <v>28.571400000000001</v>
      </c>
      <c r="F223" s="1107"/>
      <c r="G223" s="1108">
        <v>33.333300000000001</v>
      </c>
      <c r="H223" s="1109"/>
      <c r="I223" s="1106">
        <f>+G223/8</f>
        <v>4.1666625000000002</v>
      </c>
      <c r="J223" s="1107"/>
      <c r="K223" s="1110">
        <f>+G223*30</f>
        <v>999.99900000000002</v>
      </c>
      <c r="L223" s="1111"/>
      <c r="M223" s="6"/>
      <c r="N223" s="1050">
        <f t="shared" si="76"/>
        <v>4.8611062500000006</v>
      </c>
      <c r="O223" s="1051"/>
      <c r="P223" s="6"/>
      <c r="Q223" s="1048">
        <f t="shared" si="77"/>
        <v>1.0645875</v>
      </c>
      <c r="R223" s="1049"/>
      <c r="U223" s="342">
        <f>+AE185+U185+K185+AO164+AE164+U164+K164</f>
        <v>0</v>
      </c>
      <c r="V223" s="343">
        <v>48</v>
      </c>
      <c r="W223" s="344">
        <f t="shared" si="79"/>
        <v>48</v>
      </c>
      <c r="X223" s="345">
        <f>+J163+T163+AD163+J184+T184+AD184</f>
        <v>0</v>
      </c>
      <c r="Z223" s="372"/>
      <c r="AA223" s="372"/>
      <c r="AB223" s="546"/>
      <c r="AC223" s="546"/>
      <c r="AD223" s="546">
        <v>200</v>
      </c>
      <c r="AE223" s="296"/>
      <c r="AF223" s="1092">
        <f>+AD223/6</f>
        <v>33.333333333333336</v>
      </c>
      <c r="AG223" s="1092"/>
      <c r="AH223" s="1092"/>
      <c r="AI223" s="547"/>
      <c r="AJ223" s="547"/>
      <c r="AK223" s="547"/>
      <c r="AL223" s="547"/>
      <c r="AM223" s="547"/>
      <c r="AN223" s="547"/>
      <c r="AO223" s="547"/>
      <c r="AP223" s="547"/>
      <c r="AQ223" s="547"/>
      <c r="AR223" s="547"/>
      <c r="AS223" s="296"/>
      <c r="AT223" s="296"/>
    </row>
    <row r="224" spans="1:46" ht="16.5">
      <c r="A224" s="366"/>
      <c r="B224" s="483" t="s">
        <v>104</v>
      </c>
      <c r="C224" s="1093">
        <v>100</v>
      </c>
      <c r="D224" s="1094"/>
      <c r="E224" s="1095">
        <f t="shared" si="81"/>
        <v>14.285714285714286</v>
      </c>
      <c r="F224" s="1096"/>
      <c r="G224" s="1097">
        <f>+C224/6</f>
        <v>16.666666666666668</v>
      </c>
      <c r="H224" s="1098"/>
      <c r="I224" s="1099">
        <f>+E224/8/6*7</f>
        <v>2.0833333333333335</v>
      </c>
      <c r="J224" s="1100"/>
      <c r="K224" s="1101">
        <f>+G224*30</f>
        <v>500.00000000000006</v>
      </c>
      <c r="L224" s="1101"/>
      <c r="M224" s="6"/>
      <c r="N224" s="1035">
        <f t="shared" si="76"/>
        <v>2.4305555555555558</v>
      </c>
      <c r="O224" s="1035"/>
      <c r="P224" s="6"/>
      <c r="Q224" s="1102">
        <f t="shared" si="77"/>
        <v>3.1479166666666667</v>
      </c>
      <c r="R224" s="1103"/>
      <c r="U224" s="342">
        <f>+AE184+U184+K184+AO163+AE163+U163+K163</f>
        <v>0</v>
      </c>
      <c r="V224" s="343">
        <v>48</v>
      </c>
      <c r="W224" s="344">
        <f t="shared" si="79"/>
        <v>48</v>
      </c>
      <c r="X224" s="345">
        <f>+J163+T163+AD163+J184+T184+AD184</f>
        <v>0</v>
      </c>
      <c r="Y224" s="367"/>
      <c r="Z224" s="546"/>
      <c r="AA224" s="546"/>
      <c r="AB224" s="546"/>
      <c r="AC224" s="546"/>
      <c r="AG224" s="547"/>
      <c r="AH224" s="547"/>
      <c r="AI224" s="296"/>
      <c r="AJ224" s="296"/>
      <c r="AK224" s="545"/>
      <c r="AL224" s="545"/>
      <c r="AM224" s="545"/>
      <c r="AN224" s="545"/>
      <c r="AO224" s="545"/>
      <c r="AP224" s="545"/>
      <c r="AQ224" s="545"/>
      <c r="AR224" s="545"/>
      <c r="AS224" s="296"/>
      <c r="AT224" s="296"/>
    </row>
    <row r="225" spans="2:46" ht="16.5">
      <c r="B225" s="375" t="s">
        <v>65</v>
      </c>
      <c r="C225" s="1054">
        <f>6*3+7*(G225)</f>
        <v>548.33330000000001</v>
      </c>
      <c r="D225" s="1055"/>
      <c r="E225" s="1056">
        <f t="shared" si="81"/>
        <v>78.333328571428567</v>
      </c>
      <c r="F225" s="1057"/>
      <c r="G225" s="1058">
        <v>75.761899999999997</v>
      </c>
      <c r="H225" s="1059"/>
      <c r="I225" s="1060">
        <f>+E225/8</f>
        <v>9.7916660714285708</v>
      </c>
      <c r="J225" s="1061"/>
      <c r="K225" s="1062">
        <f>+E225*30</f>
        <v>2349.9998571428569</v>
      </c>
      <c r="L225" s="1063"/>
      <c r="M225" s="6"/>
      <c r="N225" s="1035">
        <f t="shared" si="76"/>
        <v>11.423610416666666</v>
      </c>
      <c r="O225" s="1035"/>
      <c r="P225" s="6"/>
      <c r="Q225" s="1048">
        <f t="shared" si="77"/>
        <v>-4.5604160714285706</v>
      </c>
      <c r="R225" s="1049"/>
      <c r="U225" s="342">
        <f>+AE188+U188+K188+AO167+AE167+U167+K167</f>
        <v>0</v>
      </c>
      <c r="V225" s="343">
        <v>48</v>
      </c>
      <c r="W225" s="344">
        <f t="shared" si="79"/>
        <v>48</v>
      </c>
      <c r="X225" s="345">
        <f>+J167+T167+AD167+J188+T188+AD188</f>
        <v>0</v>
      </c>
      <c r="Z225" s="372"/>
      <c r="AA225" s="372"/>
      <c r="AB225" s="546"/>
      <c r="AC225" s="546"/>
      <c r="AD225" s="546"/>
      <c r="AE225" s="296"/>
      <c r="AF225" s="296"/>
      <c r="AG225" s="547"/>
      <c r="AH225" s="547"/>
      <c r="AI225" s="547"/>
      <c r="AJ225" s="547"/>
      <c r="AK225" s="547"/>
      <c r="AL225" s="547"/>
      <c r="AM225" s="547"/>
      <c r="AN225" s="547"/>
      <c r="AO225" s="547"/>
      <c r="AP225" s="547"/>
      <c r="AQ225" s="296"/>
      <c r="AR225" s="296"/>
      <c r="AS225" s="296"/>
      <c r="AT225" s="296"/>
    </row>
    <row r="226" spans="2:46">
      <c r="AE226" s="376"/>
      <c r="AF226" s="376"/>
      <c r="AJ226" s="376"/>
      <c r="AK226" s="376"/>
    </row>
    <row r="227" spans="2:46" ht="15.75" thickBot="1">
      <c r="AE227" s="376"/>
      <c r="AF227" s="376"/>
      <c r="AJ227" s="376"/>
      <c r="AK227" s="376"/>
    </row>
    <row r="228" spans="2:46">
      <c r="C228" s="484"/>
      <c r="D228" s="485"/>
      <c r="E228" s="486"/>
      <c r="F228" s="487"/>
      <c r="G228" s="485"/>
      <c r="H228" s="485"/>
      <c r="I228" s="487"/>
      <c r="J228" s="485"/>
      <c r="K228" s="488"/>
      <c r="L228" s="488"/>
      <c r="M228" s="485"/>
      <c r="N228" s="485"/>
      <c r="O228" s="485"/>
      <c r="P228" s="485"/>
      <c r="Q228" s="485"/>
      <c r="R228" s="485"/>
      <c r="S228" s="485"/>
      <c r="T228" s="485"/>
      <c r="U228" s="485"/>
      <c r="V228" s="485"/>
      <c r="W228" s="485"/>
      <c r="X228" s="485"/>
      <c r="Y228" s="485"/>
      <c r="Z228" s="485"/>
      <c r="AA228" s="489"/>
      <c r="AB228" s="489"/>
      <c r="AC228" s="489"/>
      <c r="AD228" s="489"/>
      <c r="AE228" s="490"/>
      <c r="AF228" s="490"/>
      <c r="AG228" s="491"/>
      <c r="AJ228" s="376"/>
      <c r="AK228" s="376"/>
    </row>
    <row r="229" spans="2:46" ht="18">
      <c r="C229" s="492"/>
      <c r="D229" s="333"/>
      <c r="E229" s="493" t="s">
        <v>105</v>
      </c>
      <c r="F229" s="411"/>
      <c r="G229" s="333"/>
      <c r="H229" s="333"/>
      <c r="I229" s="411"/>
      <c r="J229" s="333"/>
      <c r="K229" s="405"/>
      <c r="L229" s="405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167"/>
      <c r="AB229" s="167"/>
      <c r="AC229" s="167"/>
      <c r="AD229" s="167"/>
      <c r="AE229" s="376"/>
      <c r="AF229" s="376"/>
      <c r="AG229" s="494"/>
      <c r="AJ229" s="376"/>
      <c r="AK229" s="376"/>
    </row>
    <row r="230" spans="2:46">
      <c r="C230" s="492"/>
      <c r="D230" s="333"/>
      <c r="E230" s="410"/>
      <c r="F230" s="411"/>
      <c r="G230" s="333"/>
      <c r="H230" s="333"/>
      <c r="I230" s="411"/>
      <c r="J230" s="333"/>
      <c r="K230" s="405"/>
      <c r="L230" s="405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  <c r="AA230" s="1112" t="s">
        <v>106</v>
      </c>
      <c r="AB230" s="1113"/>
      <c r="AC230" s="1114"/>
      <c r="AD230" s="1115" t="s">
        <v>107</v>
      </c>
      <c r="AE230" s="1116"/>
      <c r="AF230" s="1117"/>
      <c r="AG230" s="494"/>
      <c r="AH230" s="167"/>
      <c r="AI230" s="167"/>
      <c r="AJ230" s="376"/>
      <c r="AK230" s="376"/>
    </row>
    <row r="231" spans="2:46" ht="16.5" thickBot="1">
      <c r="C231" s="492"/>
      <c r="D231" s="1118" t="s">
        <v>108</v>
      </c>
      <c r="E231" s="1118"/>
      <c r="F231" s="1118"/>
      <c r="G231" s="1118"/>
      <c r="H231" s="1118"/>
      <c r="I231" s="1119" t="s">
        <v>109</v>
      </c>
      <c r="J231" s="1119"/>
      <c r="K231" s="1119"/>
      <c r="L231" s="1120" t="s">
        <v>110</v>
      </c>
      <c r="M231" s="1120"/>
      <c r="N231" s="1120"/>
      <c r="O231" s="1120" t="s">
        <v>111</v>
      </c>
      <c r="P231" s="1120"/>
      <c r="Q231" s="1120"/>
      <c r="R231" s="1121" t="s">
        <v>112</v>
      </c>
      <c r="S231" s="1121"/>
      <c r="T231" s="1121"/>
      <c r="U231" s="1120" t="s">
        <v>113</v>
      </c>
      <c r="V231" s="1120"/>
      <c r="W231" s="1122"/>
      <c r="X231" s="1123" t="s">
        <v>114</v>
      </c>
      <c r="Y231" s="1124"/>
      <c r="Z231" s="1125"/>
      <c r="AA231" s="1126" t="s">
        <v>115</v>
      </c>
      <c r="AB231" s="1126"/>
      <c r="AC231" s="1127"/>
      <c r="AD231" s="1128" t="s">
        <v>116</v>
      </c>
      <c r="AE231" s="1129"/>
      <c r="AF231" s="1130"/>
      <c r="AG231" s="494"/>
      <c r="AH231" s="167"/>
      <c r="AI231" s="167"/>
      <c r="AJ231" s="376"/>
      <c r="AK231" s="376"/>
    </row>
    <row r="232" spans="2:46" ht="19.5" thickTop="1">
      <c r="C232" s="495">
        <v>1</v>
      </c>
      <c r="D232" s="1131" t="s">
        <v>50</v>
      </c>
      <c r="E232" s="1131"/>
      <c r="F232" s="1131"/>
      <c r="G232" s="1131"/>
      <c r="H232" s="1131"/>
      <c r="I232" s="1132">
        <v>30.762</v>
      </c>
      <c r="J232" s="1132"/>
      <c r="K232" s="1132"/>
      <c r="L232" s="1133">
        <v>1</v>
      </c>
      <c r="M232" s="1133"/>
      <c r="N232" s="1133"/>
      <c r="O232" s="1133">
        <v>2</v>
      </c>
      <c r="P232" s="1133"/>
      <c r="Q232" s="1133"/>
      <c r="R232" s="1134">
        <f t="shared" ref="R232:R239" si="82">+I232+L232+O232</f>
        <v>33.762</v>
      </c>
      <c r="S232" s="1134"/>
      <c r="T232" s="1134"/>
      <c r="U232" s="1135">
        <f t="shared" ref="U232:U239" si="83">+I232*7+(L232+O232)*6</f>
        <v>233.334</v>
      </c>
      <c r="V232" s="1135"/>
      <c r="W232" s="1136"/>
      <c r="X232" s="1137">
        <f t="shared" ref="X232:X239" si="84">+U232/7*30</f>
        <v>1000.0028571428571</v>
      </c>
      <c r="Y232" s="1138"/>
      <c r="Z232" s="1139"/>
      <c r="AA232" s="1140">
        <v>31</v>
      </c>
      <c r="AB232" s="1141"/>
      <c r="AC232" s="1141"/>
      <c r="AD232" s="1142">
        <f>+AA232-I232</f>
        <v>0.23799999999999955</v>
      </c>
      <c r="AE232" s="1142"/>
      <c r="AF232" s="1142"/>
      <c r="AG232" s="494"/>
      <c r="AH232" s="167"/>
      <c r="AI232" s="1143">
        <f>+AD232+I232</f>
        <v>31</v>
      </c>
      <c r="AJ232" s="1143"/>
      <c r="AK232" s="1143"/>
    </row>
    <row r="233" spans="2:46" ht="18.75">
      <c r="C233" s="495">
        <v>2</v>
      </c>
      <c r="D233" s="1144" t="s">
        <v>117</v>
      </c>
      <c r="E233" s="1144"/>
      <c r="F233" s="1144"/>
      <c r="G233" s="1144"/>
      <c r="H233" s="1144"/>
      <c r="I233" s="1145">
        <v>25.762</v>
      </c>
      <c r="J233" s="1145"/>
      <c r="K233" s="1145"/>
      <c r="L233" s="1146">
        <v>1</v>
      </c>
      <c r="M233" s="1146"/>
      <c r="N233" s="1146"/>
      <c r="O233" s="1146">
        <v>2</v>
      </c>
      <c r="P233" s="1146"/>
      <c r="Q233" s="1146"/>
      <c r="R233" s="1147">
        <f t="shared" si="82"/>
        <v>28.762</v>
      </c>
      <c r="S233" s="1147"/>
      <c r="T233" s="1147"/>
      <c r="U233" s="1148">
        <f t="shared" si="83"/>
        <v>198.334</v>
      </c>
      <c r="V233" s="1148"/>
      <c r="W233" s="1149"/>
      <c r="X233" s="1150">
        <f t="shared" si="84"/>
        <v>850.00285714285724</v>
      </c>
      <c r="Y233" s="1151"/>
      <c r="Z233" s="1152"/>
      <c r="AA233" s="1153">
        <v>31</v>
      </c>
      <c r="AB233" s="1154"/>
      <c r="AC233" s="1154"/>
      <c r="AD233" s="1143">
        <f>+AA233-I233</f>
        <v>5.2379999999999995</v>
      </c>
      <c r="AE233" s="1143"/>
      <c r="AF233" s="1143"/>
      <c r="AG233" s="494"/>
      <c r="AH233" s="167"/>
      <c r="AI233" s="1142">
        <f>+AD233+I233</f>
        <v>31</v>
      </c>
      <c r="AJ233" s="1142"/>
      <c r="AK233" s="1142"/>
    </row>
    <row r="234" spans="2:46" ht="18.75">
      <c r="C234" s="495">
        <v>3</v>
      </c>
      <c r="D234" s="1144" t="s">
        <v>118</v>
      </c>
      <c r="E234" s="1144"/>
      <c r="F234" s="1144"/>
      <c r="G234" s="1144"/>
      <c r="H234" s="1144"/>
      <c r="I234" s="1145">
        <v>38.5</v>
      </c>
      <c r="J234" s="1145"/>
      <c r="K234" s="1145"/>
      <c r="L234" s="1146">
        <v>1</v>
      </c>
      <c r="M234" s="1146"/>
      <c r="N234" s="1146"/>
      <c r="O234" s="1146">
        <v>2</v>
      </c>
      <c r="P234" s="1146"/>
      <c r="Q234" s="1146"/>
      <c r="R234" s="1147">
        <f t="shared" si="82"/>
        <v>41.5</v>
      </c>
      <c r="S234" s="1147"/>
      <c r="T234" s="1147"/>
      <c r="U234" s="1148">
        <f t="shared" si="83"/>
        <v>287.5</v>
      </c>
      <c r="V234" s="1148"/>
      <c r="W234" s="1149"/>
      <c r="X234" s="1150">
        <f t="shared" si="84"/>
        <v>1232.1428571428571</v>
      </c>
      <c r="Y234" s="1151"/>
      <c r="Z234" s="1152"/>
      <c r="AA234" s="1153">
        <v>31</v>
      </c>
      <c r="AB234" s="1154"/>
      <c r="AC234" s="1154"/>
      <c r="AD234" s="1143">
        <v>0</v>
      </c>
      <c r="AE234" s="1143"/>
      <c r="AF234" s="1143"/>
      <c r="AG234" s="494"/>
      <c r="AH234" s="167"/>
      <c r="AI234" s="167"/>
      <c r="AJ234" s="376"/>
      <c r="AK234" s="376"/>
    </row>
    <row r="235" spans="2:46" ht="18.75">
      <c r="C235" s="495">
        <v>4</v>
      </c>
      <c r="D235" s="1144" t="s">
        <v>119</v>
      </c>
      <c r="E235" s="1144"/>
      <c r="F235" s="1144"/>
      <c r="G235" s="1144"/>
      <c r="H235" s="1144"/>
      <c r="I235" s="1145">
        <v>38.5</v>
      </c>
      <c r="J235" s="1145"/>
      <c r="K235" s="1145"/>
      <c r="L235" s="1146">
        <v>1</v>
      </c>
      <c r="M235" s="1146"/>
      <c r="N235" s="1146"/>
      <c r="O235" s="1146">
        <v>2</v>
      </c>
      <c r="P235" s="1146"/>
      <c r="Q235" s="1146"/>
      <c r="R235" s="1147">
        <f t="shared" si="82"/>
        <v>41.5</v>
      </c>
      <c r="S235" s="1147"/>
      <c r="T235" s="1147"/>
      <c r="U235" s="1148">
        <f t="shared" si="83"/>
        <v>287.5</v>
      </c>
      <c r="V235" s="1148"/>
      <c r="W235" s="1149"/>
      <c r="X235" s="1150">
        <f t="shared" si="84"/>
        <v>1232.1428571428571</v>
      </c>
      <c r="Y235" s="1151"/>
      <c r="Z235" s="1152"/>
      <c r="AA235" s="1153">
        <v>31</v>
      </c>
      <c r="AB235" s="1154"/>
      <c r="AC235" s="1154"/>
      <c r="AD235" s="1143">
        <v>0</v>
      </c>
      <c r="AE235" s="1143"/>
      <c r="AF235" s="1143"/>
      <c r="AG235" s="494"/>
      <c r="AH235" s="167"/>
      <c r="AI235" s="167"/>
      <c r="AJ235" s="376"/>
      <c r="AK235" s="376"/>
    </row>
    <row r="236" spans="2:46" ht="18.75">
      <c r="C236" s="495">
        <v>5</v>
      </c>
      <c r="D236" s="1144" t="s">
        <v>120</v>
      </c>
      <c r="E236" s="1144"/>
      <c r="F236" s="1144"/>
      <c r="G236" s="1144"/>
      <c r="H236" s="1144"/>
      <c r="I236" s="1145">
        <v>38.5</v>
      </c>
      <c r="J236" s="1145"/>
      <c r="K236" s="1145"/>
      <c r="L236" s="1146">
        <v>1</v>
      </c>
      <c r="M236" s="1146"/>
      <c r="N236" s="1146"/>
      <c r="O236" s="1146">
        <v>2</v>
      </c>
      <c r="P236" s="1146"/>
      <c r="Q236" s="1146"/>
      <c r="R236" s="1147">
        <f t="shared" si="82"/>
        <v>41.5</v>
      </c>
      <c r="S236" s="1147"/>
      <c r="T236" s="1147"/>
      <c r="U236" s="1148">
        <f t="shared" si="83"/>
        <v>287.5</v>
      </c>
      <c r="V236" s="1148"/>
      <c r="W236" s="1149"/>
      <c r="X236" s="1150">
        <f t="shared" si="84"/>
        <v>1232.1428571428571</v>
      </c>
      <c r="Y236" s="1151"/>
      <c r="Z236" s="1152"/>
      <c r="AA236" s="1153">
        <v>31</v>
      </c>
      <c r="AB236" s="1154"/>
      <c r="AC236" s="1154"/>
      <c r="AD236" s="1143">
        <v>0</v>
      </c>
      <c r="AE236" s="1143"/>
      <c r="AF236" s="1143"/>
      <c r="AG236" s="494"/>
      <c r="AH236" s="167"/>
      <c r="AI236" s="167"/>
      <c r="AJ236" s="376"/>
      <c r="AK236" s="376"/>
    </row>
    <row r="237" spans="2:46" ht="18.75">
      <c r="C237" s="495">
        <v>6</v>
      </c>
      <c r="D237" s="1144" t="s">
        <v>121</v>
      </c>
      <c r="E237" s="1144"/>
      <c r="F237" s="1144"/>
      <c r="G237" s="1144"/>
      <c r="H237" s="1144"/>
      <c r="I237" s="1145">
        <v>33.799999999999997</v>
      </c>
      <c r="J237" s="1145"/>
      <c r="K237" s="1145"/>
      <c r="L237" s="1146">
        <v>1</v>
      </c>
      <c r="M237" s="1146"/>
      <c r="N237" s="1146"/>
      <c r="O237" s="1146">
        <v>2</v>
      </c>
      <c r="P237" s="1146"/>
      <c r="Q237" s="1146"/>
      <c r="R237" s="1147">
        <f t="shared" si="82"/>
        <v>36.799999999999997</v>
      </c>
      <c r="S237" s="1147"/>
      <c r="T237" s="1147"/>
      <c r="U237" s="1148">
        <f t="shared" si="83"/>
        <v>254.59999999999997</v>
      </c>
      <c r="V237" s="1148"/>
      <c r="W237" s="1149"/>
      <c r="X237" s="1150">
        <f t="shared" si="84"/>
        <v>1091.1428571428569</v>
      </c>
      <c r="Y237" s="1151"/>
      <c r="Z237" s="1152"/>
      <c r="AA237" s="1153">
        <v>31</v>
      </c>
      <c r="AB237" s="1154"/>
      <c r="AC237" s="1154"/>
      <c r="AD237" s="1143">
        <v>0</v>
      </c>
      <c r="AE237" s="1143"/>
      <c r="AF237" s="1143"/>
      <c r="AG237" s="494"/>
      <c r="AH237" s="167"/>
      <c r="AI237" s="167"/>
      <c r="AJ237" s="376"/>
      <c r="AK237" s="376"/>
    </row>
    <row r="238" spans="2:46" ht="18.75">
      <c r="C238" s="495">
        <v>7</v>
      </c>
      <c r="D238" s="1144" t="s">
        <v>122</v>
      </c>
      <c r="E238" s="1144"/>
      <c r="F238" s="1144"/>
      <c r="G238" s="1144"/>
      <c r="H238" s="1144"/>
      <c r="I238" s="1145">
        <v>38.5</v>
      </c>
      <c r="J238" s="1145"/>
      <c r="K238" s="1145"/>
      <c r="L238" s="1146">
        <v>1</v>
      </c>
      <c r="M238" s="1146"/>
      <c r="N238" s="1146"/>
      <c r="O238" s="1146">
        <v>2</v>
      </c>
      <c r="P238" s="1146"/>
      <c r="Q238" s="1146"/>
      <c r="R238" s="1147">
        <f t="shared" si="82"/>
        <v>41.5</v>
      </c>
      <c r="S238" s="1147"/>
      <c r="T238" s="1147"/>
      <c r="U238" s="1148">
        <f t="shared" si="83"/>
        <v>287.5</v>
      </c>
      <c r="V238" s="1148"/>
      <c r="W238" s="1149"/>
      <c r="X238" s="1150">
        <f t="shared" si="84"/>
        <v>1232.1428571428571</v>
      </c>
      <c r="Y238" s="1151"/>
      <c r="Z238" s="1152"/>
      <c r="AA238" s="1153">
        <v>31</v>
      </c>
      <c r="AB238" s="1154"/>
      <c r="AC238" s="1154"/>
      <c r="AD238" s="1143">
        <v>0</v>
      </c>
      <c r="AE238" s="1143"/>
      <c r="AF238" s="1143"/>
      <c r="AG238" s="494"/>
      <c r="AH238" s="167"/>
      <c r="AI238" s="167"/>
      <c r="AJ238" s="376"/>
      <c r="AK238" s="376"/>
    </row>
    <row r="239" spans="2:46" ht="18.75">
      <c r="C239" s="495">
        <v>8</v>
      </c>
      <c r="D239" s="1144" t="s">
        <v>66</v>
      </c>
      <c r="E239" s="1144"/>
      <c r="F239" s="1144"/>
      <c r="G239" s="1144"/>
      <c r="H239" s="1144"/>
      <c r="I239" s="1145">
        <v>34.095199999999998</v>
      </c>
      <c r="J239" s="1145"/>
      <c r="K239" s="1145"/>
      <c r="L239" s="1146">
        <v>1</v>
      </c>
      <c r="M239" s="1146"/>
      <c r="N239" s="1146"/>
      <c r="O239" s="1146">
        <v>2</v>
      </c>
      <c r="P239" s="1146"/>
      <c r="Q239" s="1146"/>
      <c r="R239" s="1147">
        <f t="shared" si="82"/>
        <v>37.095199999999998</v>
      </c>
      <c r="S239" s="1147"/>
      <c r="T239" s="1147"/>
      <c r="U239" s="1148">
        <f t="shared" si="83"/>
        <v>256.66639999999995</v>
      </c>
      <c r="V239" s="1148"/>
      <c r="W239" s="1149"/>
      <c r="X239" s="1150">
        <f t="shared" si="84"/>
        <v>1099.9988571428571</v>
      </c>
      <c r="Y239" s="1151"/>
      <c r="Z239" s="1152"/>
      <c r="AA239" s="1153">
        <v>31</v>
      </c>
      <c r="AB239" s="1154"/>
      <c r="AC239" s="1154"/>
      <c r="AD239" s="1143">
        <v>0</v>
      </c>
      <c r="AE239" s="1143"/>
      <c r="AF239" s="1143"/>
      <c r="AG239" s="494"/>
      <c r="AH239" s="167"/>
      <c r="AI239" s="167"/>
      <c r="AJ239" s="376"/>
      <c r="AK239" s="376"/>
    </row>
    <row r="240" spans="2:46" ht="17.25">
      <c r="C240" s="495">
        <v>9</v>
      </c>
      <c r="D240" s="1144"/>
      <c r="E240" s="1144"/>
      <c r="F240" s="1144"/>
      <c r="G240" s="1144"/>
      <c r="H240" s="1144"/>
      <c r="I240" s="1165"/>
      <c r="J240" s="1165"/>
      <c r="K240" s="1165"/>
      <c r="L240" s="1146"/>
      <c r="M240" s="1146"/>
      <c r="N240" s="1146"/>
      <c r="O240" s="1146"/>
      <c r="P240" s="1146"/>
      <c r="Q240" s="1146"/>
      <c r="R240" s="1160"/>
      <c r="S240" s="1160"/>
      <c r="T240" s="1160"/>
      <c r="U240" s="1148"/>
      <c r="V240" s="1148"/>
      <c r="W240" s="1149"/>
      <c r="X240" s="1150"/>
      <c r="Y240" s="1151"/>
      <c r="Z240" s="1152"/>
      <c r="AA240" s="1153"/>
      <c r="AB240" s="1154"/>
      <c r="AC240" s="1154"/>
      <c r="AD240" s="1143"/>
      <c r="AE240" s="1143"/>
      <c r="AF240" s="1143"/>
      <c r="AG240" s="494"/>
      <c r="AH240" s="167"/>
      <c r="AI240" s="167"/>
      <c r="AJ240" s="376"/>
      <c r="AK240" s="376"/>
    </row>
    <row r="241" spans="2:46" ht="17.25">
      <c r="C241" s="492"/>
      <c r="D241" s="409"/>
      <c r="E241" s="410"/>
      <c r="F241" s="411"/>
      <c r="G241" s="333"/>
      <c r="H241" s="333"/>
      <c r="I241" s="411"/>
      <c r="J241" s="333"/>
      <c r="K241" s="405"/>
      <c r="L241" s="405"/>
      <c r="M241" s="333"/>
      <c r="N241" s="333"/>
      <c r="O241" s="333"/>
      <c r="P241" s="333"/>
      <c r="Q241" s="333"/>
      <c r="R241" s="333"/>
      <c r="S241" s="1160" t="s">
        <v>23</v>
      </c>
      <c r="T241" s="1160"/>
      <c r="U241" s="1160"/>
      <c r="V241" s="333"/>
      <c r="W241" s="333"/>
      <c r="X241" s="1161">
        <f>SUM(X232:Z240)</f>
        <v>8969.718857142856</v>
      </c>
      <c r="Y241" s="1162"/>
      <c r="Z241" s="1163"/>
      <c r="AA241" s="496"/>
      <c r="AB241" s="496"/>
      <c r="AC241" s="496"/>
      <c r="AD241" s="1164">
        <f>SUM(AD232:AF240)</f>
        <v>5.4759999999999991</v>
      </c>
      <c r="AE241" s="1164"/>
      <c r="AF241" s="1164"/>
      <c r="AG241" s="494"/>
      <c r="AH241" s="167"/>
      <c r="AI241" s="167"/>
      <c r="AJ241" s="376"/>
      <c r="AK241" s="376"/>
    </row>
    <row r="242" spans="2:46" ht="15.75" thickBot="1">
      <c r="C242" s="492"/>
      <c r="D242" s="1155">
        <v>28.333300000000001</v>
      </c>
      <c r="E242" s="1155"/>
      <c r="F242" s="1155"/>
      <c r="G242" s="497" t="s">
        <v>123</v>
      </c>
      <c r="H242" s="333"/>
      <c r="I242" s="411"/>
      <c r="J242" s="333"/>
      <c r="K242" s="405"/>
      <c r="L242" s="405"/>
      <c r="M242" s="333"/>
      <c r="N242" s="333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  <c r="Z242" s="333"/>
      <c r="AA242" s="167"/>
      <c r="AB242" s="167"/>
      <c r="AC242" s="167"/>
      <c r="AD242" s="167"/>
      <c r="AE242" s="376"/>
      <c r="AF242" s="376"/>
      <c r="AG242" s="494"/>
      <c r="AH242" s="167"/>
      <c r="AI242" s="167"/>
      <c r="AJ242" s="376"/>
      <c r="AK242" s="376"/>
    </row>
    <row r="243" spans="2:46" ht="15.75" thickBot="1">
      <c r="C243" s="492"/>
      <c r="D243" s="1155">
        <v>31</v>
      </c>
      <c r="E243" s="1155"/>
      <c r="F243" s="1155"/>
      <c r="G243" s="497" t="s">
        <v>124</v>
      </c>
      <c r="H243" s="333"/>
      <c r="I243" s="411"/>
      <c r="J243" s="333"/>
      <c r="K243" s="405"/>
      <c r="L243" s="405"/>
      <c r="M243" s="1155">
        <f>+D243-D242</f>
        <v>2.6666999999999987</v>
      </c>
      <c r="N243" s="1155"/>
      <c r="O243" s="1155"/>
      <c r="P243" s="498" t="s">
        <v>125</v>
      </c>
      <c r="Q243" s="333"/>
      <c r="R243" s="333"/>
      <c r="S243" s="333"/>
      <c r="T243" s="499"/>
      <c r="U243" s="333"/>
      <c r="V243" s="333"/>
      <c r="W243" s="499" t="s">
        <v>126</v>
      </c>
      <c r="X243" s="333"/>
      <c r="Y243" s="333"/>
      <c r="Z243" s="333"/>
      <c r="AA243" s="167"/>
      <c r="AB243" s="167"/>
      <c r="AC243" s="167"/>
      <c r="AD243" s="1156">
        <f>+AD241</f>
        <v>5.4759999999999991</v>
      </c>
      <c r="AE243" s="1157"/>
      <c r="AF243" s="1158"/>
      <c r="AG243" s="494"/>
      <c r="AH243" s="167"/>
      <c r="AI243" s="167"/>
      <c r="AJ243" s="376"/>
      <c r="AK243" s="376"/>
    </row>
    <row r="244" spans="2:46" ht="15.75" thickBot="1">
      <c r="C244" s="500"/>
      <c r="D244" s="501"/>
      <c r="E244" s="502"/>
      <c r="F244" s="503"/>
      <c r="G244" s="501"/>
      <c r="H244" s="501"/>
      <c r="I244" s="503"/>
      <c r="J244" s="501"/>
      <c r="K244" s="504"/>
      <c r="L244" s="504"/>
      <c r="M244" s="501"/>
      <c r="N244" s="501"/>
      <c r="O244" s="501"/>
      <c r="P244" s="501"/>
      <c r="Q244" s="501"/>
      <c r="R244" s="501"/>
      <c r="S244" s="501"/>
      <c r="T244" s="501"/>
      <c r="U244" s="501"/>
      <c r="V244" s="501"/>
      <c r="W244" s="501"/>
      <c r="X244" s="501"/>
      <c r="Y244" s="501"/>
      <c r="Z244" s="501"/>
      <c r="AA244" s="505"/>
      <c r="AB244" s="505"/>
      <c r="AC244" s="505"/>
      <c r="AD244" s="506"/>
      <c r="AE244" s="506"/>
      <c r="AF244" s="506"/>
      <c r="AG244" s="507"/>
      <c r="AH244" s="167"/>
      <c r="AI244" s="167"/>
      <c r="AJ244" s="376"/>
      <c r="AK244" s="376"/>
    </row>
    <row r="245" spans="2:46">
      <c r="AG245" s="267"/>
      <c r="AH245" s="267"/>
      <c r="AI245" s="267"/>
      <c r="AJ245" s="267"/>
      <c r="AK245" s="267"/>
      <c r="AL245" s="267"/>
      <c r="AM245" s="267"/>
      <c r="AN245" s="267"/>
      <c r="AO245" s="267"/>
    </row>
    <row r="246" spans="2:46" ht="15.75" thickBot="1">
      <c r="AG246" s="267"/>
      <c r="AH246" s="267"/>
      <c r="AI246" s="267"/>
      <c r="AJ246" s="267"/>
      <c r="AK246" s="267"/>
      <c r="AL246" s="267"/>
      <c r="AM246" s="267"/>
      <c r="AN246" s="267"/>
      <c r="AO246" s="267"/>
    </row>
    <row r="247" spans="2:46" ht="16.5" thickBot="1">
      <c r="B247" s="508">
        <v>850</v>
      </c>
      <c r="C247" s="509" t="s">
        <v>67</v>
      </c>
      <c r="D247" s="510"/>
      <c r="E247" s="511" t="s">
        <v>49</v>
      </c>
      <c r="F247" s="512"/>
      <c r="G247" s="510"/>
      <c r="H247" s="510"/>
      <c r="I247" s="512"/>
      <c r="J247" s="510"/>
      <c r="K247" s="512"/>
      <c r="L247" s="512"/>
      <c r="M247" s="510"/>
      <c r="N247" s="510"/>
      <c r="O247" s="510"/>
      <c r="P247" s="510"/>
      <c r="Q247" s="510"/>
      <c r="R247" s="510"/>
      <c r="S247" s="510"/>
      <c r="T247" s="510"/>
      <c r="U247" s="510"/>
      <c r="V247" s="510"/>
      <c r="W247" s="510"/>
      <c r="X247" s="510"/>
      <c r="Y247" s="510"/>
      <c r="Z247" s="510"/>
      <c r="AA247" s="513"/>
      <c r="AB247" s="513"/>
      <c r="AC247" s="514"/>
      <c r="AD247" s="296"/>
      <c r="AE247" s="296"/>
      <c r="AF247" s="296"/>
      <c r="AG247" s="296"/>
      <c r="AH247" s="296"/>
      <c r="AI247" s="296"/>
      <c r="AJ247" s="296"/>
      <c r="AK247" s="296"/>
      <c r="AL247" s="296"/>
      <c r="AM247" s="296"/>
      <c r="AN247" s="296"/>
      <c r="AO247" s="296"/>
      <c r="AP247" s="267"/>
      <c r="AQ247" s="267"/>
      <c r="AR247" s="267"/>
      <c r="AS247" s="267"/>
      <c r="AT247" s="267"/>
    </row>
    <row r="248" spans="2:46" ht="15.75">
      <c r="B248" s="515">
        <f>+B247/30*7</f>
        <v>198.33333333333331</v>
      </c>
      <c r="C248" s="516" t="s">
        <v>68</v>
      </c>
      <c r="D248" s="517"/>
      <c r="E248" s="518"/>
      <c r="F248" s="519"/>
      <c r="G248" s="518"/>
      <c r="H248" s="518"/>
      <c r="I248" s="519"/>
      <c r="J248" s="518"/>
      <c r="K248" s="519"/>
      <c r="L248" s="519"/>
      <c r="M248" s="518"/>
      <c r="N248" s="518"/>
      <c r="O248" s="1159" t="s">
        <v>127</v>
      </c>
      <c r="P248" s="1159"/>
      <c r="Q248" s="1159"/>
      <c r="R248" s="1159"/>
      <c r="S248" s="1159"/>
      <c r="T248" s="1159"/>
      <c r="U248" s="1159"/>
      <c r="V248" s="1159"/>
      <c r="W248" s="1159"/>
      <c r="X248" s="1159"/>
      <c r="Y248" s="1159"/>
      <c r="Z248" s="1159"/>
      <c r="AA248" s="520"/>
      <c r="AB248" s="520"/>
      <c r="AC248" s="521"/>
      <c r="AD248" s="296"/>
      <c r="AE248" s="547"/>
      <c r="AF248" s="547"/>
      <c r="AG248" s="296"/>
      <c r="AH248" s="296"/>
      <c r="AI248" s="296"/>
      <c r="AJ248" s="547"/>
      <c r="AK248" s="547"/>
      <c r="AL248" s="296"/>
      <c r="AM248" s="296"/>
      <c r="AN248" s="296"/>
      <c r="AO248" s="296"/>
      <c r="AP248" s="267"/>
      <c r="AQ248" s="267"/>
      <c r="AR248" s="267"/>
      <c r="AS248" s="267"/>
      <c r="AT248" s="267"/>
    </row>
    <row r="249" spans="2:46">
      <c r="B249" s="515">
        <f>+B248-18</f>
        <v>180.33333333333331</v>
      </c>
      <c r="C249" s="516" t="s">
        <v>70</v>
      </c>
      <c r="D249" s="518"/>
      <c r="E249" s="518"/>
      <c r="F249" s="519"/>
      <c r="G249" s="518"/>
      <c r="H249" s="518"/>
      <c r="I249" s="519"/>
      <c r="J249" s="518"/>
      <c r="K249" s="519"/>
      <c r="L249" s="519"/>
      <c r="M249" s="518"/>
      <c r="N249" s="518"/>
      <c r="O249" s="1159">
        <f>+B247</f>
        <v>850</v>
      </c>
      <c r="P249" s="1159"/>
      <c r="Q249" s="1159" t="s">
        <v>71</v>
      </c>
      <c r="R249" s="1159"/>
      <c r="S249" s="1159"/>
      <c r="T249" s="1159"/>
      <c r="U249" s="1159"/>
      <c r="V249" s="1159"/>
      <c r="W249" s="1159"/>
      <c r="X249" s="1159"/>
      <c r="Y249" s="1159"/>
      <c r="Z249" s="1159"/>
      <c r="AA249" s="520" t="s">
        <v>72</v>
      </c>
      <c r="AB249" s="520"/>
      <c r="AC249" s="521"/>
      <c r="AD249" s="296"/>
      <c r="AE249" s="547"/>
      <c r="AF249" s="547"/>
      <c r="AG249" s="296"/>
      <c r="AH249" s="296"/>
      <c r="AI249" s="296"/>
      <c r="AJ249" s="547"/>
      <c r="AK249" s="547"/>
      <c r="AL249" s="296"/>
      <c r="AM249" s="296"/>
      <c r="AN249" s="296"/>
      <c r="AO249" s="296"/>
      <c r="AP249" s="267"/>
      <c r="AQ249" s="267"/>
      <c r="AR249" s="267"/>
      <c r="AS249" s="267"/>
      <c r="AT249" s="267"/>
    </row>
    <row r="250" spans="2:46">
      <c r="B250" s="522">
        <f>+B249/7</f>
        <v>25.761904761904759</v>
      </c>
      <c r="C250" s="523" t="s">
        <v>73</v>
      </c>
      <c r="D250" s="524"/>
      <c r="E250" s="518"/>
      <c r="F250" s="519"/>
      <c r="G250" s="518"/>
      <c r="H250" s="518"/>
      <c r="I250" s="519"/>
      <c r="J250" s="518"/>
      <c r="K250" s="519"/>
      <c r="L250" s="519"/>
      <c r="M250" s="518"/>
      <c r="N250" s="518"/>
      <c r="O250" s="1159">
        <f>+O249/30*7</f>
        <v>198.33333333333331</v>
      </c>
      <c r="P250" s="1159"/>
      <c r="Q250" s="1159" t="s">
        <v>74</v>
      </c>
      <c r="R250" s="1159"/>
      <c r="S250" s="1159"/>
      <c r="T250" s="1159"/>
      <c r="U250" s="1159"/>
      <c r="V250" s="1159"/>
      <c r="W250" s="1159"/>
      <c r="X250" s="1159"/>
      <c r="Y250" s="1159"/>
      <c r="Z250" s="1159"/>
      <c r="AA250" s="1166">
        <f>+O250*0.87</f>
        <v>172.54999999999998</v>
      </c>
      <c r="AB250" s="1166"/>
      <c r="AC250" s="521"/>
      <c r="AD250" s="296"/>
      <c r="AE250" s="384"/>
      <c r="AF250" s="384"/>
      <c r="AG250" s="296"/>
      <c r="AH250" s="296"/>
      <c r="AI250" s="296"/>
      <c r="AJ250" s="384"/>
      <c r="AK250" s="384"/>
      <c r="AL250" s="385"/>
      <c r="AM250" s="385"/>
      <c r="AN250" s="385"/>
      <c r="AO250" s="385"/>
      <c r="AP250" s="386"/>
      <c r="AQ250" s="386"/>
      <c r="AR250" s="267"/>
      <c r="AS250" s="267"/>
      <c r="AT250" s="267"/>
    </row>
    <row r="251" spans="2:46">
      <c r="B251" s="525"/>
      <c r="C251" s="518"/>
      <c r="D251" s="518"/>
      <c r="E251" s="518"/>
      <c r="F251" s="519"/>
      <c r="G251" s="518"/>
      <c r="H251" s="518"/>
      <c r="I251" s="519"/>
      <c r="J251" s="518"/>
      <c r="K251" s="519"/>
      <c r="L251" s="519"/>
      <c r="M251" s="518"/>
      <c r="N251" s="518"/>
      <c r="O251" s="1159">
        <f>+O250/7</f>
        <v>28.333333333333332</v>
      </c>
      <c r="P251" s="1159"/>
      <c r="Q251" s="1159" t="s">
        <v>75</v>
      </c>
      <c r="R251" s="1159"/>
      <c r="S251" s="1159"/>
      <c r="T251" s="1159"/>
      <c r="U251" s="1159"/>
      <c r="V251" s="1159"/>
      <c r="W251" s="1159"/>
      <c r="X251" s="1159"/>
      <c r="Y251" s="1159"/>
      <c r="Z251" s="1159"/>
      <c r="AA251" s="520"/>
      <c r="AB251" s="520"/>
      <c r="AC251" s="521"/>
      <c r="AD251" s="296"/>
      <c r="AE251" s="547"/>
      <c r="AF251" s="547"/>
      <c r="AG251" s="296"/>
      <c r="AH251" s="296"/>
      <c r="AI251" s="296"/>
      <c r="AJ251" s="547"/>
      <c r="AK251" s="547"/>
      <c r="AL251" s="387"/>
      <c r="AM251" s="387"/>
      <c r="AN251" s="385"/>
      <c r="AO251" s="385"/>
      <c r="AP251" s="386"/>
      <c r="AQ251" s="386"/>
      <c r="AR251" s="267"/>
      <c r="AS251" s="267"/>
      <c r="AT251" s="267"/>
    </row>
    <row r="252" spans="2:46" ht="15.75">
      <c r="B252" s="526">
        <f>+B250</f>
        <v>25.761904761904759</v>
      </c>
      <c r="C252" s="527" t="s">
        <v>128</v>
      </c>
      <c r="D252" s="528"/>
      <c r="E252" s="528"/>
      <c r="F252" s="528"/>
      <c r="G252" s="518"/>
      <c r="H252" s="518"/>
      <c r="I252" s="519"/>
      <c r="J252" s="518"/>
      <c r="K252" s="519"/>
      <c r="L252" s="519"/>
      <c r="M252" s="518"/>
      <c r="N252" s="518"/>
      <c r="O252" s="1159">
        <f>(O250-18)/7</f>
        <v>25.761904761904759</v>
      </c>
      <c r="P252" s="1159"/>
      <c r="Q252" s="1159" t="s">
        <v>77</v>
      </c>
      <c r="R252" s="1159"/>
      <c r="S252" s="1159"/>
      <c r="T252" s="1159"/>
      <c r="U252" s="1159"/>
      <c r="V252" s="1159"/>
      <c r="W252" s="1159"/>
      <c r="X252" s="1159"/>
      <c r="Y252" s="1159"/>
      <c r="Z252" s="1159"/>
      <c r="AA252" s="520"/>
      <c r="AB252" s="520"/>
      <c r="AC252" s="521"/>
      <c r="AD252" s="296"/>
      <c r="AE252" s="391"/>
      <c r="AF252" s="391"/>
      <c r="AG252" s="392"/>
      <c r="AH252" s="392"/>
      <c r="AI252" s="392"/>
      <c r="AJ252" s="391"/>
      <c r="AK252" s="391"/>
      <c r="AL252" s="385"/>
      <c r="AM252" s="385"/>
      <c r="AN252" s="385"/>
      <c r="AO252" s="385"/>
      <c r="AP252" s="386"/>
      <c r="AQ252" s="386"/>
      <c r="AR252" s="267"/>
      <c r="AS252" s="267"/>
      <c r="AT252" s="267"/>
    </row>
    <row r="253" spans="2:46">
      <c r="B253" s="515">
        <v>3</v>
      </c>
      <c r="C253" s="516" t="s">
        <v>78</v>
      </c>
      <c r="D253" s="518"/>
      <c r="E253" s="518"/>
      <c r="F253" s="519"/>
      <c r="G253" s="518"/>
      <c r="H253" s="518"/>
      <c r="I253" s="519"/>
      <c r="J253" s="518"/>
      <c r="K253" s="519"/>
      <c r="L253" s="519"/>
      <c r="M253" s="518"/>
      <c r="N253" s="518"/>
      <c r="O253" s="1159">
        <v>3</v>
      </c>
      <c r="P253" s="1159"/>
      <c r="Q253" s="1159" t="s">
        <v>79</v>
      </c>
      <c r="R253" s="1159"/>
      <c r="S253" s="1159"/>
      <c r="T253" s="1159"/>
      <c r="U253" s="1159"/>
      <c r="V253" s="1159"/>
      <c r="W253" s="1159"/>
      <c r="X253" s="1159"/>
      <c r="Y253" s="1159"/>
      <c r="Z253" s="1159"/>
      <c r="AA253" s="520"/>
      <c r="AB253" s="520"/>
      <c r="AC253" s="521"/>
      <c r="AD253" s="296"/>
      <c r="AE253" s="296"/>
      <c r="AF253" s="996">
        <v>993814365</v>
      </c>
      <c r="AG253" s="996"/>
      <c r="AH253" s="996"/>
      <c r="AI253" s="996"/>
      <c r="AJ253" s="996"/>
      <c r="AK253" s="296"/>
      <c r="AL253" s="385"/>
      <c r="AM253" s="385"/>
      <c r="AN253" s="385"/>
      <c r="AO253" s="385"/>
      <c r="AP253" s="386"/>
      <c r="AQ253" s="386"/>
      <c r="AR253" s="267"/>
      <c r="AS253" s="267"/>
      <c r="AT253" s="267"/>
    </row>
    <row r="254" spans="2:46">
      <c r="B254" s="522">
        <f>+B253+B252</f>
        <v>28.761904761904759</v>
      </c>
      <c r="C254" s="523" t="s">
        <v>80</v>
      </c>
      <c r="D254" s="529"/>
      <c r="E254" s="529"/>
      <c r="F254" s="530"/>
      <c r="G254" s="529"/>
      <c r="H254" s="529"/>
      <c r="I254" s="530"/>
      <c r="J254" s="529"/>
      <c r="K254" s="530"/>
      <c r="L254" s="530"/>
      <c r="M254" s="524"/>
      <c r="N254" s="518"/>
      <c r="O254" s="1159">
        <f>+O253+O252</f>
        <v>28.761904761904759</v>
      </c>
      <c r="P254" s="1159"/>
      <c r="Q254" s="518"/>
      <c r="R254" s="518"/>
      <c r="S254" s="518"/>
      <c r="T254" s="518"/>
      <c r="U254" s="518"/>
      <c r="V254" s="518"/>
      <c r="W254" s="518"/>
      <c r="X254" s="518"/>
      <c r="Y254" s="518"/>
      <c r="Z254" s="518"/>
      <c r="AA254" s="520"/>
      <c r="AB254" s="520"/>
      <c r="AC254" s="521"/>
      <c r="AD254" s="296"/>
      <c r="AE254" s="547"/>
      <c r="AF254" s="547"/>
      <c r="AG254" s="296"/>
      <c r="AH254" s="296"/>
      <c r="AI254" s="296"/>
      <c r="AJ254" s="547"/>
      <c r="AK254" s="547"/>
      <c r="AL254" s="387"/>
      <c r="AM254" s="387"/>
      <c r="AN254" s="387"/>
      <c r="AO254" s="387"/>
      <c r="AP254" s="397"/>
      <c r="AQ254" s="267"/>
      <c r="AR254" s="267"/>
      <c r="AS254" s="267"/>
      <c r="AT254" s="267"/>
    </row>
    <row r="255" spans="2:46">
      <c r="B255" s="515"/>
      <c r="C255" s="518"/>
      <c r="D255" s="518"/>
      <c r="E255" s="518"/>
      <c r="F255" s="519"/>
      <c r="G255" s="518"/>
      <c r="H255" s="518"/>
      <c r="I255" s="519"/>
      <c r="J255" s="518"/>
      <c r="K255" s="519"/>
      <c r="L255" s="519"/>
      <c r="M255" s="518"/>
      <c r="N255" s="518"/>
      <c r="O255" s="518"/>
      <c r="P255" s="518"/>
      <c r="Q255" s="518"/>
      <c r="R255" s="518"/>
      <c r="S255" s="518"/>
      <c r="T255" s="518"/>
      <c r="U255" s="518"/>
      <c r="V255" s="518"/>
      <c r="W255" s="518"/>
      <c r="X255" s="518"/>
      <c r="Y255" s="518"/>
      <c r="Z255" s="518"/>
      <c r="AA255" s="520"/>
      <c r="AB255" s="520"/>
      <c r="AC255" s="521"/>
      <c r="AD255" s="296"/>
      <c r="AE255" s="398"/>
      <c r="AF255" s="398"/>
      <c r="AG255" s="398"/>
      <c r="AH255" s="296"/>
      <c r="AI255" s="296"/>
      <c r="AJ255" s="398"/>
      <c r="AK255" s="398"/>
      <c r="AL255" s="385"/>
      <c r="AM255" s="296"/>
      <c r="AN255" s="296"/>
      <c r="AO255" s="296"/>
      <c r="AP255" s="267"/>
      <c r="AQ255" s="267"/>
      <c r="AR255" s="267"/>
      <c r="AS255" s="267"/>
      <c r="AT255" s="267"/>
    </row>
    <row r="256" spans="2:46">
      <c r="B256" s="515">
        <f>+B254*6</f>
        <v>172.57142857142856</v>
      </c>
      <c r="C256" s="516" t="s">
        <v>81</v>
      </c>
      <c r="D256" s="518"/>
      <c r="E256" s="518"/>
      <c r="F256" s="519"/>
      <c r="G256" s="518"/>
      <c r="H256" s="518"/>
      <c r="I256" s="519"/>
      <c r="J256" s="518"/>
      <c r="K256" s="519"/>
      <c r="L256" s="519"/>
      <c r="M256" s="518"/>
      <c r="N256" s="518"/>
      <c r="O256" s="1159" t="s">
        <v>129</v>
      </c>
      <c r="P256" s="1159"/>
      <c r="Q256" s="1159"/>
      <c r="R256" s="1159"/>
      <c r="S256" s="1159"/>
      <c r="T256" s="1159"/>
      <c r="U256" s="1159"/>
      <c r="V256" s="1159"/>
      <c r="W256" s="1159"/>
      <c r="X256" s="1159"/>
      <c r="Y256" s="1159"/>
      <c r="Z256" s="1159"/>
      <c r="AA256" s="520"/>
      <c r="AB256" s="520"/>
      <c r="AC256" s="521"/>
      <c r="AD256" s="296"/>
      <c r="AE256" s="296"/>
      <c r="AF256" s="296"/>
      <c r="AG256" s="296"/>
      <c r="AH256" s="296"/>
      <c r="AI256" s="385"/>
      <c r="AJ256" s="385"/>
      <c r="AK256" s="387"/>
      <c r="AL256" s="545"/>
      <c r="AM256" s="547"/>
      <c r="AN256" s="545"/>
      <c r="AO256" s="296"/>
      <c r="AP256" s="267"/>
      <c r="AQ256" s="267"/>
      <c r="AR256" s="267"/>
      <c r="AS256" s="267"/>
      <c r="AT256" s="267"/>
    </row>
    <row r="257" spans="2:41">
      <c r="B257" s="531">
        <f>+B252</f>
        <v>25.761904761904759</v>
      </c>
      <c r="C257" s="532" t="s">
        <v>83</v>
      </c>
      <c r="D257" s="533"/>
      <c r="E257" s="533"/>
      <c r="F257" s="534"/>
      <c r="G257" s="533"/>
      <c r="H257" s="533"/>
      <c r="I257" s="534"/>
      <c r="J257" s="533"/>
      <c r="K257" s="534"/>
      <c r="L257" s="519"/>
      <c r="M257" s="518"/>
      <c r="N257" s="518"/>
      <c r="O257" s="1159">
        <f>+O249*1.1</f>
        <v>935.00000000000011</v>
      </c>
      <c r="P257" s="1159"/>
      <c r="Q257" s="1159" t="s">
        <v>71</v>
      </c>
      <c r="R257" s="1159"/>
      <c r="S257" s="1159"/>
      <c r="T257" s="1159"/>
      <c r="U257" s="1159"/>
      <c r="V257" s="1159"/>
      <c r="W257" s="1159"/>
      <c r="X257" s="1159"/>
      <c r="Y257" s="1159"/>
      <c r="Z257" s="1159"/>
      <c r="AA257" s="520" t="s">
        <v>84</v>
      </c>
      <c r="AB257" s="520"/>
      <c r="AC257" s="521"/>
      <c r="AG257" s="267"/>
      <c r="AH257" s="267"/>
      <c r="AI257" s="386"/>
      <c r="AJ257" s="386"/>
      <c r="AK257" s="386"/>
      <c r="AL257" s="267"/>
      <c r="AM257" s="267"/>
      <c r="AN257" s="267"/>
      <c r="AO257" s="267"/>
    </row>
    <row r="258" spans="2:41">
      <c r="B258" s="522">
        <f>+B257+B256</f>
        <v>198.33333333333331</v>
      </c>
      <c r="C258" s="523" t="s">
        <v>85</v>
      </c>
      <c r="D258" s="529"/>
      <c r="E258" s="529"/>
      <c r="F258" s="530"/>
      <c r="G258" s="529"/>
      <c r="H258" s="529"/>
      <c r="I258" s="530"/>
      <c r="J258" s="529"/>
      <c r="K258" s="535"/>
      <c r="L258" s="519"/>
      <c r="M258" s="518"/>
      <c r="N258" s="518"/>
      <c r="O258" s="1159">
        <f>+O257/30*7</f>
        <v>218.16666666666669</v>
      </c>
      <c r="P258" s="1159"/>
      <c r="Q258" s="1159" t="s">
        <v>74</v>
      </c>
      <c r="R258" s="1159"/>
      <c r="S258" s="1159"/>
      <c r="T258" s="1159"/>
      <c r="U258" s="1159"/>
      <c r="V258" s="1159"/>
      <c r="W258" s="1159"/>
      <c r="X258" s="1159"/>
      <c r="Y258" s="1159"/>
      <c r="Z258" s="1159"/>
      <c r="AA258" s="1166">
        <f>+O258*0.87</f>
        <v>189.80500000000001</v>
      </c>
      <c r="AB258" s="1166"/>
      <c r="AC258" s="521"/>
      <c r="AG258" s="267"/>
      <c r="AH258" s="267"/>
      <c r="AI258" s="386"/>
      <c r="AJ258" s="386"/>
      <c r="AK258" s="407"/>
      <c r="AL258" s="267"/>
      <c r="AM258" s="267"/>
      <c r="AN258" s="267"/>
      <c r="AO258" s="267"/>
    </row>
    <row r="259" spans="2:41">
      <c r="B259" s="515"/>
      <c r="C259" s="516"/>
      <c r="D259" s="518"/>
      <c r="E259" s="518"/>
      <c r="F259" s="519"/>
      <c r="G259" s="518"/>
      <c r="H259" s="518"/>
      <c r="I259" s="519"/>
      <c r="J259" s="518"/>
      <c r="K259" s="519"/>
      <c r="L259" s="519"/>
      <c r="M259" s="518"/>
      <c r="N259" s="518"/>
      <c r="O259" s="1159">
        <f>+O258/7</f>
        <v>31.166666666666668</v>
      </c>
      <c r="P259" s="1159"/>
      <c r="Q259" s="1159" t="s">
        <v>75</v>
      </c>
      <c r="R259" s="1159"/>
      <c r="S259" s="1159"/>
      <c r="T259" s="1159"/>
      <c r="U259" s="1159"/>
      <c r="V259" s="1159"/>
      <c r="W259" s="1159"/>
      <c r="X259" s="1159"/>
      <c r="Y259" s="1159"/>
      <c r="Z259" s="1159"/>
      <c r="AA259" s="520"/>
      <c r="AB259" s="520"/>
      <c r="AC259" s="521"/>
      <c r="AG259" s="267"/>
      <c r="AH259" s="267"/>
      <c r="AI259" s="412"/>
      <c r="AJ259" s="413"/>
      <c r="AK259" s="407"/>
      <c r="AL259" s="267"/>
      <c r="AM259" s="267"/>
      <c r="AN259" s="267"/>
      <c r="AO259" s="267"/>
    </row>
    <row r="260" spans="2:41">
      <c r="B260" s="536">
        <f>+B258/7</f>
        <v>28.333333333333332</v>
      </c>
      <c r="C260" s="537" t="s">
        <v>86</v>
      </c>
      <c r="D260" s="518"/>
      <c r="E260" s="518"/>
      <c r="F260" s="519"/>
      <c r="G260" s="518"/>
      <c r="H260" s="518"/>
      <c r="I260" s="519"/>
      <c r="J260" s="518"/>
      <c r="K260" s="519"/>
      <c r="L260" s="519"/>
      <c r="M260" s="518"/>
      <c r="N260" s="518"/>
      <c r="O260" s="1159">
        <f>(O258-18)/7</f>
        <v>28.595238095238098</v>
      </c>
      <c r="P260" s="1159"/>
      <c r="Q260" s="1159" t="s">
        <v>77</v>
      </c>
      <c r="R260" s="1159"/>
      <c r="S260" s="1159"/>
      <c r="T260" s="1159"/>
      <c r="U260" s="1159"/>
      <c r="V260" s="1159"/>
      <c r="W260" s="1159"/>
      <c r="X260" s="1159"/>
      <c r="Y260" s="1159"/>
      <c r="Z260" s="1159"/>
      <c r="AA260" s="520"/>
      <c r="AB260" s="520"/>
      <c r="AC260" s="521"/>
      <c r="AG260" s="267"/>
      <c r="AH260" s="267"/>
      <c r="AI260" s="267"/>
      <c r="AJ260" s="267"/>
      <c r="AK260" s="407"/>
      <c r="AL260" s="267"/>
      <c r="AM260" s="267"/>
      <c r="AN260" s="267"/>
      <c r="AO260" s="267"/>
    </row>
    <row r="261" spans="2:41">
      <c r="B261" s="515"/>
      <c r="C261" s="516"/>
      <c r="D261" s="518"/>
      <c r="E261" s="518"/>
      <c r="F261" s="519"/>
      <c r="G261" s="518"/>
      <c r="H261" s="518"/>
      <c r="I261" s="519"/>
      <c r="J261" s="518"/>
      <c r="K261" s="519"/>
      <c r="L261" s="519"/>
      <c r="M261" s="518"/>
      <c r="N261" s="518"/>
      <c r="O261" s="1159">
        <v>3</v>
      </c>
      <c r="P261" s="1159"/>
      <c r="Q261" s="1159" t="s">
        <v>79</v>
      </c>
      <c r="R261" s="1159"/>
      <c r="S261" s="1159"/>
      <c r="T261" s="1159"/>
      <c r="U261" s="1159"/>
      <c r="V261" s="1159"/>
      <c r="W261" s="1159"/>
      <c r="X261" s="1159"/>
      <c r="Y261" s="1159"/>
      <c r="Z261" s="1159"/>
      <c r="AA261" s="520"/>
      <c r="AB261" s="520"/>
      <c r="AC261" s="521"/>
      <c r="AG261" s="267"/>
      <c r="AH261" s="267"/>
      <c r="AI261" s="267"/>
      <c r="AJ261" s="267"/>
      <c r="AK261" s="267"/>
      <c r="AL261" s="267"/>
      <c r="AM261" s="267"/>
      <c r="AN261" s="267"/>
      <c r="AO261" s="267"/>
    </row>
    <row r="262" spans="2:41" ht="15.75" thickBot="1">
      <c r="B262" s="538"/>
      <c r="C262" s="539"/>
      <c r="D262" s="540"/>
      <c r="E262" s="540"/>
      <c r="F262" s="541"/>
      <c r="G262" s="540"/>
      <c r="H262" s="540"/>
      <c r="I262" s="541"/>
      <c r="J262" s="540"/>
      <c r="K262" s="541"/>
      <c r="L262" s="541"/>
      <c r="M262" s="540"/>
      <c r="N262" s="540"/>
      <c r="O262" s="1167">
        <f>+O261+O260</f>
        <v>31.595238095238098</v>
      </c>
      <c r="P262" s="1167"/>
      <c r="Q262" s="540"/>
      <c r="R262" s="540"/>
      <c r="S262" s="540"/>
      <c r="T262" s="540"/>
      <c r="U262" s="540"/>
      <c r="V262" s="540"/>
      <c r="W262" s="540"/>
      <c r="X262" s="540"/>
      <c r="Y262" s="540"/>
      <c r="Z262" s="540"/>
      <c r="AA262" s="542"/>
      <c r="AB262" s="542"/>
      <c r="AC262" s="543"/>
      <c r="AG262" s="267"/>
      <c r="AH262" s="267"/>
      <c r="AI262" s="267"/>
      <c r="AJ262" s="267"/>
      <c r="AK262" s="267"/>
      <c r="AL262" s="267"/>
      <c r="AM262" s="267"/>
      <c r="AN262" s="267"/>
      <c r="AO262" s="267"/>
    </row>
    <row r="263" spans="2:41">
      <c r="B263" s="168"/>
      <c r="AG263" s="267"/>
      <c r="AH263" s="267"/>
      <c r="AI263" s="267"/>
      <c r="AJ263" s="267"/>
      <c r="AK263" s="267"/>
      <c r="AL263" s="267"/>
      <c r="AM263" s="267"/>
      <c r="AN263" s="267"/>
      <c r="AO263" s="267"/>
    </row>
    <row r="264" spans="2:41" ht="15.75" thickBot="1">
      <c r="AE264" s="376"/>
      <c r="AF264" s="376"/>
      <c r="AJ264" s="376"/>
      <c r="AK264" s="376"/>
    </row>
    <row r="265" spans="2:41">
      <c r="C265" s="484"/>
      <c r="D265" s="485"/>
      <c r="E265" s="486"/>
      <c r="F265" s="487"/>
      <c r="G265" s="485"/>
      <c r="H265" s="485"/>
      <c r="I265" s="487"/>
      <c r="J265" s="485"/>
      <c r="K265" s="488"/>
      <c r="L265" s="488"/>
      <c r="M265" s="485"/>
      <c r="N265" s="485"/>
      <c r="O265" s="485"/>
      <c r="P265" s="485"/>
      <c r="Q265" s="485"/>
      <c r="R265" s="485"/>
      <c r="S265" s="485"/>
      <c r="T265" s="485"/>
      <c r="U265" s="485"/>
      <c r="V265" s="485"/>
      <c r="W265" s="485"/>
      <c r="X265" s="485"/>
      <c r="Y265" s="485"/>
      <c r="Z265" s="485"/>
      <c r="AA265" s="489"/>
      <c r="AB265" s="489"/>
      <c r="AC265" s="489"/>
      <c r="AD265" s="489"/>
      <c r="AE265" s="490"/>
      <c r="AF265" s="490"/>
      <c r="AG265" s="491"/>
      <c r="AJ265" s="376"/>
      <c r="AK265" s="376"/>
    </row>
    <row r="266" spans="2:41" ht="18">
      <c r="C266" s="492"/>
      <c r="D266" s="333"/>
      <c r="E266" s="493" t="s">
        <v>130</v>
      </c>
      <c r="F266" s="411"/>
      <c r="G266" s="333"/>
      <c r="H266" s="333"/>
      <c r="I266" s="411"/>
      <c r="J266" s="333"/>
      <c r="K266" s="405"/>
      <c r="L266" s="405"/>
      <c r="M266" s="333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  <c r="AA266" s="167"/>
      <c r="AB266" s="167"/>
      <c r="AC266" s="167"/>
      <c r="AD266" s="167"/>
      <c r="AE266" s="376"/>
      <c r="AF266" s="376"/>
      <c r="AG266" s="494"/>
      <c r="AJ266" s="376"/>
      <c r="AK266" s="376"/>
    </row>
    <row r="267" spans="2:41">
      <c r="C267" s="492"/>
      <c r="D267" s="333"/>
      <c r="E267" s="410"/>
      <c r="F267" s="411"/>
      <c r="G267" s="333"/>
      <c r="H267" s="333"/>
      <c r="I267" s="411"/>
      <c r="J267" s="333"/>
      <c r="K267" s="405"/>
      <c r="L267" s="405"/>
      <c r="M267" s="333"/>
      <c r="N267" s="333"/>
      <c r="O267" s="333"/>
      <c r="P267" s="333"/>
      <c r="Q267" s="333"/>
      <c r="R267" s="333"/>
      <c r="S267" s="333"/>
      <c r="T267" s="333"/>
      <c r="U267" s="333"/>
      <c r="V267" s="333"/>
      <c r="W267" s="333"/>
      <c r="X267" s="333"/>
      <c r="Y267" s="333"/>
      <c r="Z267" s="333"/>
      <c r="AA267" s="1168" t="s">
        <v>106</v>
      </c>
      <c r="AB267" s="1169"/>
      <c r="AC267" s="1170"/>
      <c r="AD267" s="1115" t="s">
        <v>131</v>
      </c>
      <c r="AE267" s="1116"/>
      <c r="AF267" s="1117"/>
      <c r="AG267" s="494"/>
      <c r="AH267" s="167"/>
      <c r="AI267" s="167"/>
      <c r="AJ267" s="376"/>
      <c r="AK267" s="376"/>
    </row>
    <row r="268" spans="2:41" ht="16.5" thickBot="1">
      <c r="C268" s="492"/>
      <c r="D268" s="1118" t="s">
        <v>108</v>
      </c>
      <c r="E268" s="1118"/>
      <c r="F268" s="1118"/>
      <c r="G268" s="1118"/>
      <c r="H268" s="1118"/>
      <c r="I268" s="1119" t="s">
        <v>109</v>
      </c>
      <c r="J268" s="1119"/>
      <c r="K268" s="1119"/>
      <c r="L268" s="1120" t="s">
        <v>110</v>
      </c>
      <c r="M268" s="1120"/>
      <c r="N268" s="1120"/>
      <c r="O268" s="1120" t="s">
        <v>111</v>
      </c>
      <c r="P268" s="1120"/>
      <c r="Q268" s="1120"/>
      <c r="R268" s="1171" t="s">
        <v>132</v>
      </c>
      <c r="S268" s="1171"/>
      <c r="T268" s="1171"/>
      <c r="U268" s="1120" t="s">
        <v>113</v>
      </c>
      <c r="V268" s="1120"/>
      <c r="W268" s="1122"/>
      <c r="X268" s="1123" t="s">
        <v>114</v>
      </c>
      <c r="Y268" s="1124"/>
      <c r="Z268" s="1125"/>
      <c r="AA268" s="1172" t="s">
        <v>133</v>
      </c>
      <c r="AB268" s="1172"/>
      <c r="AC268" s="1173"/>
      <c r="AD268" s="1128" t="s">
        <v>133</v>
      </c>
      <c r="AE268" s="1129"/>
      <c r="AF268" s="1130"/>
      <c r="AG268" s="494"/>
      <c r="AH268" s="167"/>
      <c r="AI268" s="167"/>
      <c r="AJ268" s="376"/>
      <c r="AK268" s="376"/>
    </row>
    <row r="269" spans="2:41" ht="19.5" thickTop="1">
      <c r="C269" s="495">
        <v>1</v>
      </c>
      <c r="D269" s="1131" t="s">
        <v>119</v>
      </c>
      <c r="E269" s="1131"/>
      <c r="F269" s="1131"/>
      <c r="G269" s="1131"/>
      <c r="H269" s="1131"/>
      <c r="I269" s="1174">
        <v>38.5</v>
      </c>
      <c r="J269" s="1174"/>
      <c r="K269" s="1174"/>
      <c r="L269" s="1133">
        <v>1</v>
      </c>
      <c r="M269" s="1133"/>
      <c r="N269" s="1133"/>
      <c r="O269" s="1133">
        <v>2</v>
      </c>
      <c r="P269" s="1133"/>
      <c r="Q269" s="1133"/>
      <c r="R269" s="1175">
        <f t="shared" ref="R269:R275" si="85">+I269+L269+O269</f>
        <v>41.5</v>
      </c>
      <c r="S269" s="1175"/>
      <c r="T269" s="1175"/>
      <c r="U269" s="1135">
        <f t="shared" ref="U269:U275" si="86">+I269*7+(L269+O269)*6</f>
        <v>287.5</v>
      </c>
      <c r="V269" s="1135"/>
      <c r="W269" s="1136"/>
      <c r="X269" s="1137">
        <f t="shared" ref="X269:X275" si="87">+U269/7*30</f>
        <v>1232.1428571428571</v>
      </c>
      <c r="Y269" s="1138"/>
      <c r="Z269" s="1139"/>
      <c r="AA269" s="1176">
        <v>37.571399999999997</v>
      </c>
      <c r="AB269" s="1177"/>
      <c r="AC269" s="1177"/>
      <c r="AD269" s="1178">
        <f t="shared" ref="AD269:AD275" si="88">+AA269*30</f>
        <v>1127.1419999999998</v>
      </c>
      <c r="AE269" s="1178"/>
      <c r="AF269" s="1178"/>
      <c r="AG269" s="494"/>
      <c r="AH269" s="167" t="s">
        <v>134</v>
      </c>
      <c r="AI269" s="1149" t="s">
        <v>135</v>
      </c>
      <c r="AJ269" s="1179"/>
      <c r="AK269" s="1179"/>
      <c r="AL269" s="1179"/>
      <c r="AM269" s="1180"/>
    </row>
    <row r="270" spans="2:41" ht="17.25">
      <c r="C270" s="495">
        <v>2</v>
      </c>
      <c r="D270" s="1144" t="s">
        <v>120</v>
      </c>
      <c r="E270" s="1144"/>
      <c r="F270" s="1144"/>
      <c r="G270" s="1144"/>
      <c r="H270" s="1144"/>
      <c r="I270" s="1165">
        <v>38.5</v>
      </c>
      <c r="J270" s="1165"/>
      <c r="K270" s="1165"/>
      <c r="L270" s="1146">
        <v>1</v>
      </c>
      <c r="M270" s="1146"/>
      <c r="N270" s="1146"/>
      <c r="O270" s="1146">
        <v>2</v>
      </c>
      <c r="P270" s="1146"/>
      <c r="Q270" s="1146"/>
      <c r="R270" s="1160">
        <f t="shared" si="85"/>
        <v>41.5</v>
      </c>
      <c r="S270" s="1160"/>
      <c r="T270" s="1160"/>
      <c r="U270" s="1148">
        <f t="shared" si="86"/>
        <v>287.5</v>
      </c>
      <c r="V270" s="1148"/>
      <c r="W270" s="1149"/>
      <c r="X270" s="1150">
        <f t="shared" si="87"/>
        <v>1232.1428571428571</v>
      </c>
      <c r="Y270" s="1151"/>
      <c r="Z270" s="1152"/>
      <c r="AA270" s="1181">
        <v>35.571399999999997</v>
      </c>
      <c r="AB270" s="1182"/>
      <c r="AC270" s="1182"/>
      <c r="AD270" s="1183">
        <f t="shared" si="88"/>
        <v>1067.1419999999998</v>
      </c>
      <c r="AE270" s="1183"/>
      <c r="AF270" s="1183"/>
      <c r="AG270" s="494"/>
      <c r="AH270" s="167"/>
      <c r="AI270" s="167"/>
      <c r="AJ270" s="376"/>
      <c r="AK270" s="376"/>
    </row>
    <row r="271" spans="2:41" ht="17.25">
      <c r="C271" s="495">
        <v>3</v>
      </c>
      <c r="D271" s="1144" t="s">
        <v>118</v>
      </c>
      <c r="E271" s="1144"/>
      <c r="F271" s="1144"/>
      <c r="G271" s="1144"/>
      <c r="H271" s="1144"/>
      <c r="I271" s="1165">
        <v>38.5</v>
      </c>
      <c r="J271" s="1165"/>
      <c r="K271" s="1165"/>
      <c r="L271" s="1146">
        <v>1</v>
      </c>
      <c r="M271" s="1146"/>
      <c r="N271" s="1146"/>
      <c r="O271" s="1146">
        <v>2</v>
      </c>
      <c r="P271" s="1146"/>
      <c r="Q271" s="1146"/>
      <c r="R271" s="1160">
        <f t="shared" si="85"/>
        <v>41.5</v>
      </c>
      <c r="S271" s="1160"/>
      <c r="T271" s="1160"/>
      <c r="U271" s="1148">
        <f t="shared" si="86"/>
        <v>287.5</v>
      </c>
      <c r="V271" s="1148"/>
      <c r="W271" s="1149"/>
      <c r="X271" s="1150">
        <f t="shared" si="87"/>
        <v>1232.1428571428571</v>
      </c>
      <c r="Y271" s="1151"/>
      <c r="Z271" s="1152"/>
      <c r="AA271" s="1181">
        <v>32.571399999999997</v>
      </c>
      <c r="AB271" s="1182"/>
      <c r="AC271" s="1182"/>
      <c r="AD271" s="1183">
        <f t="shared" si="88"/>
        <v>977.14199999999994</v>
      </c>
      <c r="AE271" s="1183"/>
      <c r="AF271" s="1183"/>
      <c r="AG271" s="494"/>
      <c r="AH271" s="167"/>
      <c r="AI271" s="167"/>
      <c r="AJ271" s="376"/>
      <c r="AK271" s="376"/>
    </row>
    <row r="272" spans="2:41" ht="17.25">
      <c r="C272" s="495">
        <v>4</v>
      </c>
      <c r="D272" s="1144" t="s">
        <v>136</v>
      </c>
      <c r="E272" s="1144"/>
      <c r="F272" s="1144"/>
      <c r="G272" s="1144"/>
      <c r="H272" s="1144"/>
      <c r="I272" s="1165">
        <v>35</v>
      </c>
      <c r="J272" s="1165"/>
      <c r="K272" s="1165"/>
      <c r="L272" s="1146">
        <v>1</v>
      </c>
      <c r="M272" s="1146"/>
      <c r="N272" s="1146"/>
      <c r="O272" s="1146">
        <v>2</v>
      </c>
      <c r="P272" s="1146"/>
      <c r="Q272" s="1146"/>
      <c r="R272" s="1160">
        <f t="shared" si="85"/>
        <v>38</v>
      </c>
      <c r="S272" s="1160"/>
      <c r="T272" s="1160"/>
      <c r="U272" s="1148">
        <f t="shared" si="86"/>
        <v>263</v>
      </c>
      <c r="V272" s="1148"/>
      <c r="W272" s="1149"/>
      <c r="X272" s="1150">
        <f t="shared" si="87"/>
        <v>1127.1428571428571</v>
      </c>
      <c r="Y272" s="1151"/>
      <c r="Z272" s="1152"/>
      <c r="AA272" s="1181">
        <v>35.321399999999997</v>
      </c>
      <c r="AB272" s="1182"/>
      <c r="AC272" s="1182"/>
      <c r="AD272" s="1183">
        <f t="shared" si="88"/>
        <v>1059.6419999999998</v>
      </c>
      <c r="AE272" s="1183"/>
      <c r="AF272" s="1183"/>
      <c r="AG272" s="494"/>
      <c r="AH272" s="167"/>
      <c r="AI272" s="167"/>
      <c r="AJ272" s="376"/>
      <c r="AK272" s="376"/>
    </row>
    <row r="273" spans="3:41" ht="17.25">
      <c r="C273" s="495">
        <v>5</v>
      </c>
      <c r="D273" s="1144" t="s">
        <v>137</v>
      </c>
      <c r="E273" s="1144"/>
      <c r="F273" s="1144"/>
      <c r="G273" s="1144"/>
      <c r="H273" s="1144"/>
      <c r="I273" s="1165">
        <v>33.799999999999997</v>
      </c>
      <c r="J273" s="1165"/>
      <c r="K273" s="1165"/>
      <c r="L273" s="1146">
        <v>1</v>
      </c>
      <c r="M273" s="1146"/>
      <c r="N273" s="1146"/>
      <c r="O273" s="1146">
        <v>2</v>
      </c>
      <c r="P273" s="1146"/>
      <c r="Q273" s="1146"/>
      <c r="R273" s="1160">
        <f t="shared" si="85"/>
        <v>36.799999999999997</v>
      </c>
      <c r="S273" s="1160"/>
      <c r="T273" s="1160"/>
      <c r="U273" s="1148">
        <f t="shared" si="86"/>
        <v>254.59999999999997</v>
      </c>
      <c r="V273" s="1148"/>
      <c r="W273" s="1149"/>
      <c r="X273" s="1150">
        <f t="shared" si="87"/>
        <v>1091.1428571428569</v>
      </c>
      <c r="Y273" s="1151"/>
      <c r="Z273" s="1152"/>
      <c r="AA273" s="1181">
        <v>31.571400000000001</v>
      </c>
      <c r="AB273" s="1182"/>
      <c r="AC273" s="1182"/>
      <c r="AD273" s="1183">
        <f t="shared" si="88"/>
        <v>947.14200000000005</v>
      </c>
      <c r="AE273" s="1183"/>
      <c r="AF273" s="1183"/>
      <c r="AG273" s="494"/>
      <c r="AH273" s="167"/>
      <c r="AI273" s="167"/>
      <c r="AJ273" s="376"/>
      <c r="AK273" s="376"/>
    </row>
    <row r="274" spans="3:41" ht="17.25">
      <c r="C274" s="495">
        <v>6</v>
      </c>
      <c r="D274" s="1144" t="s">
        <v>138</v>
      </c>
      <c r="E274" s="1144"/>
      <c r="F274" s="1144"/>
      <c r="G274" s="1144"/>
      <c r="H274" s="1144"/>
      <c r="I274" s="1165">
        <v>33.799999999999997</v>
      </c>
      <c r="J274" s="1165"/>
      <c r="K274" s="1165"/>
      <c r="L274" s="1146">
        <v>1</v>
      </c>
      <c r="M274" s="1146"/>
      <c r="N274" s="1146"/>
      <c r="O274" s="1146">
        <v>2</v>
      </c>
      <c r="P274" s="1146"/>
      <c r="Q274" s="1146"/>
      <c r="R274" s="1160">
        <f t="shared" si="85"/>
        <v>36.799999999999997</v>
      </c>
      <c r="S274" s="1160"/>
      <c r="T274" s="1160"/>
      <c r="U274" s="1148">
        <f t="shared" si="86"/>
        <v>254.59999999999997</v>
      </c>
      <c r="V274" s="1148"/>
      <c r="W274" s="1149"/>
      <c r="X274" s="1150">
        <f t="shared" si="87"/>
        <v>1091.1428571428569</v>
      </c>
      <c r="Y274" s="1151"/>
      <c r="Z274" s="1152"/>
      <c r="AA274" s="1181">
        <v>33.333300000000001</v>
      </c>
      <c r="AB274" s="1182"/>
      <c r="AC274" s="1182"/>
      <c r="AD274" s="1183">
        <f t="shared" si="88"/>
        <v>999.99900000000002</v>
      </c>
      <c r="AE274" s="1183"/>
      <c r="AF274" s="1183"/>
      <c r="AG274" s="494"/>
      <c r="AH274" s="167"/>
      <c r="AI274" s="167"/>
      <c r="AJ274" s="376"/>
      <c r="AK274" s="376"/>
    </row>
    <row r="275" spans="3:41" ht="17.25">
      <c r="C275" s="495">
        <v>7</v>
      </c>
      <c r="D275" s="1144" t="s">
        <v>139</v>
      </c>
      <c r="E275" s="1144"/>
      <c r="F275" s="1144"/>
      <c r="G275" s="1144"/>
      <c r="H275" s="1144"/>
      <c r="I275" s="1165">
        <v>26</v>
      </c>
      <c r="J275" s="1165"/>
      <c r="K275" s="1165"/>
      <c r="L275" s="1146">
        <v>1</v>
      </c>
      <c r="M275" s="1146"/>
      <c r="N275" s="1146"/>
      <c r="O275" s="1146">
        <v>2</v>
      </c>
      <c r="P275" s="1146"/>
      <c r="Q275" s="1146"/>
      <c r="R275" s="1160">
        <f t="shared" si="85"/>
        <v>29</v>
      </c>
      <c r="S275" s="1160"/>
      <c r="T275" s="1160"/>
      <c r="U275" s="1148">
        <f t="shared" si="86"/>
        <v>200</v>
      </c>
      <c r="V275" s="1148"/>
      <c r="W275" s="1149"/>
      <c r="X275" s="1150">
        <f t="shared" si="87"/>
        <v>857.14285714285722</v>
      </c>
      <c r="Y275" s="1151"/>
      <c r="Z275" s="1152"/>
      <c r="AA275" s="1181">
        <v>25</v>
      </c>
      <c r="AB275" s="1182"/>
      <c r="AC275" s="1182"/>
      <c r="AD275" s="1183">
        <f t="shared" si="88"/>
        <v>750</v>
      </c>
      <c r="AE275" s="1183"/>
      <c r="AF275" s="1183"/>
      <c r="AG275" s="494"/>
      <c r="AH275" s="167"/>
      <c r="AI275" s="167"/>
      <c r="AJ275" s="376"/>
      <c r="AK275" s="376"/>
    </row>
    <row r="276" spans="3:41" ht="17.25">
      <c r="C276" s="492"/>
      <c r="D276" s="409"/>
      <c r="E276" s="410"/>
      <c r="F276" s="411"/>
      <c r="G276" s="333"/>
      <c r="H276" s="333"/>
      <c r="I276" s="411"/>
      <c r="J276" s="333"/>
      <c r="K276" s="405"/>
      <c r="L276" s="405"/>
      <c r="M276" s="333"/>
      <c r="N276" s="333"/>
      <c r="O276" s="333"/>
      <c r="P276" s="333"/>
      <c r="Q276" s="333"/>
      <c r="R276" s="333"/>
      <c r="S276" s="1160" t="s">
        <v>23</v>
      </c>
      <c r="T276" s="1160"/>
      <c r="U276" s="1160"/>
      <c r="V276" s="333"/>
      <c r="W276" s="333"/>
      <c r="X276" s="1161">
        <f>SUM(X269:Z275)</f>
        <v>7862.9999999999991</v>
      </c>
      <c r="Y276" s="1162"/>
      <c r="Z276" s="1163"/>
      <c r="AA276" s="496"/>
      <c r="AB276" s="496"/>
      <c r="AC276" s="496"/>
      <c r="AD276" s="1184">
        <f>SUM(AD269:AF275)</f>
        <v>6928.2089999999989</v>
      </c>
      <c r="AE276" s="1184"/>
      <c r="AF276" s="1184"/>
      <c r="AG276" s="494"/>
      <c r="AH276" s="167"/>
      <c r="AI276" s="167"/>
      <c r="AJ276" s="376"/>
      <c r="AK276" s="376"/>
    </row>
    <row r="277" spans="3:41" ht="15.75" thickBot="1">
      <c r="C277" s="492"/>
      <c r="D277" s="333"/>
      <c r="E277" s="410"/>
      <c r="F277" s="411"/>
      <c r="G277" s="333"/>
      <c r="H277" s="333"/>
      <c r="I277" s="411"/>
      <c r="J277" s="333"/>
      <c r="K277" s="405"/>
      <c r="L277" s="405"/>
      <c r="M277" s="333"/>
      <c r="N277" s="333"/>
      <c r="O277" s="333"/>
      <c r="P277" s="333"/>
      <c r="Q277" s="333"/>
      <c r="R277" s="333"/>
      <c r="S277" s="333"/>
      <c r="T277" s="333"/>
      <c r="U277" s="333"/>
      <c r="V277" s="333"/>
      <c r="W277" s="333"/>
      <c r="X277" s="333"/>
      <c r="Y277" s="333"/>
      <c r="Z277" s="333"/>
      <c r="AA277" s="167"/>
      <c r="AB277" s="167"/>
      <c r="AC277" s="167"/>
      <c r="AD277" s="167"/>
      <c r="AE277" s="376"/>
      <c r="AF277" s="376"/>
      <c r="AG277" s="494"/>
      <c r="AH277" s="167"/>
      <c r="AI277" s="167"/>
      <c r="AJ277" s="376"/>
      <c r="AK277" s="376"/>
    </row>
    <row r="278" spans="3:41" ht="15.75" thickBot="1">
      <c r="C278" s="492"/>
      <c r="D278" s="333"/>
      <c r="E278" s="410"/>
      <c r="F278" s="411"/>
      <c r="G278" s="333"/>
      <c r="H278" s="333"/>
      <c r="I278" s="411"/>
      <c r="J278" s="333"/>
      <c r="K278" s="405"/>
      <c r="L278" s="1185" t="s">
        <v>140</v>
      </c>
      <c r="M278" s="1185"/>
      <c r="N278" s="1185"/>
      <c r="O278" s="333"/>
      <c r="P278" s="333"/>
      <c r="Q278" s="333"/>
      <c r="R278" s="333"/>
      <c r="S278" s="333"/>
      <c r="T278" s="499" t="s">
        <v>141</v>
      </c>
      <c r="U278" s="333"/>
      <c r="V278" s="333"/>
      <c r="W278" s="333"/>
      <c r="X278" s="333"/>
      <c r="Y278" s="333"/>
      <c r="Z278" s="333"/>
      <c r="AA278" s="167"/>
      <c r="AB278" s="167"/>
      <c r="AC278" s="167"/>
      <c r="AD278" s="1156">
        <f>+X276-AD276+0.01</f>
        <v>934.80100000000016</v>
      </c>
      <c r="AE278" s="1157"/>
      <c r="AF278" s="1158"/>
      <c r="AG278" s="494"/>
      <c r="AH278" s="167"/>
      <c r="AI278" s="167"/>
      <c r="AJ278" s="376"/>
      <c r="AK278" s="376"/>
    </row>
    <row r="279" spans="3:41" ht="15.75" thickBot="1">
      <c r="C279" s="500"/>
      <c r="D279" s="501"/>
      <c r="E279" s="502"/>
      <c r="F279" s="503"/>
      <c r="G279" s="501"/>
      <c r="H279" s="501"/>
      <c r="I279" s="503"/>
      <c r="J279" s="501"/>
      <c r="K279" s="504"/>
      <c r="L279" s="504"/>
      <c r="M279" s="501"/>
      <c r="N279" s="501"/>
      <c r="O279" s="501"/>
      <c r="P279" s="501"/>
      <c r="Q279" s="501"/>
      <c r="R279" s="501"/>
      <c r="S279" s="501"/>
      <c r="T279" s="501"/>
      <c r="U279" s="501"/>
      <c r="V279" s="501"/>
      <c r="W279" s="501"/>
      <c r="X279" s="501"/>
      <c r="Y279" s="501"/>
      <c r="Z279" s="501"/>
      <c r="AA279" s="505"/>
      <c r="AB279" s="505"/>
      <c r="AC279" s="505"/>
      <c r="AD279" s="506"/>
      <c r="AE279" s="506"/>
      <c r="AF279" s="506"/>
      <c r="AG279" s="507"/>
      <c r="AH279" s="167"/>
      <c r="AI279" s="167"/>
      <c r="AJ279" s="376"/>
      <c r="AK279" s="376"/>
    </row>
    <row r="280" spans="3:41">
      <c r="AG280" s="267"/>
      <c r="AH280" s="267"/>
      <c r="AI280" s="267"/>
      <c r="AJ280" s="267"/>
      <c r="AK280" s="267"/>
      <c r="AL280" s="267"/>
      <c r="AM280" s="267"/>
      <c r="AN280" s="267"/>
      <c r="AO280" s="267"/>
    </row>
    <row r="281" spans="3:41">
      <c r="AG281" s="267"/>
      <c r="AH281" s="267"/>
      <c r="AI281" s="267"/>
      <c r="AJ281" s="267"/>
      <c r="AK281" s="267"/>
      <c r="AL281" s="267"/>
      <c r="AM281" s="267"/>
      <c r="AN281" s="267"/>
      <c r="AO281" s="267"/>
    </row>
    <row r="282" spans="3:41">
      <c r="AG282" s="267"/>
      <c r="AH282" s="267"/>
      <c r="AI282" s="267"/>
      <c r="AJ282" s="267"/>
      <c r="AK282" s="267"/>
      <c r="AL282" s="267"/>
      <c r="AM282" s="267"/>
      <c r="AN282" s="267"/>
      <c r="AO282" s="267"/>
    </row>
  </sheetData>
  <mergeCells count="864">
    <mergeCell ref="AA275:AC275"/>
    <mergeCell ref="AD275:AF275"/>
    <mergeCell ref="S276:U276"/>
    <mergeCell ref="X276:Z276"/>
    <mergeCell ref="AD276:AF276"/>
    <mergeCell ref="L278:N278"/>
    <mergeCell ref="AD278:AF278"/>
    <mergeCell ref="X274:Z274"/>
    <mergeCell ref="AA274:AC274"/>
    <mergeCell ref="AD274:AF274"/>
    <mergeCell ref="D275:H275"/>
    <mergeCell ref="I275:K275"/>
    <mergeCell ref="L275:N275"/>
    <mergeCell ref="O275:Q275"/>
    <mergeCell ref="R275:T275"/>
    <mergeCell ref="U275:W275"/>
    <mergeCell ref="X275:Z275"/>
    <mergeCell ref="D274:H274"/>
    <mergeCell ref="I274:K274"/>
    <mergeCell ref="L274:N274"/>
    <mergeCell ref="O274:Q274"/>
    <mergeCell ref="R274:T274"/>
    <mergeCell ref="U274:W274"/>
    <mergeCell ref="D273:H273"/>
    <mergeCell ref="I273:K273"/>
    <mergeCell ref="L273:N273"/>
    <mergeCell ref="O273:Q273"/>
    <mergeCell ref="R273:T273"/>
    <mergeCell ref="U273:W273"/>
    <mergeCell ref="X273:Z273"/>
    <mergeCell ref="AA273:AC273"/>
    <mergeCell ref="AD273:AF273"/>
    <mergeCell ref="D272:H272"/>
    <mergeCell ref="I272:K272"/>
    <mergeCell ref="L272:N272"/>
    <mergeCell ref="O272:Q272"/>
    <mergeCell ref="R272:T272"/>
    <mergeCell ref="U272:W272"/>
    <mergeCell ref="X272:Z272"/>
    <mergeCell ref="AA272:AC272"/>
    <mergeCell ref="AD272:AF272"/>
    <mergeCell ref="D271:H271"/>
    <mergeCell ref="I271:K271"/>
    <mergeCell ref="L271:N271"/>
    <mergeCell ref="O271:Q271"/>
    <mergeCell ref="R271:T271"/>
    <mergeCell ref="U271:W271"/>
    <mergeCell ref="X271:Z271"/>
    <mergeCell ref="AA271:AC271"/>
    <mergeCell ref="AD271:AF271"/>
    <mergeCell ref="AI269:AM269"/>
    <mergeCell ref="D270:H270"/>
    <mergeCell ref="I270:K270"/>
    <mergeCell ref="L270:N270"/>
    <mergeCell ref="O270:Q270"/>
    <mergeCell ref="R270:T270"/>
    <mergeCell ref="U270:W270"/>
    <mergeCell ref="X270:Z270"/>
    <mergeCell ref="AA270:AC270"/>
    <mergeCell ref="AD270:AF270"/>
    <mergeCell ref="D269:H269"/>
    <mergeCell ref="I269:K269"/>
    <mergeCell ref="L269:N269"/>
    <mergeCell ref="O269:Q269"/>
    <mergeCell ref="R269:T269"/>
    <mergeCell ref="U269:W269"/>
    <mergeCell ref="X269:Z269"/>
    <mergeCell ref="AA269:AC269"/>
    <mergeCell ref="AD269:AF269"/>
    <mergeCell ref="O261:P261"/>
    <mergeCell ref="Q261:Z261"/>
    <mergeCell ref="O262:P262"/>
    <mergeCell ref="AA267:AC267"/>
    <mergeCell ref="AD267:AF267"/>
    <mergeCell ref="D268:H268"/>
    <mergeCell ref="I268:K268"/>
    <mergeCell ref="L268:N268"/>
    <mergeCell ref="O268:Q268"/>
    <mergeCell ref="R268:T268"/>
    <mergeCell ref="U268:W268"/>
    <mergeCell ref="X268:Z268"/>
    <mergeCell ref="AA268:AC268"/>
    <mergeCell ref="AD268:AF268"/>
    <mergeCell ref="O258:P258"/>
    <mergeCell ref="Q258:Z258"/>
    <mergeCell ref="AA258:AB258"/>
    <mergeCell ref="O259:P259"/>
    <mergeCell ref="Q259:Z259"/>
    <mergeCell ref="O260:P260"/>
    <mergeCell ref="Q260:Z260"/>
    <mergeCell ref="O253:P253"/>
    <mergeCell ref="Q253:Z253"/>
    <mergeCell ref="AF253:AJ253"/>
    <mergeCell ref="O254:P254"/>
    <mergeCell ref="O256:Z256"/>
    <mergeCell ref="O257:P257"/>
    <mergeCell ref="Q257:Z257"/>
    <mergeCell ref="O250:P250"/>
    <mergeCell ref="Q250:Z250"/>
    <mergeCell ref="AA250:AB250"/>
    <mergeCell ref="O251:P251"/>
    <mergeCell ref="Q251:Z251"/>
    <mergeCell ref="O252:P252"/>
    <mergeCell ref="Q252:Z252"/>
    <mergeCell ref="D242:F242"/>
    <mergeCell ref="D243:F243"/>
    <mergeCell ref="M243:O243"/>
    <mergeCell ref="AD243:AF243"/>
    <mergeCell ref="O248:Z248"/>
    <mergeCell ref="O249:P249"/>
    <mergeCell ref="Q249:Z249"/>
    <mergeCell ref="X240:Z240"/>
    <mergeCell ref="AA240:AC240"/>
    <mergeCell ref="AD240:AF240"/>
    <mergeCell ref="S241:U241"/>
    <mergeCell ref="X241:Z241"/>
    <mergeCell ref="AD241:AF241"/>
    <mergeCell ref="D240:H240"/>
    <mergeCell ref="I240:K240"/>
    <mergeCell ref="L240:N240"/>
    <mergeCell ref="O240:Q240"/>
    <mergeCell ref="R240:T240"/>
    <mergeCell ref="U240:W240"/>
    <mergeCell ref="D239:H239"/>
    <mergeCell ref="I239:K239"/>
    <mergeCell ref="L239:N239"/>
    <mergeCell ref="O239:Q239"/>
    <mergeCell ref="R239:T239"/>
    <mergeCell ref="U239:W239"/>
    <mergeCell ref="X239:Z239"/>
    <mergeCell ref="AA239:AC239"/>
    <mergeCell ref="AD239:AF239"/>
    <mergeCell ref="D238:H238"/>
    <mergeCell ref="I238:K238"/>
    <mergeCell ref="L238:N238"/>
    <mergeCell ref="O238:Q238"/>
    <mergeCell ref="R238:T238"/>
    <mergeCell ref="U238:W238"/>
    <mergeCell ref="X238:Z238"/>
    <mergeCell ref="AA238:AC238"/>
    <mergeCell ref="AD238:AF238"/>
    <mergeCell ref="X236:Z236"/>
    <mergeCell ref="AA236:AC236"/>
    <mergeCell ref="AD236:AF236"/>
    <mergeCell ref="D237:H237"/>
    <mergeCell ref="I237:K237"/>
    <mergeCell ref="L237:N237"/>
    <mergeCell ref="O237:Q237"/>
    <mergeCell ref="R237:T237"/>
    <mergeCell ref="U237:W237"/>
    <mergeCell ref="X237:Z237"/>
    <mergeCell ref="D236:H236"/>
    <mergeCell ref="I236:K236"/>
    <mergeCell ref="L236:N236"/>
    <mergeCell ref="O236:Q236"/>
    <mergeCell ref="R236:T236"/>
    <mergeCell ref="U236:W236"/>
    <mergeCell ref="AA237:AC237"/>
    <mergeCell ref="AD237:AF237"/>
    <mergeCell ref="D235:H235"/>
    <mergeCell ref="I235:K235"/>
    <mergeCell ref="L235:N235"/>
    <mergeCell ref="O235:Q235"/>
    <mergeCell ref="R235:T235"/>
    <mergeCell ref="U235:W235"/>
    <mergeCell ref="X235:Z235"/>
    <mergeCell ref="AA235:AC235"/>
    <mergeCell ref="AD235:AF235"/>
    <mergeCell ref="D234:H234"/>
    <mergeCell ref="I234:K234"/>
    <mergeCell ref="L234:N234"/>
    <mergeCell ref="O234:Q234"/>
    <mergeCell ref="R234:T234"/>
    <mergeCell ref="U234:W234"/>
    <mergeCell ref="X234:Z234"/>
    <mergeCell ref="AA234:AC234"/>
    <mergeCell ref="AD234:AF234"/>
    <mergeCell ref="AI232:AK232"/>
    <mergeCell ref="D233:H233"/>
    <mergeCell ref="I233:K233"/>
    <mergeCell ref="L233:N233"/>
    <mergeCell ref="O233:Q233"/>
    <mergeCell ref="R233:T233"/>
    <mergeCell ref="U233:W233"/>
    <mergeCell ref="X233:Z233"/>
    <mergeCell ref="AA233:AC233"/>
    <mergeCell ref="AD233:AF233"/>
    <mergeCell ref="AI233:AK233"/>
    <mergeCell ref="D232:H232"/>
    <mergeCell ref="I232:K232"/>
    <mergeCell ref="L232:N232"/>
    <mergeCell ref="O232:Q232"/>
    <mergeCell ref="R232:T232"/>
    <mergeCell ref="U232:W232"/>
    <mergeCell ref="X232:Z232"/>
    <mergeCell ref="AA232:AC232"/>
    <mergeCell ref="AD232:AF232"/>
    <mergeCell ref="Q225:R225"/>
    <mergeCell ref="AA230:AC230"/>
    <mergeCell ref="AD230:AF230"/>
    <mergeCell ref="D231:H231"/>
    <mergeCell ref="I231:K231"/>
    <mergeCell ref="L231:N231"/>
    <mergeCell ref="O231:Q231"/>
    <mergeCell ref="R231:T231"/>
    <mergeCell ref="U231:W231"/>
    <mergeCell ref="X231:Z231"/>
    <mergeCell ref="C225:D225"/>
    <mergeCell ref="E225:F225"/>
    <mergeCell ref="G225:H225"/>
    <mergeCell ref="I225:J225"/>
    <mergeCell ref="K225:L225"/>
    <mergeCell ref="N225:O225"/>
    <mergeCell ref="AA231:AC231"/>
    <mergeCell ref="AD231:AF231"/>
    <mergeCell ref="AF223:AH223"/>
    <mergeCell ref="C224:D224"/>
    <mergeCell ref="E224:F224"/>
    <mergeCell ref="G224:H224"/>
    <mergeCell ref="I224:J224"/>
    <mergeCell ref="K224:L224"/>
    <mergeCell ref="N224:O224"/>
    <mergeCell ref="Q224:R224"/>
    <mergeCell ref="Q222:R222"/>
    <mergeCell ref="C223:D223"/>
    <mergeCell ref="E223:F223"/>
    <mergeCell ref="G223:H223"/>
    <mergeCell ref="I223:J223"/>
    <mergeCell ref="K223:L223"/>
    <mergeCell ref="N223:O223"/>
    <mergeCell ref="Q223:R223"/>
    <mergeCell ref="C222:D222"/>
    <mergeCell ref="E222:F222"/>
    <mergeCell ref="G222:H222"/>
    <mergeCell ref="I222:J222"/>
    <mergeCell ref="K222:L222"/>
    <mergeCell ref="N222:O222"/>
    <mergeCell ref="Z220:AC220"/>
    <mergeCell ref="C221:D221"/>
    <mergeCell ref="E221:F221"/>
    <mergeCell ref="G221:H221"/>
    <mergeCell ref="I221:J221"/>
    <mergeCell ref="K221:L221"/>
    <mergeCell ref="N221:O221"/>
    <mergeCell ref="Q221:R221"/>
    <mergeCell ref="C220:D220"/>
    <mergeCell ref="E220:F220"/>
    <mergeCell ref="I220:J220"/>
    <mergeCell ref="K220:L220"/>
    <mergeCell ref="N220:O220"/>
    <mergeCell ref="Q220:R220"/>
    <mergeCell ref="Q218:R218"/>
    <mergeCell ref="C219:D219"/>
    <mergeCell ref="E219:F219"/>
    <mergeCell ref="G219:H219"/>
    <mergeCell ref="I219:J219"/>
    <mergeCell ref="K219:L219"/>
    <mergeCell ref="N219:O219"/>
    <mergeCell ref="Q219:R219"/>
    <mergeCell ref="C218:D218"/>
    <mergeCell ref="E218:F218"/>
    <mergeCell ref="G218:H218"/>
    <mergeCell ref="I218:J218"/>
    <mergeCell ref="K218:L218"/>
    <mergeCell ref="N218:O218"/>
    <mergeCell ref="Q216:R216"/>
    <mergeCell ref="AB216:AK216"/>
    <mergeCell ref="C217:D217"/>
    <mergeCell ref="E217:F217"/>
    <mergeCell ref="G217:H217"/>
    <mergeCell ref="I217:J217"/>
    <mergeCell ref="K217:L217"/>
    <mergeCell ref="N217:O217"/>
    <mergeCell ref="Q217:R217"/>
    <mergeCell ref="S217:T217"/>
    <mergeCell ref="C216:D216"/>
    <mergeCell ref="E216:F216"/>
    <mergeCell ref="G216:H216"/>
    <mergeCell ref="I216:J216"/>
    <mergeCell ref="K216:L216"/>
    <mergeCell ref="N216:O216"/>
    <mergeCell ref="S214:T214"/>
    <mergeCell ref="Z214:AC214"/>
    <mergeCell ref="C215:D215"/>
    <mergeCell ref="E215:F215"/>
    <mergeCell ref="I215:J215"/>
    <mergeCell ref="K215:L215"/>
    <mergeCell ref="N215:O215"/>
    <mergeCell ref="Q215:R215"/>
    <mergeCell ref="C214:D214"/>
    <mergeCell ref="E214:F214"/>
    <mergeCell ref="I214:J214"/>
    <mergeCell ref="K214:L214"/>
    <mergeCell ref="N214:O214"/>
    <mergeCell ref="Q214:R214"/>
    <mergeCell ref="C213:D213"/>
    <mergeCell ref="E213:F213"/>
    <mergeCell ref="I213:J213"/>
    <mergeCell ref="K213:L213"/>
    <mergeCell ref="N213:O213"/>
    <mergeCell ref="Q213:R213"/>
    <mergeCell ref="C212:D212"/>
    <mergeCell ref="E212:F212"/>
    <mergeCell ref="I212:J212"/>
    <mergeCell ref="K212:L212"/>
    <mergeCell ref="N212:O212"/>
    <mergeCell ref="Q212:R212"/>
    <mergeCell ref="C211:D211"/>
    <mergeCell ref="E211:F211"/>
    <mergeCell ref="I211:J211"/>
    <mergeCell ref="K211:L211"/>
    <mergeCell ref="N211:O211"/>
    <mergeCell ref="Q211:R211"/>
    <mergeCell ref="Q208:R208"/>
    <mergeCell ref="C209:D209"/>
    <mergeCell ref="E209:F209"/>
    <mergeCell ref="I209:J209"/>
    <mergeCell ref="K209:L209"/>
    <mergeCell ref="N209:O209"/>
    <mergeCell ref="Q209:R209"/>
    <mergeCell ref="O202:P202"/>
    <mergeCell ref="C205:D207"/>
    <mergeCell ref="E205:F207"/>
    <mergeCell ref="G205:H209"/>
    <mergeCell ref="I205:J207"/>
    <mergeCell ref="K205:L207"/>
    <mergeCell ref="N205:O207"/>
    <mergeCell ref="AA198:AB198"/>
    <mergeCell ref="O199:P199"/>
    <mergeCell ref="Q199:Z199"/>
    <mergeCell ref="O200:P200"/>
    <mergeCell ref="Q200:Z200"/>
    <mergeCell ref="O201:P201"/>
    <mergeCell ref="Q201:Z201"/>
    <mergeCell ref="Q205:R207"/>
    <mergeCell ref="U205:U210"/>
    <mergeCell ref="V205:V210"/>
    <mergeCell ref="W205:W210"/>
    <mergeCell ref="X205:X210"/>
    <mergeCell ref="C208:D208"/>
    <mergeCell ref="E208:F208"/>
    <mergeCell ref="I208:J208"/>
    <mergeCell ref="K208:L208"/>
    <mergeCell ref="N208:O208"/>
    <mergeCell ref="O194:P194"/>
    <mergeCell ref="O196:Z196"/>
    <mergeCell ref="O197:P197"/>
    <mergeCell ref="Q197:Z197"/>
    <mergeCell ref="O198:P198"/>
    <mergeCell ref="Q198:Z198"/>
    <mergeCell ref="AA190:AB190"/>
    <mergeCell ref="O191:P191"/>
    <mergeCell ref="Q191:Z191"/>
    <mergeCell ref="O192:P192"/>
    <mergeCell ref="Q192:Z192"/>
    <mergeCell ref="O193:P193"/>
    <mergeCell ref="Q193:Z193"/>
    <mergeCell ref="O183:P183"/>
    <mergeCell ref="O188:Z188"/>
    <mergeCell ref="O189:P189"/>
    <mergeCell ref="Q189:Z189"/>
    <mergeCell ref="O190:P190"/>
    <mergeCell ref="Q190:Z190"/>
    <mergeCell ref="O180:P180"/>
    <mergeCell ref="Q180:Z180"/>
    <mergeCell ref="O181:P181"/>
    <mergeCell ref="Q181:Z181"/>
    <mergeCell ref="O182:P182"/>
    <mergeCell ref="Q182:Z182"/>
    <mergeCell ref="O177:Z177"/>
    <mergeCell ref="O178:P178"/>
    <mergeCell ref="Q178:Z178"/>
    <mergeCell ref="O179:P179"/>
    <mergeCell ref="Q179:Z179"/>
    <mergeCell ref="AA179:AB179"/>
    <mergeCell ref="O174:P174"/>
    <mergeCell ref="Q174:Z174"/>
    <mergeCell ref="AG174:AH174"/>
    <mergeCell ref="AJ174:AK174"/>
    <mergeCell ref="O175:P175"/>
    <mergeCell ref="AK175:AL175"/>
    <mergeCell ref="O172:P172"/>
    <mergeCell ref="Q172:Z172"/>
    <mergeCell ref="AG172:AH172"/>
    <mergeCell ref="AJ172:AK172"/>
    <mergeCell ref="O173:P173"/>
    <mergeCell ref="Q173:Z173"/>
    <mergeCell ref="AG173:AH173"/>
    <mergeCell ref="AJ173:AK173"/>
    <mergeCell ref="AG170:AH170"/>
    <mergeCell ref="AJ170:AK170"/>
    <mergeCell ref="O171:P171"/>
    <mergeCell ref="Q171:Z171"/>
    <mergeCell ref="AA171:AB171"/>
    <mergeCell ref="AG171:AH171"/>
    <mergeCell ref="AJ171:AK171"/>
    <mergeCell ref="O162:P162"/>
    <mergeCell ref="Q162:Z162"/>
    <mergeCell ref="O163:P163"/>
    <mergeCell ref="H167:N167"/>
    <mergeCell ref="O169:Z169"/>
    <mergeCell ref="O170:P170"/>
    <mergeCell ref="Q170:Z170"/>
    <mergeCell ref="O159:P159"/>
    <mergeCell ref="Q159:Z159"/>
    <mergeCell ref="AA159:AB159"/>
    <mergeCell ref="O160:P160"/>
    <mergeCell ref="Q160:Z160"/>
    <mergeCell ref="O161:P161"/>
    <mergeCell ref="Q161:Z161"/>
    <mergeCell ref="O154:P154"/>
    <mergeCell ref="Q154:Z154"/>
    <mergeCell ref="AF154:AJ154"/>
    <mergeCell ref="O155:P155"/>
    <mergeCell ref="O157:Z157"/>
    <mergeCell ref="O158:P158"/>
    <mergeCell ref="Q158:Z158"/>
    <mergeCell ref="O151:P151"/>
    <mergeCell ref="Q151:Z151"/>
    <mergeCell ref="AA151:AB151"/>
    <mergeCell ref="O152:P152"/>
    <mergeCell ref="Q152:Z152"/>
    <mergeCell ref="O153:P153"/>
    <mergeCell ref="Q153:Z153"/>
    <mergeCell ref="O144:P144"/>
    <mergeCell ref="Q144:Z144"/>
    <mergeCell ref="O145:P145"/>
    <mergeCell ref="H147:N147"/>
    <mergeCell ref="O149:Z149"/>
    <mergeCell ref="O150:P150"/>
    <mergeCell ref="Q150:Z150"/>
    <mergeCell ref="O141:P141"/>
    <mergeCell ref="Q141:Z141"/>
    <mergeCell ref="AA141:AB141"/>
    <mergeCell ref="O142:P142"/>
    <mergeCell ref="Q142:Z142"/>
    <mergeCell ref="O143:P143"/>
    <mergeCell ref="Q143:Z143"/>
    <mergeCell ref="O136:P136"/>
    <mergeCell ref="Q136:Z136"/>
    <mergeCell ref="O137:P137"/>
    <mergeCell ref="O139:Z139"/>
    <mergeCell ref="O140:P140"/>
    <mergeCell ref="Q140:Z140"/>
    <mergeCell ref="O133:P133"/>
    <mergeCell ref="Q133:Z133"/>
    <mergeCell ref="AA133:AB133"/>
    <mergeCell ref="O134:P134"/>
    <mergeCell ref="Q134:Z134"/>
    <mergeCell ref="O135:P135"/>
    <mergeCell ref="Q135:Z135"/>
    <mergeCell ref="O125:P125"/>
    <mergeCell ref="Q125:Z125"/>
    <mergeCell ref="O126:P126"/>
    <mergeCell ref="H129:N129"/>
    <mergeCell ref="O131:Z131"/>
    <mergeCell ref="O132:P132"/>
    <mergeCell ref="Q132:Z132"/>
    <mergeCell ref="O122:P122"/>
    <mergeCell ref="Q122:Z122"/>
    <mergeCell ref="AA122:AB122"/>
    <mergeCell ref="O123:P123"/>
    <mergeCell ref="Q123:Z123"/>
    <mergeCell ref="O124:P124"/>
    <mergeCell ref="Q124:Z124"/>
    <mergeCell ref="O118:P118"/>
    <mergeCell ref="AE118:AG118"/>
    <mergeCell ref="AI118:AK118"/>
    <mergeCell ref="O120:Z120"/>
    <mergeCell ref="O121:P121"/>
    <mergeCell ref="Q121:Z121"/>
    <mergeCell ref="O116:P116"/>
    <mergeCell ref="Q116:Z116"/>
    <mergeCell ref="AE116:AG116"/>
    <mergeCell ref="AI116:AK116"/>
    <mergeCell ref="O117:P117"/>
    <mergeCell ref="Q117:Z117"/>
    <mergeCell ref="AE117:AG117"/>
    <mergeCell ref="AI117:AK117"/>
    <mergeCell ref="O115:P115"/>
    <mergeCell ref="Q115:Z115"/>
    <mergeCell ref="AE115:AG115"/>
    <mergeCell ref="AI115:AK115"/>
    <mergeCell ref="AL115:AN115"/>
    <mergeCell ref="AO115:AQ115"/>
    <mergeCell ref="AI113:AK113"/>
    <mergeCell ref="AL113:AN113"/>
    <mergeCell ref="AO113:AQ113"/>
    <mergeCell ref="O114:P114"/>
    <mergeCell ref="Q114:Z114"/>
    <mergeCell ref="AA114:AB114"/>
    <mergeCell ref="AE114:AG114"/>
    <mergeCell ref="AI114:AK114"/>
    <mergeCell ref="AL114:AN114"/>
    <mergeCell ref="AO114:AQ114"/>
    <mergeCell ref="O108:P108"/>
    <mergeCell ref="H110:N110"/>
    <mergeCell ref="O112:Z112"/>
    <mergeCell ref="O113:P113"/>
    <mergeCell ref="Q113:Z113"/>
    <mergeCell ref="AE113:AG113"/>
    <mergeCell ref="AA104:AB104"/>
    <mergeCell ref="O105:P105"/>
    <mergeCell ref="Q105:Z105"/>
    <mergeCell ref="O106:P106"/>
    <mergeCell ref="Q106:Z106"/>
    <mergeCell ref="O107:P107"/>
    <mergeCell ref="Q107:Z107"/>
    <mergeCell ref="O100:P100"/>
    <mergeCell ref="O102:Z102"/>
    <mergeCell ref="O103:P103"/>
    <mergeCell ref="Q103:Z103"/>
    <mergeCell ref="O104:P104"/>
    <mergeCell ref="Q104:Z104"/>
    <mergeCell ref="AA96:AB96"/>
    <mergeCell ref="O97:P97"/>
    <mergeCell ref="Q97:Z97"/>
    <mergeCell ref="O98:P98"/>
    <mergeCell ref="Q98:Z98"/>
    <mergeCell ref="O99:P99"/>
    <mergeCell ref="Q99:Z99"/>
    <mergeCell ref="H92:N92"/>
    <mergeCell ref="O94:Z94"/>
    <mergeCell ref="O95:P95"/>
    <mergeCell ref="Q95:Z95"/>
    <mergeCell ref="O96:P96"/>
    <mergeCell ref="Q96:Z96"/>
    <mergeCell ref="Q89:R89"/>
    <mergeCell ref="C90:D90"/>
    <mergeCell ref="E90:F90"/>
    <mergeCell ref="G90:H90"/>
    <mergeCell ref="I90:J90"/>
    <mergeCell ref="K90:L90"/>
    <mergeCell ref="N90:O90"/>
    <mergeCell ref="Q90:R90"/>
    <mergeCell ref="C89:D89"/>
    <mergeCell ref="E89:F89"/>
    <mergeCell ref="G89:H89"/>
    <mergeCell ref="I89:J89"/>
    <mergeCell ref="K89:L89"/>
    <mergeCell ref="N89:O89"/>
    <mergeCell ref="Q87:R87"/>
    <mergeCell ref="C88:D88"/>
    <mergeCell ref="E88:F88"/>
    <mergeCell ref="G88:H88"/>
    <mergeCell ref="I88:J88"/>
    <mergeCell ref="K88:L88"/>
    <mergeCell ref="N88:O88"/>
    <mergeCell ref="Q88:R88"/>
    <mergeCell ref="C87:D87"/>
    <mergeCell ref="E87:F87"/>
    <mergeCell ref="G87:H87"/>
    <mergeCell ref="I87:J87"/>
    <mergeCell ref="K87:L87"/>
    <mergeCell ref="N87:O87"/>
    <mergeCell ref="C86:D86"/>
    <mergeCell ref="E86:F86"/>
    <mergeCell ref="I86:J86"/>
    <mergeCell ref="K86:L86"/>
    <mergeCell ref="N86:O86"/>
    <mergeCell ref="Q86:R86"/>
    <mergeCell ref="Q84:R84"/>
    <mergeCell ref="C85:D85"/>
    <mergeCell ref="E85:F85"/>
    <mergeCell ref="G85:H85"/>
    <mergeCell ref="I85:J85"/>
    <mergeCell ref="K85:L85"/>
    <mergeCell ref="N85:O85"/>
    <mergeCell ref="Q85:R85"/>
    <mergeCell ref="C84:D84"/>
    <mergeCell ref="E84:F84"/>
    <mergeCell ref="G84:H84"/>
    <mergeCell ref="I84:J84"/>
    <mergeCell ref="K84:L84"/>
    <mergeCell ref="N84:O84"/>
    <mergeCell ref="Q82:R82"/>
    <mergeCell ref="Y82:Z82"/>
    <mergeCell ref="C83:D83"/>
    <mergeCell ref="E83:F83"/>
    <mergeCell ref="G83:H83"/>
    <mergeCell ref="I83:J83"/>
    <mergeCell ref="K83:L83"/>
    <mergeCell ref="N83:O83"/>
    <mergeCell ref="Q83:R83"/>
    <mergeCell ref="C82:D82"/>
    <mergeCell ref="E82:F82"/>
    <mergeCell ref="G82:H82"/>
    <mergeCell ref="I82:J82"/>
    <mergeCell ref="K82:L82"/>
    <mergeCell ref="N82:O82"/>
    <mergeCell ref="Q80:R80"/>
    <mergeCell ref="Y80:Z80"/>
    <mergeCell ref="C81:D81"/>
    <mergeCell ref="E81:F81"/>
    <mergeCell ref="G81:H81"/>
    <mergeCell ref="I81:J81"/>
    <mergeCell ref="K81:L81"/>
    <mergeCell ref="N81:O81"/>
    <mergeCell ref="Q81:R81"/>
    <mergeCell ref="Y81:Z81"/>
    <mergeCell ref="C80:D80"/>
    <mergeCell ref="E80:F80"/>
    <mergeCell ref="G80:H80"/>
    <mergeCell ref="I80:J80"/>
    <mergeCell ref="K80:L80"/>
    <mergeCell ref="N80:O80"/>
    <mergeCell ref="C79:D79"/>
    <mergeCell ref="E79:F79"/>
    <mergeCell ref="G79:H79"/>
    <mergeCell ref="I79:J79"/>
    <mergeCell ref="K79:L79"/>
    <mergeCell ref="N79:O79"/>
    <mergeCell ref="Q79:R79"/>
    <mergeCell ref="Q77:R77"/>
    <mergeCell ref="C78:D78"/>
    <mergeCell ref="E78:F78"/>
    <mergeCell ref="G78:H78"/>
    <mergeCell ref="I78:J78"/>
    <mergeCell ref="K78:L78"/>
    <mergeCell ref="N78:O78"/>
    <mergeCell ref="Q78:R78"/>
    <mergeCell ref="C77:D77"/>
    <mergeCell ref="E77:F77"/>
    <mergeCell ref="G77:H77"/>
    <mergeCell ref="I77:J77"/>
    <mergeCell ref="K77:L77"/>
    <mergeCell ref="N77:O77"/>
    <mergeCell ref="Y73:Z73"/>
    <mergeCell ref="C74:D74"/>
    <mergeCell ref="E74:F74"/>
    <mergeCell ref="I74:J74"/>
    <mergeCell ref="K74:L74"/>
    <mergeCell ref="N74:O74"/>
    <mergeCell ref="Q74:R74"/>
    <mergeCell ref="Y74:Z74"/>
    <mergeCell ref="S78:T78"/>
    <mergeCell ref="S75:T75"/>
    <mergeCell ref="Y75:Z75"/>
    <mergeCell ref="C76:D76"/>
    <mergeCell ref="E76:F76"/>
    <mergeCell ref="I76:J76"/>
    <mergeCell ref="K76:L76"/>
    <mergeCell ref="N76:O76"/>
    <mergeCell ref="Q76:R76"/>
    <mergeCell ref="C75:D75"/>
    <mergeCell ref="E75:F75"/>
    <mergeCell ref="I75:J75"/>
    <mergeCell ref="K75:L75"/>
    <mergeCell ref="N75:O75"/>
    <mergeCell ref="Q75:R75"/>
    <mergeCell ref="C73:D73"/>
    <mergeCell ref="E73:F73"/>
    <mergeCell ref="I73:J73"/>
    <mergeCell ref="K73:L73"/>
    <mergeCell ref="N73:O73"/>
    <mergeCell ref="Q73:R73"/>
    <mergeCell ref="AR62:AS62"/>
    <mergeCell ref="AW62:AX62"/>
    <mergeCell ref="AK63:AL63"/>
    <mergeCell ref="C67:D69"/>
    <mergeCell ref="E67:F69"/>
    <mergeCell ref="G67:H71"/>
    <mergeCell ref="I67:J69"/>
    <mergeCell ref="K67:L69"/>
    <mergeCell ref="N67:O69"/>
    <mergeCell ref="Q67:R69"/>
    <mergeCell ref="C71:D71"/>
    <mergeCell ref="E71:F71"/>
    <mergeCell ref="I71:J71"/>
    <mergeCell ref="K71:L71"/>
    <mergeCell ref="N71:O71"/>
    <mergeCell ref="Q71:R71"/>
    <mergeCell ref="U67:U72"/>
    <mergeCell ref="V67:V72"/>
    <mergeCell ref="W67:W72"/>
    <mergeCell ref="X67:X72"/>
    <mergeCell ref="C70:D70"/>
    <mergeCell ref="E70:F70"/>
    <mergeCell ref="I70:J70"/>
    <mergeCell ref="K70:L70"/>
    <mergeCell ref="AP58:AQ58"/>
    <mergeCell ref="AR58:AS58"/>
    <mergeCell ref="C60:J61"/>
    <mergeCell ref="K60:L61"/>
    <mergeCell ref="M60:T61"/>
    <mergeCell ref="U60:V61"/>
    <mergeCell ref="W60:AD61"/>
    <mergeCell ref="AE60:AF61"/>
    <mergeCell ref="N70:O70"/>
    <mergeCell ref="Q70:R70"/>
    <mergeCell ref="AR48:AS48"/>
    <mergeCell ref="AW49:AX50"/>
    <mergeCell ref="C56:J57"/>
    <mergeCell ref="K56:L57"/>
    <mergeCell ref="M56:T57"/>
    <mergeCell ref="U56:V57"/>
    <mergeCell ref="W56:AD57"/>
    <mergeCell ref="AE56:AF57"/>
    <mergeCell ref="AG56:AN57"/>
    <mergeCell ref="AO56:AO57"/>
    <mergeCell ref="AR45:AS45"/>
    <mergeCell ref="AW45:AX45"/>
    <mergeCell ref="AR46:AS46"/>
    <mergeCell ref="AW46:AX46"/>
    <mergeCell ref="AR47:AS47"/>
    <mergeCell ref="AW47:AX47"/>
    <mergeCell ref="AR42:AS42"/>
    <mergeCell ref="AW42:AX42"/>
    <mergeCell ref="AR43:AS43"/>
    <mergeCell ref="AW43:AX43"/>
    <mergeCell ref="AR44:AS44"/>
    <mergeCell ref="AW44:AX44"/>
    <mergeCell ref="AR39:AS39"/>
    <mergeCell ref="AW39:AX39"/>
    <mergeCell ref="AR40:AS40"/>
    <mergeCell ref="AW40:AX40"/>
    <mergeCell ref="AR41:AS41"/>
    <mergeCell ref="AW41:AX41"/>
    <mergeCell ref="AR36:AS36"/>
    <mergeCell ref="AW36:AX36"/>
    <mergeCell ref="AR37:AS37"/>
    <mergeCell ref="AW37:AX37"/>
    <mergeCell ref="AR38:AS38"/>
    <mergeCell ref="AW38:AX38"/>
    <mergeCell ref="AR35:AS35"/>
    <mergeCell ref="AW35:AX35"/>
    <mergeCell ref="Z29:Z32"/>
    <mergeCell ref="AA29:AB32"/>
    <mergeCell ref="AC29:AC32"/>
    <mergeCell ref="AD29:AD32"/>
    <mergeCell ref="AE29:AE32"/>
    <mergeCell ref="AF29:AF32"/>
    <mergeCell ref="AT27:AT32"/>
    <mergeCell ref="AW27:AX32"/>
    <mergeCell ref="AE27:AF28"/>
    <mergeCell ref="K29:K32"/>
    <mergeCell ref="L29:L32"/>
    <mergeCell ref="M29:N32"/>
    <mergeCell ref="O29:O32"/>
    <mergeCell ref="P29:P32"/>
    <mergeCell ref="Q29:R32"/>
    <mergeCell ref="AR33:AS33"/>
    <mergeCell ref="AW33:AX33"/>
    <mergeCell ref="AR34:AS34"/>
    <mergeCell ref="AW34:AX34"/>
    <mergeCell ref="AH27:AH32"/>
    <mergeCell ref="AI27:AI32"/>
    <mergeCell ref="AJ27:AJ32"/>
    <mergeCell ref="AK27:AK32"/>
    <mergeCell ref="AL27:AL32"/>
    <mergeCell ref="S29:S32"/>
    <mergeCell ref="T29:T32"/>
    <mergeCell ref="U29:U32"/>
    <mergeCell ref="V29:V32"/>
    <mergeCell ref="W29:X32"/>
    <mergeCell ref="Y29:Y32"/>
    <mergeCell ref="AP25:AQ25"/>
    <mergeCell ref="AR25:AS25"/>
    <mergeCell ref="BE26:BE27"/>
    <mergeCell ref="BF26:BF27"/>
    <mergeCell ref="B27:B32"/>
    <mergeCell ref="C27:J28"/>
    <mergeCell ref="K27:L28"/>
    <mergeCell ref="M27:T28"/>
    <mergeCell ref="U27:V28"/>
    <mergeCell ref="W27:AD28"/>
    <mergeCell ref="AZ27:BC27"/>
    <mergeCell ref="AZ28:BB29"/>
    <mergeCell ref="C29:D32"/>
    <mergeCell ref="E29:E32"/>
    <mergeCell ref="F29:F32"/>
    <mergeCell ref="G29:H32"/>
    <mergeCell ref="I29:I32"/>
    <mergeCell ref="J29:J32"/>
    <mergeCell ref="AM27:AM32"/>
    <mergeCell ref="AN27:AN32"/>
    <mergeCell ref="AO27:AO32"/>
    <mergeCell ref="AP27:AP32"/>
    <mergeCell ref="AQ27:AQ32"/>
    <mergeCell ref="AR27:AS32"/>
    <mergeCell ref="AP22:AQ22"/>
    <mergeCell ref="AR22:AS22"/>
    <mergeCell ref="AP23:AQ23"/>
    <mergeCell ref="AR23:AS23"/>
    <mergeCell ref="AP24:AQ24"/>
    <mergeCell ref="AR24:AS24"/>
    <mergeCell ref="AP19:AQ19"/>
    <mergeCell ref="AR19:AS19"/>
    <mergeCell ref="AP20:AQ20"/>
    <mergeCell ref="AR20:AS20"/>
    <mergeCell ref="AP21:AQ21"/>
    <mergeCell ref="AR21:AS21"/>
    <mergeCell ref="AP16:AQ16"/>
    <mergeCell ref="AR16:AS16"/>
    <mergeCell ref="AP17:AQ17"/>
    <mergeCell ref="AR17:AS17"/>
    <mergeCell ref="AP18:AQ18"/>
    <mergeCell ref="AR18:AS18"/>
    <mergeCell ref="AP13:AQ13"/>
    <mergeCell ref="AR13:AS13"/>
    <mergeCell ref="AP14:AQ14"/>
    <mergeCell ref="AR14:AS14"/>
    <mergeCell ref="AP15:AQ15"/>
    <mergeCell ref="AR15:AS15"/>
    <mergeCell ref="BA7:BA10"/>
    <mergeCell ref="BB7:BB10"/>
    <mergeCell ref="AP11:AQ11"/>
    <mergeCell ref="AR11:AS11"/>
    <mergeCell ref="AP12:AQ12"/>
    <mergeCell ref="AR12:AS12"/>
    <mergeCell ref="AJ7:AJ10"/>
    <mergeCell ref="AK7:AL10"/>
    <mergeCell ref="AM7:AM10"/>
    <mergeCell ref="AN7:AN10"/>
    <mergeCell ref="AO7:AO10"/>
    <mergeCell ref="AV7:AV10"/>
    <mergeCell ref="AY7:AY10"/>
    <mergeCell ref="AZ7:AZ10"/>
    <mergeCell ref="BF5:BF10"/>
    <mergeCell ref="AV6:BB6"/>
    <mergeCell ref="C7:D10"/>
    <mergeCell ref="E7:E10"/>
    <mergeCell ref="F7:F10"/>
    <mergeCell ref="G7:H10"/>
    <mergeCell ref="I7:I10"/>
    <mergeCell ref="J7:J10"/>
    <mergeCell ref="K7:K10"/>
    <mergeCell ref="L7:L10"/>
    <mergeCell ref="AO5:AO6"/>
    <mergeCell ref="AP5:AS10"/>
    <mergeCell ref="AT5:AT9"/>
    <mergeCell ref="AV5:BB5"/>
    <mergeCell ref="BD5:BD10"/>
    <mergeCell ref="BE5:BE10"/>
    <mergeCell ref="AW7:AW10"/>
    <mergeCell ref="AX7:AX10"/>
    <mergeCell ref="AC7:AC10"/>
    <mergeCell ref="AD7:AD10"/>
    <mergeCell ref="AE7:AE10"/>
    <mergeCell ref="AF7:AF10"/>
    <mergeCell ref="AG7:AH10"/>
    <mergeCell ref="AI7:AI10"/>
    <mergeCell ref="AR1:AU2"/>
    <mergeCell ref="B3:AO3"/>
    <mergeCell ref="B5:B10"/>
    <mergeCell ref="C5:J6"/>
    <mergeCell ref="K5:L6"/>
    <mergeCell ref="M5:T6"/>
    <mergeCell ref="U5:V6"/>
    <mergeCell ref="W5:AD6"/>
    <mergeCell ref="AE5:AF6"/>
    <mergeCell ref="AG5:AN6"/>
    <mergeCell ref="M7:N10"/>
    <mergeCell ref="O7:O10"/>
    <mergeCell ref="P7:P10"/>
    <mergeCell ref="Q7:R10"/>
    <mergeCell ref="S7:S10"/>
    <mergeCell ref="T7:T10"/>
    <mergeCell ref="U7:U10"/>
    <mergeCell ref="V7:V10"/>
    <mergeCell ref="W7:X10"/>
    <mergeCell ref="Y7:Y10"/>
    <mergeCell ref="Z7:Z10"/>
    <mergeCell ref="AA7:AB10"/>
  </mergeCells>
  <conditionalFormatting sqref="AP204:AP207 AH62 AP62 AH33:AH50 AP33:AP50">
    <cfRule type="cellIs" dxfId="47" priority="16" stopIfTrue="1" operator="lessThanOrEqual">
      <formula>0</formula>
    </cfRule>
  </conditionalFormatting>
  <conditionalFormatting sqref="L292:L293 K263:L263 K292:K295 L295 K163:L164 K280:L283 K184:L184 K90:L146 K203:L245 K80:K83 K86:K89 K84:L85">
    <cfRule type="cellIs" dxfId="46" priority="15" stopIfTrue="1" operator="greaterThanOrEqual">
      <formula>$K$74</formula>
    </cfRule>
  </conditionalFormatting>
  <conditionalFormatting sqref="AR50:AT50 AR48:AT48 AP58:AT59 AR62:AS62 AR47:AS47 AR33:AS33 AS39 AS41 AR34:AR46 AP11:AT27 AT5">
    <cfRule type="cellIs" dxfId="45" priority="14" stopIfTrue="1" operator="lessThan">
      <formula>0</formula>
    </cfRule>
  </conditionalFormatting>
  <conditionalFormatting sqref="P204:P206 AJ58:AJ59 F62 Z62 F58:F60 P62:P68 P58:P60 Z58:Z60 P33:P55 F33:F50 Z33:Z50 F11:F26 AJ11:AJ27 P11:P27 Z11:Z27">
    <cfRule type="cellIs" dxfId="44" priority="13" stopIfTrue="1" operator="lessThanOrEqual">
      <formula>0</formula>
    </cfRule>
  </conditionalFormatting>
  <conditionalFormatting sqref="S204:S206 AM58:AM59 AC62 I62 AC58:AC60 S62:S68 S58:S60 I58:I60 S33:S55 I33:I50 AC33:AC50 AM11:AM27 I11:I26 S11:S27 AC11:AC27">
    <cfRule type="cellIs" dxfId="43" priority="12" stopIfTrue="1" operator="lessThanOrEqual">
      <formula>0</formula>
    </cfRule>
  </conditionalFormatting>
  <conditionalFormatting sqref="U204:V206 K58:L60 AO58:AO59 AE58:AE59 K62:L62 AE62:AF62 U62:V68 AE60:AF60 U58:V60 K48:L50 AE48:AF50 U48:V56 AF46 L46 V46 U43:V43 AE43:AF43 U44:U47 AE44:AE47 V39:V42 U33:V33 K26:L27 AE26:AF27 K33:L33 U26:V27 AE33:AF33 L24 V24 L40:L42 AE34:AE42 U34:U42 AF40:AF42 K34:K47 K16:L19 L20 V16:V20 AE13:AF13 K11:L11 AE11:AE12 U11:V11 K12:K15 K20:K25 AO11:AO27 U12:U25 AE14:AE25">
    <cfRule type="cellIs" dxfId="42" priority="11" stopIfTrue="1" operator="lessThanOrEqual">
      <formula>0</formula>
    </cfRule>
  </conditionalFormatting>
  <conditionalFormatting sqref="W214:X223 Z204:AA206 W225:X225 Z63:AA63 AA68:AB70 AA73:AB75 Z51:AA55 W88:X90 W75:X86">
    <cfRule type="cellIs" dxfId="41" priority="10" stopIfTrue="1" operator="lessThan">
      <formula>0</formula>
    </cfRule>
  </conditionalFormatting>
  <conditionalFormatting sqref="X204:X206 U225 U214:U223 X63:X68 X51 X53:X55 U88:U90 U75:U86">
    <cfRule type="cellIs" dxfId="40" priority="9" stopIfTrue="1" operator="greaterThan">
      <formula>48</formula>
    </cfRule>
  </conditionalFormatting>
  <conditionalFormatting sqref="C280:C284 C292:D295 C163:D163 D280:D291 C91:D146 C245:D245 C226:D226">
    <cfRule type="cellIs" dxfId="39" priority="8" stopIfTrue="1" operator="lessThan">
      <formula>$C$73</formula>
    </cfRule>
  </conditionalFormatting>
  <conditionalFormatting sqref="AI62:AO62 AI33:AO50">
    <cfRule type="cellIs" dxfId="38" priority="6" stopIfTrue="1" operator="equal">
      <formula>0</formula>
    </cfRule>
    <cfRule type="cellIs" dxfId="37" priority="7" stopIfTrue="1" operator="lessThan">
      <formula>0</formula>
    </cfRule>
  </conditionalFormatting>
  <conditionalFormatting sqref="AT62 AT33:AT47">
    <cfRule type="cellIs" dxfId="36" priority="4" stopIfTrue="1" operator="greaterThan">
      <formula>0</formula>
    </cfRule>
    <cfRule type="cellIs" dxfId="35" priority="5" stopIfTrue="1" operator="lessThan">
      <formula>1</formula>
    </cfRule>
  </conditionalFormatting>
  <conditionalFormatting sqref="K211:L221 K224:L224 K73:L89">
    <cfRule type="cellIs" dxfId="34" priority="3" stopIfTrue="1" operator="greaterThanOrEqual">
      <formula>$K$71</formula>
    </cfRule>
  </conditionalFormatting>
  <conditionalFormatting sqref="AF58:AF59 V33:V47 L33:L47 AF33:AF47 L12:L25 AF11:AF25 V12:V25">
    <cfRule type="cellIs" dxfId="33" priority="1" stopIfTrue="1" operator="equal">
      <formula>0</formula>
    </cfRule>
    <cfRule type="cellIs" dxfId="32" priority="2" stopIfTrue="1" operator="lessThan">
      <formula>0</formula>
    </cfRule>
  </conditionalFormatting>
  <hyperlinks>
    <hyperlink ref="AB216" r:id="rId1"/>
  </hyperlinks>
  <printOptions horizontalCentered="1" verticalCentered="1"/>
  <pageMargins left="0" right="0" top="0.98425196850393704" bottom="0.19685039370078741" header="0.39370078740157483" footer="0"/>
  <pageSetup paperSize="9" scale="71" orientation="landscape" r:id="rId2"/>
  <headerFooter alignWithMargins="0">
    <oddHeader>&amp;L&amp;"Arial,Negrita"&amp;U* Transcosta S.A.C.&amp;R&amp;"Arial Narrow,Normal"&amp;8&amp;F&amp;"Arial,Normal"&amp;9 /&amp;14 &amp;A -&amp;10 &amp;D</oddHeader>
  </headerFooter>
  <ignoredErrors>
    <ignoredError sqref="AF15 AK37 AP19:AT23" formula="1"/>
  </ignoredErrors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10</vt:i4>
      </vt:variant>
    </vt:vector>
  </HeadingPairs>
  <TitlesOfParts>
    <vt:vector size="21" baseType="lpstr">
      <vt:lpstr>Hoja1</vt:lpstr>
      <vt:lpstr>Semana-(9)</vt:lpstr>
      <vt:lpstr>Semana-(8)</vt:lpstr>
      <vt:lpstr>Semana-(7)</vt:lpstr>
      <vt:lpstr>Semana-(6)</vt:lpstr>
      <vt:lpstr>Semana-(5)</vt:lpstr>
      <vt:lpstr>Semana-(4)</vt:lpstr>
      <vt:lpstr>Semana-(3)</vt:lpstr>
      <vt:lpstr>Semana-(2)</vt:lpstr>
      <vt:lpstr>Semana-(1)</vt:lpstr>
      <vt:lpstr>Antg-Semana-(52)</vt:lpstr>
      <vt:lpstr>'Antg-Semana-(52)'!Área_de_impresión</vt:lpstr>
      <vt:lpstr>'Semana-(1)'!Área_de_impresión</vt:lpstr>
      <vt:lpstr>'Semana-(2)'!Área_de_impresión</vt:lpstr>
      <vt:lpstr>'Semana-(3)'!Área_de_impresión</vt:lpstr>
      <vt:lpstr>'Semana-(4)'!Área_de_impresión</vt:lpstr>
      <vt:lpstr>'Semana-(5)'!Área_de_impresión</vt:lpstr>
      <vt:lpstr>'Semana-(6)'!Área_de_impresión</vt:lpstr>
      <vt:lpstr>'Semana-(7)'!Área_de_impresión</vt:lpstr>
      <vt:lpstr>'Semana-(8)'!Área_de_impresión</vt:lpstr>
      <vt:lpstr>'Semana-(9)'!Área_de_impresión</vt:lpstr>
    </vt:vector>
  </TitlesOfParts>
  <Company>Transcosta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CesarQ</dc:creator>
  <cp:lastModifiedBy>CesarQ</cp:lastModifiedBy>
  <cp:lastPrinted>2020-02-27T15:21:26Z</cp:lastPrinted>
  <dcterms:created xsi:type="dcterms:W3CDTF">2020-01-06T13:47:21Z</dcterms:created>
  <dcterms:modified xsi:type="dcterms:W3CDTF">2020-03-05T13:35:25Z</dcterms:modified>
</cp:coreProperties>
</file>