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1135" windowHeight="11700"/>
  </bookViews>
  <sheets>
    <sheet name="Semana-(28)" sheetId="34" r:id="rId1"/>
    <sheet name="Semana-(27)" sheetId="33" r:id="rId2"/>
    <sheet name="Semana-(26)" sheetId="32" r:id="rId3"/>
    <sheet name="Semana-(25)" sheetId="31" r:id="rId4"/>
    <sheet name="Semana-(24)" sheetId="30" r:id="rId5"/>
    <sheet name="Semana-(23)" sheetId="29" r:id="rId6"/>
    <sheet name="Semana-(22)" sheetId="28" r:id="rId7"/>
    <sheet name="Semana-(21)" sheetId="27" r:id="rId8"/>
    <sheet name="Semana-(20)" sheetId="26" r:id="rId9"/>
    <sheet name="Semana-(19)" sheetId="25" r:id="rId10"/>
    <sheet name="Semana-(18)" sheetId="24" r:id="rId11"/>
    <sheet name="Semana-(17)" sheetId="23" r:id="rId12"/>
    <sheet name="Semana-(16)" sheetId="22" r:id="rId13"/>
    <sheet name="Semana-(15)" sheetId="21" r:id="rId14"/>
    <sheet name="Semana-(14)" sheetId="20" r:id="rId15"/>
    <sheet name="Semana-(13)" sheetId="19" r:id="rId16"/>
    <sheet name="Semana-(12)" sheetId="18" r:id="rId17"/>
    <sheet name="Semana-(11)" sheetId="17" r:id="rId18"/>
    <sheet name="Semana-(10)" sheetId="16" r:id="rId19"/>
    <sheet name="Semana-(9)" sheetId="15" r:id="rId20"/>
    <sheet name="Semana-(8)" sheetId="14" r:id="rId21"/>
    <sheet name="Semana-(7)" sheetId="13" r:id="rId22"/>
    <sheet name="Semana-(6)" sheetId="12" r:id="rId23"/>
    <sheet name="Semana-(5)" sheetId="11" r:id="rId24"/>
    <sheet name="Semana-(4)" sheetId="10" r:id="rId25"/>
    <sheet name="Semana-(3)" sheetId="9" r:id="rId26"/>
    <sheet name="Semana-(2)" sheetId="8" r:id="rId27"/>
    <sheet name="Semana-(1)" sheetId="7" r:id="rId28"/>
    <sheet name="Sem-53-2017" sheetId="6" r:id="rId29"/>
  </sheets>
  <definedNames>
    <definedName name="_xlnm.Print_Area" localSheetId="28">'Sem-53-2017'!$B$3:$AT$50</definedName>
    <definedName name="_xlnm.Print_Area" localSheetId="27">'Semana-(1)'!$B$3:$AT$50</definedName>
    <definedName name="_xlnm.Print_Area" localSheetId="18">'Semana-(10)'!$B$3:$AT$50</definedName>
    <definedName name="_xlnm.Print_Area" localSheetId="17">'Semana-(11)'!$B$3:$AT$48</definedName>
    <definedName name="_xlnm.Print_Area" localSheetId="16">'Semana-(12)'!$B$3:$AT$48</definedName>
    <definedName name="_xlnm.Print_Area" localSheetId="15">'Semana-(13)'!$B$3:$AT$48</definedName>
    <definedName name="_xlnm.Print_Area" localSheetId="14">'Semana-(14)'!$B$3:$AT$48</definedName>
    <definedName name="_xlnm.Print_Area" localSheetId="13">'Semana-(15)'!$B$3:$AT$48</definedName>
    <definedName name="_xlnm.Print_Area" localSheetId="12">'Semana-(16)'!$B$3:$AT$48</definedName>
    <definedName name="_xlnm.Print_Area" localSheetId="11">'Semana-(17)'!$B$3:$AT$48</definedName>
    <definedName name="_xlnm.Print_Area" localSheetId="10">'Semana-(18)'!$B$3:$AT$48</definedName>
    <definedName name="_xlnm.Print_Area" localSheetId="9">'Semana-(19)'!$B$3:$AT$48</definedName>
    <definedName name="_xlnm.Print_Area" localSheetId="26">'Semana-(2)'!$B$3:$AT$50</definedName>
    <definedName name="_xlnm.Print_Area" localSheetId="8">'Semana-(20)'!$B$3:$AT$48</definedName>
    <definedName name="_xlnm.Print_Area" localSheetId="7">'Semana-(21)'!$B$3:$AT$48</definedName>
    <definedName name="_xlnm.Print_Area" localSheetId="6">'Semana-(22)'!$B$3:$AT$48</definedName>
    <definedName name="_xlnm.Print_Area" localSheetId="5">'Semana-(23)'!$B$3:$AT$48</definedName>
    <definedName name="_xlnm.Print_Area" localSheetId="4">'Semana-(24)'!$B$3:$AT$48</definedName>
    <definedName name="_xlnm.Print_Area" localSheetId="3">'Semana-(25)'!$B$3:$AT$48</definedName>
    <definedName name="_xlnm.Print_Area" localSheetId="2">'Semana-(26)'!$B$3:$AT$48</definedName>
    <definedName name="_xlnm.Print_Area" localSheetId="1">'Semana-(27)'!$B$3:$AT$48</definedName>
    <definedName name="_xlnm.Print_Area" localSheetId="0">'Semana-(28)'!$B$3:$AT$48</definedName>
    <definedName name="_xlnm.Print_Area" localSheetId="25">'Semana-(3)'!$B$3:$AT$50</definedName>
    <definedName name="_xlnm.Print_Area" localSheetId="24">'Semana-(4)'!$B$3:$AT$50</definedName>
    <definedName name="_xlnm.Print_Area" localSheetId="23">'Semana-(5)'!$B$3:$AT$50</definedName>
    <definedName name="_xlnm.Print_Area" localSheetId="22">'Semana-(6)'!$B$3:$AT$50</definedName>
    <definedName name="_xlnm.Print_Area" localSheetId="21">'Semana-(7)'!$B$3:$AT$50</definedName>
    <definedName name="_xlnm.Print_Area" localSheetId="20">'Semana-(8)'!$B$3:$AT$50</definedName>
    <definedName name="_xlnm.Print_Area" localSheetId="19">'Semana-(9)'!$B$3:$AT$50</definedName>
  </definedNames>
  <calcPr calcId="124519"/>
</workbook>
</file>

<file path=xl/calcChain.xml><?xml version="1.0" encoding="utf-8"?>
<calcChain xmlns="http://schemas.openxmlformats.org/spreadsheetml/2006/main">
  <c r="AC14" i="34"/>
  <c r="AC13"/>
  <c r="AC12"/>
  <c r="AD271"/>
  <c r="X271"/>
  <c r="U271"/>
  <c r="R271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AD272" s="1"/>
  <c r="X265"/>
  <c r="X272" s="1"/>
  <c r="U265"/>
  <c r="R265"/>
  <c r="O245"/>
  <c r="O246" s="1"/>
  <c r="B245"/>
  <c r="B246" s="1"/>
  <c r="B248" s="1"/>
  <c r="B244"/>
  <c r="M239"/>
  <c r="U235"/>
  <c r="X235" s="1"/>
  <c r="R235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R228"/>
  <c r="X221"/>
  <c r="U221"/>
  <c r="W221" s="1"/>
  <c r="C221"/>
  <c r="E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W218"/>
  <c r="U218"/>
  <c r="G218"/>
  <c r="K218" s="1"/>
  <c r="C218"/>
  <c r="E218" s="1"/>
  <c r="X217"/>
  <c r="U217"/>
  <c r="W217" s="1"/>
  <c r="E217"/>
  <c r="K217" s="1"/>
  <c r="C217"/>
  <c r="G217" s="1"/>
  <c r="X216"/>
  <c r="U216"/>
  <c r="W216" s="1"/>
  <c r="C216"/>
  <c r="E216" s="1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U209"/>
  <c r="W209" s="1"/>
  <c r="C209"/>
  <c r="E209" s="1"/>
  <c r="X208"/>
  <c r="W208"/>
  <c r="U208"/>
  <c r="E208"/>
  <c r="K208" s="1"/>
  <c r="C208"/>
  <c r="X207"/>
  <c r="U207"/>
  <c r="W207" s="1"/>
  <c r="C207"/>
  <c r="E207" s="1"/>
  <c r="K205"/>
  <c r="I205"/>
  <c r="N205" s="1"/>
  <c r="E205"/>
  <c r="C205"/>
  <c r="E204"/>
  <c r="I204" s="1"/>
  <c r="N204" s="1"/>
  <c r="O185"/>
  <c r="O186" s="1"/>
  <c r="B184"/>
  <c r="B185" s="1"/>
  <c r="B186" s="1"/>
  <c r="B188" s="1"/>
  <c r="B183"/>
  <c r="AG170"/>
  <c r="AJ170" s="1"/>
  <c r="AG169"/>
  <c r="AJ169" s="1"/>
  <c r="AG168"/>
  <c r="AJ168" s="1"/>
  <c r="AJ167"/>
  <c r="AK171" s="1"/>
  <c r="AG167"/>
  <c r="AJ166"/>
  <c r="O166"/>
  <c r="O174" s="1"/>
  <c r="O175" s="1"/>
  <c r="B165"/>
  <c r="B166" s="1"/>
  <c r="B167" s="1"/>
  <c r="B169" s="1"/>
  <c r="O154"/>
  <c r="O155" s="1"/>
  <c r="O146"/>
  <c r="O147" s="1"/>
  <c r="B146"/>
  <c r="B147" s="1"/>
  <c r="B149" s="1"/>
  <c r="B145"/>
  <c r="O128"/>
  <c r="O129" s="1"/>
  <c r="B127"/>
  <c r="B128" s="1"/>
  <c r="B129" s="1"/>
  <c r="B131" s="1"/>
  <c r="AI114"/>
  <c r="AE114"/>
  <c r="AI110"/>
  <c r="AI111" s="1"/>
  <c r="AL110" s="1"/>
  <c r="AL109" s="1"/>
  <c r="AO109" s="1"/>
  <c r="AO110" s="1"/>
  <c r="O109"/>
  <c r="O117" s="1"/>
  <c r="O118" s="1"/>
  <c r="B109"/>
  <c r="B110" s="1"/>
  <c r="B112" s="1"/>
  <c r="B108"/>
  <c r="O91"/>
  <c r="O92" s="1"/>
  <c r="B90"/>
  <c r="B91" s="1"/>
  <c r="B92" s="1"/>
  <c r="B94" s="1"/>
  <c r="X86"/>
  <c r="U86"/>
  <c r="W86" s="1"/>
  <c r="C86"/>
  <c r="E86" s="1"/>
  <c r="X84"/>
  <c r="U84"/>
  <c r="W84" s="1"/>
  <c r="K84"/>
  <c r="I84"/>
  <c r="N84" s="1"/>
  <c r="C84"/>
  <c r="E84" s="1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C81"/>
  <c r="E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E75"/>
  <c r="K75" s="1"/>
  <c r="C75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S43"/>
  <c r="P43"/>
  <c r="V43" s="1"/>
  <c r="I43"/>
  <c r="F43"/>
  <c r="L43" s="1"/>
  <c r="AC42"/>
  <c r="Z42"/>
  <c r="AF42" s="1"/>
  <c r="S42"/>
  <c r="P42"/>
  <c r="V42" s="1"/>
  <c r="I42"/>
  <c r="F42"/>
  <c r="L42" s="1"/>
  <c r="AF41"/>
  <c r="AC41"/>
  <c r="AE41" s="1"/>
  <c r="Z41"/>
  <c r="V41"/>
  <c r="S4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V38"/>
  <c r="S38"/>
  <c r="P38"/>
  <c r="L38"/>
  <c r="I38"/>
  <c r="F38"/>
  <c r="AC37"/>
  <c r="Z37"/>
  <c r="AF37" s="1"/>
  <c r="S37"/>
  <c r="P37"/>
  <c r="V37" s="1"/>
  <c r="I37"/>
  <c r="F37"/>
  <c r="L37" s="1"/>
  <c r="AC36"/>
  <c r="Z36"/>
  <c r="AF36" s="1"/>
  <c r="BB15" s="1"/>
  <c r="S36"/>
  <c r="P36"/>
  <c r="V36" s="1"/>
  <c r="BA15" s="1"/>
  <c r="I36"/>
  <c r="F36"/>
  <c r="L36" s="1"/>
  <c r="AZ15" s="1"/>
  <c r="AC35"/>
  <c r="Z35"/>
  <c r="S35"/>
  <c r="P35"/>
  <c r="I35"/>
  <c r="F35"/>
  <c r="AC34"/>
  <c r="Z34"/>
  <c r="AF34" s="1"/>
  <c r="BB13" s="1"/>
  <c r="S34"/>
  <c r="P34"/>
  <c r="V34" s="1"/>
  <c r="BA13" s="1"/>
  <c r="I34"/>
  <c r="F34"/>
  <c r="AC33"/>
  <c r="Z33"/>
  <c r="S33"/>
  <c r="P33"/>
  <c r="I33"/>
  <c r="F33"/>
  <c r="AC32"/>
  <c r="Z32"/>
  <c r="S32"/>
  <c r="P32"/>
  <c r="V32" s="1"/>
  <c r="BA11" s="1"/>
  <c r="I32"/>
  <c r="F32"/>
  <c r="L32" s="1"/>
  <c r="AZ11" s="1"/>
  <c r="AI26"/>
  <c r="AJ26" s="1"/>
  <c r="AK26" s="1"/>
  <c r="AL26" s="1"/>
  <c r="BD24"/>
  <c r="BB24"/>
  <c r="BA24"/>
  <c r="AZ24"/>
  <c r="AM24"/>
  <c r="AJ24"/>
  <c r="AC24"/>
  <c r="Z24"/>
  <c r="AF24" s="1"/>
  <c r="AX24" s="1"/>
  <c r="V24"/>
  <c r="AW24" s="1"/>
  <c r="S24"/>
  <c r="P24"/>
  <c r="U24" s="1"/>
  <c r="AJ45" s="1"/>
  <c r="L24"/>
  <c r="I24"/>
  <c r="F24"/>
  <c r="K24" s="1"/>
  <c r="B24"/>
  <c r="B45" s="1"/>
  <c r="BD23"/>
  <c r="BB23"/>
  <c r="BA23"/>
  <c r="AZ23"/>
  <c r="AM23"/>
  <c r="AJ23"/>
  <c r="AC23"/>
  <c r="Z23"/>
  <c r="S23"/>
  <c r="P23"/>
  <c r="I23"/>
  <c r="F23"/>
  <c r="B23"/>
  <c r="B44" s="1"/>
  <c r="BD22"/>
  <c r="BB22"/>
  <c r="BA22"/>
  <c r="AZ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3" s="1"/>
  <c r="BD21"/>
  <c r="BB21"/>
  <c r="BA21"/>
  <c r="AZ21"/>
  <c r="AM21"/>
  <c r="AJ21"/>
  <c r="AC21"/>
  <c r="Z21"/>
  <c r="S21"/>
  <c r="P21"/>
  <c r="I21"/>
  <c r="F21"/>
  <c r="B21"/>
  <c r="B42" s="1"/>
  <c r="BB20"/>
  <c r="BA20"/>
  <c r="AZ20"/>
  <c r="AM20"/>
  <c r="AJ20"/>
  <c r="AC20"/>
  <c r="Z20"/>
  <c r="AF20" s="1"/>
  <c r="AX20" s="1"/>
  <c r="V20"/>
  <c r="AW20" s="1"/>
  <c r="S20"/>
  <c r="P20"/>
  <c r="U20" s="1"/>
  <c r="AJ41" s="1"/>
  <c r="L20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K19" s="1"/>
  <c r="F19"/>
  <c r="B19"/>
  <c r="B40" s="1"/>
  <c r="AM18"/>
  <c r="AJ18"/>
  <c r="AC18"/>
  <c r="Z18"/>
  <c r="AF18" s="1"/>
  <c r="AX18" s="1"/>
  <c r="S18"/>
  <c r="P18"/>
  <c r="V18" s="1"/>
  <c r="AW18" s="1"/>
  <c r="I18"/>
  <c r="F18"/>
  <c r="L18" s="1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L17"/>
  <c r="AV17" s="1"/>
  <c r="I17"/>
  <c r="K17" s="1"/>
  <c r="F17"/>
  <c r="B17"/>
  <c r="B38" s="1"/>
  <c r="BB16"/>
  <c r="BA16"/>
  <c r="AZ16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7" s="1"/>
  <c r="AM15"/>
  <c r="AJ15"/>
  <c r="AC15"/>
  <c r="Z15"/>
  <c r="S15"/>
  <c r="P15"/>
  <c r="I15"/>
  <c r="F15"/>
  <c r="B15"/>
  <c r="B36" s="1"/>
  <c r="AM14"/>
  <c r="AJ14"/>
  <c r="AO14" s="1"/>
  <c r="Z14"/>
  <c r="AF14" s="1"/>
  <c r="AX14" s="1"/>
  <c r="S14"/>
  <c r="P14"/>
  <c r="V14" s="1"/>
  <c r="AW14" s="1"/>
  <c r="I14"/>
  <c r="F14"/>
  <c r="L14" s="1"/>
  <c r="B14"/>
  <c r="B35" s="1"/>
  <c r="AM13"/>
  <c r="AJ13"/>
  <c r="AO13" s="1"/>
  <c r="Z13"/>
  <c r="S13"/>
  <c r="P13"/>
  <c r="I13"/>
  <c r="F13"/>
  <c r="B13"/>
  <c r="B34" s="1"/>
  <c r="AM12"/>
  <c r="AJ12"/>
  <c r="AO12" s="1"/>
  <c r="Z12"/>
  <c r="S12"/>
  <c r="P12"/>
  <c r="V12" s="1"/>
  <c r="AW12" s="1"/>
  <c r="I12"/>
  <c r="F12"/>
  <c r="L12" s="1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B11"/>
  <c r="B32" s="1"/>
  <c r="AV7"/>
  <c r="M5"/>
  <c r="W5" s="1"/>
  <c r="AT44" i="33"/>
  <c r="AT43"/>
  <c r="AT42"/>
  <c r="L34" i="34" l="1"/>
  <c r="AZ13" s="1"/>
  <c r="AF12"/>
  <c r="AX12" s="1"/>
  <c r="AE38"/>
  <c r="AE42"/>
  <c r="AO42" s="1"/>
  <c r="AE45"/>
  <c r="U38"/>
  <c r="AN38" s="1"/>
  <c r="U41"/>
  <c r="AN41" s="1"/>
  <c r="U42"/>
  <c r="AN42" s="1"/>
  <c r="U45"/>
  <c r="AN45" s="1"/>
  <c r="K38"/>
  <c r="AM38" s="1"/>
  <c r="K42"/>
  <c r="AM42" s="1"/>
  <c r="K45"/>
  <c r="AM45" s="1"/>
  <c r="AO18"/>
  <c r="AO24"/>
  <c r="AO15"/>
  <c r="AO20"/>
  <c r="AP20" s="1"/>
  <c r="AO21"/>
  <c r="AO23"/>
  <c r="AE11"/>
  <c r="AK32" s="1"/>
  <c r="AE17"/>
  <c r="AK38" s="1"/>
  <c r="AE19"/>
  <c r="AK40" s="1"/>
  <c r="U17"/>
  <c r="AJ38" s="1"/>
  <c r="U19"/>
  <c r="AJ40" s="1"/>
  <c r="AP24"/>
  <c r="BE24" s="1"/>
  <c r="U11"/>
  <c r="AJ32" s="1"/>
  <c r="AV20"/>
  <c r="AV24"/>
  <c r="AX7"/>
  <c r="AG5"/>
  <c r="AY12"/>
  <c r="AL33"/>
  <c r="AL36"/>
  <c r="AY15"/>
  <c r="AT38"/>
  <c r="AT17" s="1"/>
  <c r="AI38"/>
  <c r="AL38"/>
  <c r="AY17"/>
  <c r="AV18"/>
  <c r="AL39"/>
  <c r="AY18"/>
  <c r="AT40"/>
  <c r="AT19" s="1"/>
  <c r="AI40"/>
  <c r="AL40"/>
  <c r="AY19"/>
  <c r="AI41"/>
  <c r="AL41"/>
  <c r="AY20"/>
  <c r="AP22"/>
  <c r="AV22"/>
  <c r="AL43"/>
  <c r="AY22"/>
  <c r="AI45"/>
  <c r="AR24"/>
  <c r="AL45"/>
  <c r="AY24"/>
  <c r="BF24" s="1"/>
  <c r="AM26"/>
  <c r="AN26" s="1"/>
  <c r="AO26" s="1"/>
  <c r="AF32" s="1"/>
  <c r="BB11" s="1"/>
  <c r="AW26"/>
  <c r="AV12"/>
  <c r="AL32"/>
  <c r="AY11"/>
  <c r="AL34"/>
  <c r="AY13"/>
  <c r="AV14"/>
  <c r="AY14"/>
  <c r="AL35"/>
  <c r="AP16"/>
  <c r="AV16"/>
  <c r="AL37"/>
  <c r="AY16"/>
  <c r="AL42"/>
  <c r="AY21"/>
  <c r="AL44"/>
  <c r="AY23"/>
  <c r="BF22"/>
  <c r="U77"/>
  <c r="W77" s="1"/>
  <c r="AO38"/>
  <c r="AO45"/>
  <c r="I71"/>
  <c r="K71"/>
  <c r="I76"/>
  <c r="K76"/>
  <c r="K77"/>
  <c r="I77"/>
  <c r="I80"/>
  <c r="K80"/>
  <c r="B99"/>
  <c r="B96"/>
  <c r="B98" s="1"/>
  <c r="O120"/>
  <c r="O122" s="1"/>
  <c r="O119"/>
  <c r="AA118"/>
  <c r="B136"/>
  <c r="B137" s="1"/>
  <c r="B139" s="1"/>
  <c r="B133"/>
  <c r="B135" s="1"/>
  <c r="AA147"/>
  <c r="O149"/>
  <c r="O151" s="1"/>
  <c r="O148"/>
  <c r="B174"/>
  <c r="B171"/>
  <c r="B173" s="1"/>
  <c r="O188"/>
  <c r="O190" s="1"/>
  <c r="O187"/>
  <c r="AA186"/>
  <c r="I207"/>
  <c r="N207" s="1"/>
  <c r="K207"/>
  <c r="I209"/>
  <c r="N209" s="1"/>
  <c r="K209"/>
  <c r="K211"/>
  <c r="I211"/>
  <c r="N211" s="1"/>
  <c r="K213"/>
  <c r="I213"/>
  <c r="N213" s="1"/>
  <c r="I216"/>
  <c r="N216" s="1"/>
  <c r="K216"/>
  <c r="Z216" s="1"/>
  <c r="K221"/>
  <c r="I221"/>
  <c r="N221" s="1"/>
  <c r="O248"/>
  <c r="O250" s="1"/>
  <c r="O247"/>
  <c r="AA246"/>
  <c r="AW7"/>
  <c r="K12"/>
  <c r="U12"/>
  <c r="AJ33" s="1"/>
  <c r="AE12"/>
  <c r="AK33" s="1"/>
  <c r="L13"/>
  <c r="V13"/>
  <c r="AW13" s="1"/>
  <c r="AF13"/>
  <c r="AX13" s="1"/>
  <c r="K14"/>
  <c r="U14"/>
  <c r="AJ35" s="1"/>
  <c r="AE14"/>
  <c r="AK35" s="1"/>
  <c r="L15"/>
  <c r="V15"/>
  <c r="AW15" s="1"/>
  <c r="AF15"/>
  <c r="AX15" s="1"/>
  <c r="K16"/>
  <c r="U16"/>
  <c r="AJ37" s="1"/>
  <c r="AE16"/>
  <c r="AK37" s="1"/>
  <c r="AP17"/>
  <c r="K18"/>
  <c r="U18"/>
  <c r="AJ39" s="1"/>
  <c r="AE18"/>
  <c r="AK39" s="1"/>
  <c r="AP19"/>
  <c r="AE20"/>
  <c r="AK41" s="1"/>
  <c r="L21"/>
  <c r="K21" s="1"/>
  <c r="V21"/>
  <c r="AW21" s="1"/>
  <c r="AF21"/>
  <c r="AX21" s="1"/>
  <c r="BF21"/>
  <c r="K22"/>
  <c r="U22"/>
  <c r="AJ43" s="1"/>
  <c r="AE22"/>
  <c r="AK43" s="1"/>
  <c r="L23"/>
  <c r="V23"/>
  <c r="AW23" s="1"/>
  <c r="AF23"/>
  <c r="AX23" s="1"/>
  <c r="BF23"/>
  <c r="AE24"/>
  <c r="AK45" s="1"/>
  <c r="K32"/>
  <c r="AM32" s="1"/>
  <c r="U32"/>
  <c r="AN32" s="1"/>
  <c r="L33"/>
  <c r="AZ12" s="1"/>
  <c r="V33"/>
  <c r="BA12" s="1"/>
  <c r="AF33"/>
  <c r="BB12" s="1"/>
  <c r="U34"/>
  <c r="AN34" s="1"/>
  <c r="AE34"/>
  <c r="L35"/>
  <c r="AZ14" s="1"/>
  <c r="V35"/>
  <c r="BA14" s="1"/>
  <c r="AF35"/>
  <c r="BB14" s="1"/>
  <c r="K36"/>
  <c r="AM36" s="1"/>
  <c r="U36"/>
  <c r="AN36" s="1"/>
  <c r="AE36"/>
  <c r="X237"/>
  <c r="U78"/>
  <c r="W78" s="1"/>
  <c r="AO40"/>
  <c r="U80"/>
  <c r="W80" s="1"/>
  <c r="AO41"/>
  <c r="I69"/>
  <c r="C69"/>
  <c r="I73"/>
  <c r="K73"/>
  <c r="K78"/>
  <c r="I78"/>
  <c r="K86"/>
  <c r="I86"/>
  <c r="O94"/>
  <c r="O96" s="1"/>
  <c r="O93"/>
  <c r="AA92"/>
  <c r="B114"/>
  <c r="B116" s="1"/>
  <c r="B117"/>
  <c r="B118" s="1"/>
  <c r="B120" s="1"/>
  <c r="O131"/>
  <c r="O133" s="1"/>
  <c r="O130"/>
  <c r="AA129"/>
  <c r="B151"/>
  <c r="B153" s="1"/>
  <c r="B154"/>
  <c r="O157"/>
  <c r="O159" s="1"/>
  <c r="O156"/>
  <c r="AA155"/>
  <c r="AA175"/>
  <c r="O177"/>
  <c r="O179" s="1"/>
  <c r="O176"/>
  <c r="B193"/>
  <c r="B194" s="1"/>
  <c r="B196" s="1"/>
  <c r="B190"/>
  <c r="B192" s="1"/>
  <c r="K210"/>
  <c r="I210"/>
  <c r="N210" s="1"/>
  <c r="K214"/>
  <c r="I214"/>
  <c r="N214" s="1"/>
  <c r="B253"/>
  <c r="B254" s="1"/>
  <c r="B256" s="1"/>
  <c r="B250"/>
  <c r="B252" s="1"/>
  <c r="L11"/>
  <c r="K37"/>
  <c r="AM37" s="1"/>
  <c r="U37"/>
  <c r="AN37" s="1"/>
  <c r="AE37"/>
  <c r="AD274"/>
  <c r="L39"/>
  <c r="AZ18" s="1"/>
  <c r="V39"/>
  <c r="BA18" s="1"/>
  <c r="AF39"/>
  <c r="BB18" s="1"/>
  <c r="K43"/>
  <c r="AM43" s="1"/>
  <c r="U43"/>
  <c r="AN43" s="1"/>
  <c r="AE43"/>
  <c r="K44"/>
  <c r="AM44" s="1"/>
  <c r="U44"/>
  <c r="AN44" s="1"/>
  <c r="AE44"/>
  <c r="AP56"/>
  <c r="I72"/>
  <c r="I74"/>
  <c r="I75"/>
  <c r="O99"/>
  <c r="O100" s="1"/>
  <c r="O110"/>
  <c r="O136"/>
  <c r="O137" s="1"/>
  <c r="O167"/>
  <c r="O193"/>
  <c r="O194" s="1"/>
  <c r="C204"/>
  <c r="I208"/>
  <c r="N208" s="1"/>
  <c r="K212"/>
  <c r="I217"/>
  <c r="N217" s="1"/>
  <c r="I218"/>
  <c r="N218" s="1"/>
  <c r="AD237"/>
  <c r="AD239" s="1"/>
  <c r="O253"/>
  <c r="O254" s="1"/>
  <c r="F16" i="33"/>
  <c r="AD271"/>
  <c r="U271"/>
  <c r="X271" s="1"/>
  <c r="R271"/>
  <c r="AD270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AD272" s="1"/>
  <c r="U265"/>
  <c r="X265" s="1"/>
  <c r="R265"/>
  <c r="O245"/>
  <c r="O246" s="1"/>
  <c r="B244"/>
  <c r="B245" s="1"/>
  <c r="B246" s="1"/>
  <c r="B248" s="1"/>
  <c r="M239"/>
  <c r="U235"/>
  <c r="X235" s="1"/>
  <c r="R235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X237" s="1"/>
  <c r="R228"/>
  <c r="X221"/>
  <c r="U221"/>
  <c r="W221" s="1"/>
  <c r="C221"/>
  <c r="E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U218"/>
  <c r="W218" s="1"/>
  <c r="I218"/>
  <c r="N218" s="1"/>
  <c r="G218"/>
  <c r="K218" s="1"/>
  <c r="E218"/>
  <c r="C218"/>
  <c r="X217"/>
  <c r="U217"/>
  <c r="W217" s="1"/>
  <c r="E217"/>
  <c r="K217" s="1"/>
  <c r="C217"/>
  <c r="G217" s="1"/>
  <c r="X216"/>
  <c r="U216"/>
  <c r="W216" s="1"/>
  <c r="C216"/>
  <c r="E216" s="1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U209"/>
  <c r="W209" s="1"/>
  <c r="C209"/>
  <c r="E209" s="1"/>
  <c r="X208"/>
  <c r="W208"/>
  <c r="U208"/>
  <c r="E208"/>
  <c r="K208" s="1"/>
  <c r="C208"/>
  <c r="X207"/>
  <c r="U207"/>
  <c r="W207" s="1"/>
  <c r="C207"/>
  <c r="E207" s="1"/>
  <c r="K205"/>
  <c r="I205"/>
  <c r="N205" s="1"/>
  <c r="E205"/>
  <c r="C205"/>
  <c r="E204"/>
  <c r="I204" s="1"/>
  <c r="N204" s="1"/>
  <c r="O185"/>
  <c r="O186" s="1"/>
  <c r="B184"/>
  <c r="B185" s="1"/>
  <c r="B186" s="1"/>
  <c r="B188" s="1"/>
  <c r="B183"/>
  <c r="AG170"/>
  <c r="AJ170" s="1"/>
  <c r="AG169"/>
  <c r="AJ169" s="1"/>
  <c r="AG168"/>
  <c r="AJ168" s="1"/>
  <c r="AJ167"/>
  <c r="AG167"/>
  <c r="AJ166"/>
  <c r="O166"/>
  <c r="O174" s="1"/>
  <c r="O175" s="1"/>
  <c r="B165"/>
  <c r="B166" s="1"/>
  <c r="B167" s="1"/>
  <c r="B169" s="1"/>
  <c r="O154"/>
  <c r="O155" s="1"/>
  <c r="O146"/>
  <c r="O147" s="1"/>
  <c r="B146"/>
  <c r="B147" s="1"/>
  <c r="B149" s="1"/>
  <c r="B145"/>
  <c r="O128"/>
  <c r="O129" s="1"/>
  <c r="B127"/>
  <c r="B128" s="1"/>
  <c r="B129" s="1"/>
  <c r="B131" s="1"/>
  <c r="AI114"/>
  <c r="AE114"/>
  <c r="AI110"/>
  <c r="AI111" s="1"/>
  <c r="AL110" s="1"/>
  <c r="AL109" s="1"/>
  <c r="AO109" s="1"/>
  <c r="AO110" s="1"/>
  <c r="O109"/>
  <c r="O117" s="1"/>
  <c r="O118" s="1"/>
  <c r="B109"/>
  <c r="B110" s="1"/>
  <c r="B112" s="1"/>
  <c r="B108"/>
  <c r="O91"/>
  <c r="O92" s="1"/>
  <c r="B90"/>
  <c r="B91" s="1"/>
  <c r="B92" s="1"/>
  <c r="B94" s="1"/>
  <c r="X86"/>
  <c r="U86"/>
  <c r="W86" s="1"/>
  <c r="C86"/>
  <c r="E86" s="1"/>
  <c r="X84"/>
  <c r="U84"/>
  <c r="W84" s="1"/>
  <c r="K84"/>
  <c r="I84"/>
  <c r="N84" s="1"/>
  <c r="C84"/>
  <c r="E84" s="1"/>
  <c r="X83"/>
  <c r="K83"/>
  <c r="I83"/>
  <c r="N83" s="1"/>
  <c r="E83"/>
  <c r="C83"/>
  <c r="X82"/>
  <c r="K82"/>
  <c r="I82"/>
  <c r="N82" s="1"/>
  <c r="C82"/>
  <c r="E82" s="1"/>
  <c r="X81"/>
  <c r="K81"/>
  <c r="I81"/>
  <c r="N81" s="1"/>
  <c r="E81"/>
  <c r="C81"/>
  <c r="X80"/>
  <c r="C80"/>
  <c r="E80" s="1"/>
  <c r="X79"/>
  <c r="N79"/>
  <c r="K79"/>
  <c r="X78"/>
  <c r="C78"/>
  <c r="E78" s="1"/>
  <c r="X77"/>
  <c r="S77"/>
  <c r="E77"/>
  <c r="K77" s="1"/>
  <c r="C77"/>
  <c r="X76"/>
  <c r="C76"/>
  <c r="E76" s="1"/>
  <c r="X75"/>
  <c r="E75"/>
  <c r="K75" s="1"/>
  <c r="C75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F60"/>
  <c r="BB56" s="1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P56"/>
  <c r="L56"/>
  <c r="AV56" s="1"/>
  <c r="I56"/>
  <c r="K56" s="1"/>
  <c r="AI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S43"/>
  <c r="P43"/>
  <c r="V43" s="1"/>
  <c r="I43"/>
  <c r="F43"/>
  <c r="L43" s="1"/>
  <c r="AC42"/>
  <c r="Z42"/>
  <c r="AF42" s="1"/>
  <c r="BB21" s="1"/>
  <c r="S42"/>
  <c r="P42"/>
  <c r="I42"/>
  <c r="F42"/>
  <c r="L42" s="1"/>
  <c r="AZ21" s="1"/>
  <c r="AF41"/>
  <c r="AC41"/>
  <c r="Z41"/>
  <c r="V41"/>
  <c r="S41"/>
  <c r="P41"/>
  <c r="L41"/>
  <c r="I4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AF39" s="1"/>
  <c r="BB18" s="1"/>
  <c r="S39"/>
  <c r="P39"/>
  <c r="I39"/>
  <c r="F39"/>
  <c r="L39" s="1"/>
  <c r="AZ18" s="1"/>
  <c r="AF38"/>
  <c r="AC38"/>
  <c r="Z38"/>
  <c r="AE38" s="1"/>
  <c r="V38"/>
  <c r="S38"/>
  <c r="P38"/>
  <c r="U38" s="1"/>
  <c r="AN38" s="1"/>
  <c r="L38"/>
  <c r="I38"/>
  <c r="F38"/>
  <c r="K38" s="1"/>
  <c r="AM38" s="1"/>
  <c r="AC37"/>
  <c r="Z37"/>
  <c r="AF37" s="1"/>
  <c r="BB16" s="1"/>
  <c r="S37"/>
  <c r="P37"/>
  <c r="I37"/>
  <c r="F37"/>
  <c r="L37" s="1"/>
  <c r="AZ16" s="1"/>
  <c r="AC36"/>
  <c r="Z36"/>
  <c r="S36"/>
  <c r="P36"/>
  <c r="I36"/>
  <c r="F36"/>
  <c r="AC35"/>
  <c r="Z35"/>
  <c r="S35"/>
  <c r="P35"/>
  <c r="I35"/>
  <c r="F35"/>
  <c r="AC34"/>
  <c r="Z34"/>
  <c r="AF34" s="1"/>
  <c r="BB13" s="1"/>
  <c r="S34"/>
  <c r="P34"/>
  <c r="I34"/>
  <c r="F34"/>
  <c r="AC33"/>
  <c r="Z33"/>
  <c r="S33"/>
  <c r="P33"/>
  <c r="I33"/>
  <c r="F33"/>
  <c r="AC32"/>
  <c r="Z32"/>
  <c r="S32"/>
  <c r="P32"/>
  <c r="I32"/>
  <c r="F32"/>
  <c r="L32" s="1"/>
  <c r="AZ11" s="1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I24"/>
  <c r="F24"/>
  <c r="B24"/>
  <c r="B45" s="1"/>
  <c r="BD23"/>
  <c r="BB23"/>
  <c r="BA23"/>
  <c r="AZ23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4" s="1"/>
  <c r="BD22"/>
  <c r="BB22"/>
  <c r="BA22"/>
  <c r="AZ22"/>
  <c r="AM22"/>
  <c r="AJ22"/>
  <c r="AO22" s="1"/>
  <c r="AC22"/>
  <c r="Z22"/>
  <c r="S22"/>
  <c r="P22"/>
  <c r="I22"/>
  <c r="F22"/>
  <c r="B22"/>
  <c r="B43" s="1"/>
  <c r="BD21"/>
  <c r="AM21"/>
  <c r="AJ21"/>
  <c r="AC21"/>
  <c r="Z21"/>
  <c r="AF21" s="1"/>
  <c r="AX21" s="1"/>
  <c r="S21"/>
  <c r="P21"/>
  <c r="V21" s="1"/>
  <c r="AW21" s="1"/>
  <c r="I21"/>
  <c r="F21"/>
  <c r="L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I20"/>
  <c r="F20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0" s="1"/>
  <c r="I19"/>
  <c r="L19" s="1"/>
  <c r="F19"/>
  <c r="K19" s="1"/>
  <c r="B19"/>
  <c r="B40" s="1"/>
  <c r="AM18"/>
  <c r="AJ18"/>
  <c r="AO18" s="1"/>
  <c r="AC18"/>
  <c r="Z18"/>
  <c r="S18"/>
  <c r="P18"/>
  <c r="V18" s="1"/>
  <c r="AW18" s="1"/>
  <c r="I18"/>
  <c r="F18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I17"/>
  <c r="L17" s="1"/>
  <c r="F17"/>
  <c r="B17"/>
  <c r="B38" s="1"/>
  <c r="AM16"/>
  <c r="AJ16"/>
  <c r="AO16" s="1"/>
  <c r="AC16"/>
  <c r="Z16"/>
  <c r="S16"/>
  <c r="P16"/>
  <c r="V16" s="1"/>
  <c r="AW16" s="1"/>
  <c r="I16"/>
  <c r="B16"/>
  <c r="B37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6" s="1"/>
  <c r="AM14"/>
  <c r="AJ14"/>
  <c r="AO14" s="1"/>
  <c r="AC14"/>
  <c r="Z14"/>
  <c r="S14"/>
  <c r="P14"/>
  <c r="I14"/>
  <c r="F14"/>
  <c r="B14"/>
  <c r="B35" s="1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4" s="1"/>
  <c r="AM12"/>
  <c r="AJ12"/>
  <c r="AC12"/>
  <c r="Z12"/>
  <c r="S12"/>
  <c r="P12"/>
  <c r="V12" s="1"/>
  <c r="AW12" s="1"/>
  <c r="I12"/>
  <c r="F12"/>
  <c r="L12" s="1"/>
  <c r="AV12" s="1"/>
  <c r="B12"/>
  <c r="B33" s="1"/>
  <c r="AM11"/>
  <c r="AJ11"/>
  <c r="AO11" s="1"/>
  <c r="AC11"/>
  <c r="Z11"/>
  <c r="AF11" s="1"/>
  <c r="AX11" s="1"/>
  <c r="V11"/>
  <c r="AW11" s="1"/>
  <c r="S11"/>
  <c r="P11"/>
  <c r="U11" s="1"/>
  <c r="AJ32" s="1"/>
  <c r="I11"/>
  <c r="F11"/>
  <c r="B11"/>
  <c r="B32" s="1"/>
  <c r="AV7"/>
  <c r="M5"/>
  <c r="AW7" s="1"/>
  <c r="AT44" i="32"/>
  <c r="AT43"/>
  <c r="AT42"/>
  <c r="K34" i="34" l="1"/>
  <c r="AM34" s="1"/>
  <c r="AE39"/>
  <c r="AO39" s="1"/>
  <c r="K39"/>
  <c r="AM39" s="1"/>
  <c r="AE13"/>
  <c r="AK34" s="1"/>
  <c r="AE21"/>
  <c r="AK42" s="1"/>
  <c r="AE32"/>
  <c r="AA194"/>
  <c r="O196"/>
  <c r="O198" s="1"/>
  <c r="O195"/>
  <c r="AA137"/>
  <c r="O139"/>
  <c r="O141" s="1"/>
  <c r="O138"/>
  <c r="AA100"/>
  <c r="O102"/>
  <c r="O104" s="1"/>
  <c r="O101"/>
  <c r="N74"/>
  <c r="BD14"/>
  <c r="U82"/>
  <c r="W82" s="1"/>
  <c r="U79"/>
  <c r="W79" s="1"/>
  <c r="AO43"/>
  <c r="AV11"/>
  <c r="AP11"/>
  <c r="N73"/>
  <c r="BD13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AV23"/>
  <c r="AP23"/>
  <c r="AI39"/>
  <c r="AI37"/>
  <c r="AT37"/>
  <c r="AT16" s="1"/>
  <c r="AI35"/>
  <c r="AI33"/>
  <c r="N77"/>
  <c r="BD17"/>
  <c r="AI42"/>
  <c r="AA254"/>
  <c r="O256"/>
  <c r="O258" s="1"/>
  <c r="O255"/>
  <c r="AA167"/>
  <c r="O169"/>
  <c r="O171" s="1"/>
  <c r="O168"/>
  <c r="O111"/>
  <c r="AA110"/>
  <c r="O112"/>
  <c r="O114" s="1"/>
  <c r="N75"/>
  <c r="BD15"/>
  <c r="N72"/>
  <c r="BD12"/>
  <c r="AO44"/>
  <c r="U76"/>
  <c r="W76" s="1"/>
  <c r="AO37"/>
  <c r="N86"/>
  <c r="BD56"/>
  <c r="N78"/>
  <c r="BD18"/>
  <c r="BD19"/>
  <c r="AO36"/>
  <c r="AO34"/>
  <c r="AT43"/>
  <c r="AT22" s="1"/>
  <c r="AI43"/>
  <c r="AP43" s="1"/>
  <c r="AV21"/>
  <c r="AP21"/>
  <c r="AV15"/>
  <c r="AP15"/>
  <c r="AV13"/>
  <c r="AP13"/>
  <c r="N80"/>
  <c r="BD20"/>
  <c r="N76"/>
  <c r="BD16"/>
  <c r="N71"/>
  <c r="BD11"/>
  <c r="AO32"/>
  <c r="BE22"/>
  <c r="AR22"/>
  <c r="U83"/>
  <c r="W83" s="1"/>
  <c r="AE35"/>
  <c r="K35"/>
  <c r="U15"/>
  <c r="AJ36" s="1"/>
  <c r="K11"/>
  <c r="AP14"/>
  <c r="AP12"/>
  <c r="U33"/>
  <c r="AN33" s="1"/>
  <c r="AE23"/>
  <c r="AK44" s="1"/>
  <c r="K23"/>
  <c r="B155"/>
  <c r="B157" s="1"/>
  <c r="U39"/>
  <c r="AN39" s="1"/>
  <c r="B175"/>
  <c r="B177" s="1"/>
  <c r="B100"/>
  <c r="B102" s="1"/>
  <c r="U35"/>
  <c r="AN35" s="1"/>
  <c r="AE15"/>
  <c r="AK36" s="1"/>
  <c r="K15"/>
  <c r="U13"/>
  <c r="AJ34" s="1"/>
  <c r="AE33"/>
  <c r="K33"/>
  <c r="AM33" s="1"/>
  <c r="U23"/>
  <c r="AJ44" s="1"/>
  <c r="U21"/>
  <c r="AJ42" s="1"/>
  <c r="K13"/>
  <c r="AP45"/>
  <c r="AT41"/>
  <c r="AT20" s="1"/>
  <c r="AP18"/>
  <c r="C26"/>
  <c r="AY7"/>
  <c r="AT45"/>
  <c r="AT24" s="1"/>
  <c r="AP41"/>
  <c r="AP40"/>
  <c r="AP38"/>
  <c r="AF35" i="33"/>
  <c r="BB14" s="1"/>
  <c r="AE34"/>
  <c r="AF33"/>
  <c r="BB12" s="1"/>
  <c r="V35"/>
  <c r="BA14" s="1"/>
  <c r="V33"/>
  <c r="BA12" s="1"/>
  <c r="L35"/>
  <c r="AZ14" s="1"/>
  <c r="L33"/>
  <c r="AZ12" s="1"/>
  <c r="AO21"/>
  <c r="AO12"/>
  <c r="L11"/>
  <c r="AE45"/>
  <c r="U41"/>
  <c r="AN41" s="1"/>
  <c r="U45"/>
  <c r="AN45" s="1"/>
  <c r="K45"/>
  <c r="AM45" s="1"/>
  <c r="K32"/>
  <c r="AM32" s="1"/>
  <c r="AE20"/>
  <c r="AK41" s="1"/>
  <c r="AE24"/>
  <c r="AK45" s="1"/>
  <c r="U15"/>
  <c r="AJ36" s="1"/>
  <c r="U17"/>
  <c r="AJ38" s="1"/>
  <c r="U12"/>
  <c r="AJ33" s="1"/>
  <c r="K17"/>
  <c r="K11"/>
  <c r="K12"/>
  <c r="U16"/>
  <c r="AJ37" s="1"/>
  <c r="U20"/>
  <c r="AJ41" s="1"/>
  <c r="U24"/>
  <c r="AJ45" s="1"/>
  <c r="U18"/>
  <c r="AJ39" s="1"/>
  <c r="U56"/>
  <c r="AJ60" s="1"/>
  <c r="AP60" s="1"/>
  <c r="W5"/>
  <c r="AG5" s="1"/>
  <c r="AI32"/>
  <c r="AI33"/>
  <c r="AV13"/>
  <c r="AY13"/>
  <c r="AL34"/>
  <c r="AL35"/>
  <c r="AY14"/>
  <c r="AL36"/>
  <c r="AY15"/>
  <c r="AL37"/>
  <c r="AY16"/>
  <c r="AP17"/>
  <c r="AV17"/>
  <c r="AL38"/>
  <c r="AY17"/>
  <c r="AI40"/>
  <c r="AP23"/>
  <c r="AV23"/>
  <c r="AL44"/>
  <c r="AY23"/>
  <c r="AO34"/>
  <c r="AO38"/>
  <c r="C26"/>
  <c r="AY7"/>
  <c r="AV11"/>
  <c r="AY11"/>
  <c r="AL32"/>
  <c r="AL33"/>
  <c r="AY12"/>
  <c r="AV15"/>
  <c r="AI38"/>
  <c r="AL39"/>
  <c r="AY18"/>
  <c r="AP19"/>
  <c r="AV19"/>
  <c r="AL40"/>
  <c r="AY19"/>
  <c r="AL41"/>
  <c r="AY20"/>
  <c r="AV21"/>
  <c r="AY21"/>
  <c r="AL42"/>
  <c r="AL43"/>
  <c r="AY22"/>
  <c r="AL45"/>
  <c r="AY24"/>
  <c r="AW26"/>
  <c r="AM26"/>
  <c r="AN26" s="1"/>
  <c r="AO26" s="1"/>
  <c r="AF32" s="1"/>
  <c r="BB11" s="1"/>
  <c r="AO40"/>
  <c r="BF21"/>
  <c r="BF23"/>
  <c r="AO45"/>
  <c r="I71"/>
  <c r="K71"/>
  <c r="I76"/>
  <c r="K76"/>
  <c r="K78"/>
  <c r="I78"/>
  <c r="K86"/>
  <c r="I86"/>
  <c r="O94"/>
  <c r="O96" s="1"/>
  <c r="O93"/>
  <c r="AA92"/>
  <c r="B114"/>
  <c r="B116" s="1"/>
  <c r="B117"/>
  <c r="B118" s="1"/>
  <c r="B120" s="1"/>
  <c r="O131"/>
  <c r="O133" s="1"/>
  <c r="O130"/>
  <c r="AA129"/>
  <c r="B151"/>
  <c r="B153" s="1"/>
  <c r="B154"/>
  <c r="O157"/>
  <c r="O159" s="1"/>
  <c r="O156"/>
  <c r="AA155"/>
  <c r="AA175"/>
  <c r="O177"/>
  <c r="O179" s="1"/>
  <c r="O176"/>
  <c r="B193"/>
  <c r="B194" s="1"/>
  <c r="B196" s="1"/>
  <c r="B190"/>
  <c r="B192" s="1"/>
  <c r="K210"/>
  <c r="I210"/>
  <c r="N210" s="1"/>
  <c r="K214"/>
  <c r="I214"/>
  <c r="N214" s="1"/>
  <c r="K221"/>
  <c r="I221"/>
  <c r="N221" s="1"/>
  <c r="B253"/>
  <c r="B254" s="1"/>
  <c r="B256" s="1"/>
  <c r="B250"/>
  <c r="B252" s="1"/>
  <c r="AX7"/>
  <c r="AE11"/>
  <c r="AK32" s="1"/>
  <c r="AF12"/>
  <c r="AX12" s="1"/>
  <c r="K13"/>
  <c r="U13"/>
  <c r="AJ34" s="1"/>
  <c r="AE13"/>
  <c r="AK34" s="1"/>
  <c r="L14"/>
  <c r="K14" s="1"/>
  <c r="V14"/>
  <c r="AW14" s="1"/>
  <c r="AF14"/>
  <c r="AX14" s="1"/>
  <c r="K15"/>
  <c r="AE15"/>
  <c r="AK36" s="1"/>
  <c r="L16"/>
  <c r="AF16"/>
  <c r="AX16" s="1"/>
  <c r="AE17"/>
  <c r="AK38" s="1"/>
  <c r="L18"/>
  <c r="K18" s="1"/>
  <c r="AF18"/>
  <c r="AX18" s="1"/>
  <c r="AE19"/>
  <c r="AK40" s="1"/>
  <c r="L20"/>
  <c r="K21"/>
  <c r="U21"/>
  <c r="AJ42" s="1"/>
  <c r="AE21"/>
  <c r="AK42" s="1"/>
  <c r="L22"/>
  <c r="V22"/>
  <c r="AW22" s="1"/>
  <c r="AF22"/>
  <c r="AX22" s="1"/>
  <c r="BF22"/>
  <c r="K23"/>
  <c r="U23"/>
  <c r="AJ44" s="1"/>
  <c r="AE23"/>
  <c r="AK44" s="1"/>
  <c r="L24"/>
  <c r="K24" s="1"/>
  <c r="BF24"/>
  <c r="V32"/>
  <c r="BA11" s="1"/>
  <c r="K33"/>
  <c r="AM33" s="1"/>
  <c r="U33"/>
  <c r="AN33" s="1"/>
  <c r="AE33"/>
  <c r="L34"/>
  <c r="AZ13" s="1"/>
  <c r="V34"/>
  <c r="BA13" s="1"/>
  <c r="K35"/>
  <c r="U35"/>
  <c r="AN35" s="1"/>
  <c r="AE35"/>
  <c r="L36"/>
  <c r="AZ15" s="1"/>
  <c r="V36"/>
  <c r="BA15" s="1"/>
  <c r="AF36"/>
  <c r="BB15" s="1"/>
  <c r="K43"/>
  <c r="AM43" s="1"/>
  <c r="AE43"/>
  <c r="K44"/>
  <c r="AM44" s="1"/>
  <c r="AE44"/>
  <c r="I69"/>
  <c r="C69"/>
  <c r="I73"/>
  <c r="K73"/>
  <c r="I80"/>
  <c r="K80"/>
  <c r="B99"/>
  <c r="B100" s="1"/>
  <c r="B102" s="1"/>
  <c r="B96"/>
  <c r="B98" s="1"/>
  <c r="O120"/>
  <c r="O122" s="1"/>
  <c r="O119"/>
  <c r="AA118"/>
  <c r="B136"/>
  <c r="B133"/>
  <c r="B135" s="1"/>
  <c r="AA147"/>
  <c r="O149"/>
  <c r="O151" s="1"/>
  <c r="O148"/>
  <c r="B174"/>
  <c r="B175" s="1"/>
  <c r="B177" s="1"/>
  <c r="B171"/>
  <c r="B173" s="1"/>
  <c r="O188"/>
  <c r="O190" s="1"/>
  <c r="O187"/>
  <c r="AA186"/>
  <c r="I207"/>
  <c r="N207" s="1"/>
  <c r="K207"/>
  <c r="I209"/>
  <c r="N209" s="1"/>
  <c r="K209"/>
  <c r="K211"/>
  <c r="I211"/>
  <c r="N211" s="1"/>
  <c r="K213"/>
  <c r="I213"/>
  <c r="N213" s="1"/>
  <c r="I216"/>
  <c r="N216" s="1"/>
  <c r="K216"/>
  <c r="Z216" s="1"/>
  <c r="O248"/>
  <c r="O250" s="1"/>
  <c r="O247"/>
  <c r="AA246"/>
  <c r="K37"/>
  <c r="AM37" s="1"/>
  <c r="V37"/>
  <c r="BA16" s="1"/>
  <c r="AE37"/>
  <c r="K39"/>
  <c r="AM39" s="1"/>
  <c r="V39"/>
  <c r="BA18" s="1"/>
  <c r="AE39"/>
  <c r="AO39" s="1"/>
  <c r="K41"/>
  <c r="AM41" s="1"/>
  <c r="AE41"/>
  <c r="K42"/>
  <c r="AM42" s="1"/>
  <c r="V42"/>
  <c r="BA21" s="1"/>
  <c r="AE42"/>
  <c r="AO42" s="1"/>
  <c r="U43"/>
  <c r="AN43" s="1"/>
  <c r="U44"/>
  <c r="AN44" s="1"/>
  <c r="AK171"/>
  <c r="X272"/>
  <c r="AD274" s="1"/>
  <c r="AP56"/>
  <c r="I72"/>
  <c r="I74"/>
  <c r="I75"/>
  <c r="I77"/>
  <c r="O99"/>
  <c r="O100" s="1"/>
  <c r="O110"/>
  <c r="O136"/>
  <c r="O137" s="1"/>
  <c r="O167"/>
  <c r="O193"/>
  <c r="O194" s="1"/>
  <c r="C204"/>
  <c r="I208"/>
  <c r="N208" s="1"/>
  <c r="K212"/>
  <c r="I217"/>
  <c r="N217" s="1"/>
  <c r="AD237"/>
  <c r="AD239" s="1"/>
  <c r="O253"/>
  <c r="O254" s="1"/>
  <c r="AD271" i="32"/>
  <c r="U271"/>
  <c r="X271" s="1"/>
  <c r="R271"/>
  <c r="AD270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AD272" s="1"/>
  <c r="U265"/>
  <c r="X265" s="1"/>
  <c r="X272" s="1"/>
  <c r="AD274" s="1"/>
  <c r="R265"/>
  <c r="O245"/>
  <c r="O246" s="1"/>
  <c r="B244"/>
  <c r="B245" s="1"/>
  <c r="B246" s="1"/>
  <c r="B248" s="1"/>
  <c r="M239"/>
  <c r="U235"/>
  <c r="X235" s="1"/>
  <c r="R235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X237" s="1"/>
  <c r="R228"/>
  <c r="X221"/>
  <c r="U221"/>
  <c r="W221" s="1"/>
  <c r="C221"/>
  <c r="E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U218"/>
  <c r="W218" s="1"/>
  <c r="G218"/>
  <c r="K218" s="1"/>
  <c r="C218"/>
  <c r="E218" s="1"/>
  <c r="X217"/>
  <c r="U217"/>
  <c r="W217" s="1"/>
  <c r="E217"/>
  <c r="K217" s="1"/>
  <c r="C217"/>
  <c r="G217" s="1"/>
  <c r="X216"/>
  <c r="U216"/>
  <c r="W216" s="1"/>
  <c r="C216"/>
  <c r="E216" s="1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U209"/>
  <c r="W209" s="1"/>
  <c r="C209"/>
  <c r="E209" s="1"/>
  <c r="X208"/>
  <c r="W208"/>
  <c r="U208"/>
  <c r="E208"/>
  <c r="K208" s="1"/>
  <c r="C208"/>
  <c r="X207"/>
  <c r="U207"/>
  <c r="W207" s="1"/>
  <c r="C207"/>
  <c r="E207" s="1"/>
  <c r="K205"/>
  <c r="I205"/>
  <c r="N205" s="1"/>
  <c r="E205"/>
  <c r="C205"/>
  <c r="E204"/>
  <c r="I204" s="1"/>
  <c r="N204" s="1"/>
  <c r="O185"/>
  <c r="O186" s="1"/>
  <c r="B184"/>
  <c r="B185" s="1"/>
  <c r="B186" s="1"/>
  <c r="B188" s="1"/>
  <c r="B183"/>
  <c r="AG170"/>
  <c r="AJ170" s="1"/>
  <c r="AG169"/>
  <c r="AJ169" s="1"/>
  <c r="AG168"/>
  <c r="AJ168" s="1"/>
  <c r="AJ167"/>
  <c r="AG167"/>
  <c r="AJ166"/>
  <c r="O166"/>
  <c r="O174" s="1"/>
  <c r="O175" s="1"/>
  <c r="B165"/>
  <c r="B166" s="1"/>
  <c r="B167" s="1"/>
  <c r="B169" s="1"/>
  <c r="O154"/>
  <c r="O155" s="1"/>
  <c r="O146"/>
  <c r="O147" s="1"/>
  <c r="B146"/>
  <c r="B147" s="1"/>
  <c r="B149" s="1"/>
  <c r="B145"/>
  <c r="O128"/>
  <c r="O129" s="1"/>
  <c r="B127"/>
  <c r="B128" s="1"/>
  <c r="B129" s="1"/>
  <c r="B131" s="1"/>
  <c r="AI114"/>
  <c r="AE114"/>
  <c r="AI110"/>
  <c r="AI111" s="1"/>
  <c r="AL110" s="1"/>
  <c r="AL109" s="1"/>
  <c r="AO109" s="1"/>
  <c r="AO110" s="1"/>
  <c r="O109"/>
  <c r="O117" s="1"/>
  <c r="O118" s="1"/>
  <c r="B109"/>
  <c r="B110" s="1"/>
  <c r="B112" s="1"/>
  <c r="B108"/>
  <c r="O91"/>
  <c r="O92" s="1"/>
  <c r="B90"/>
  <c r="B91" s="1"/>
  <c r="B92" s="1"/>
  <c r="B94" s="1"/>
  <c r="X86"/>
  <c r="U86"/>
  <c r="W86" s="1"/>
  <c r="C86"/>
  <c r="E86" s="1"/>
  <c r="X84"/>
  <c r="U84"/>
  <c r="W84" s="1"/>
  <c r="K84"/>
  <c r="I84"/>
  <c r="N84" s="1"/>
  <c r="C84"/>
  <c r="E84" s="1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C81"/>
  <c r="E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F60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B56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P56"/>
  <c r="L56"/>
  <c r="AV56" s="1"/>
  <c r="I56"/>
  <c r="K56" s="1"/>
  <c r="AI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S43"/>
  <c r="P43"/>
  <c r="V43" s="1"/>
  <c r="I43"/>
  <c r="F43"/>
  <c r="L43" s="1"/>
  <c r="AZ22" s="1"/>
  <c r="AC42"/>
  <c r="Z42"/>
  <c r="S42"/>
  <c r="P42"/>
  <c r="I42"/>
  <c r="F42"/>
  <c r="AF41"/>
  <c r="AC41"/>
  <c r="AE41" s="1"/>
  <c r="Z41"/>
  <c r="V41"/>
  <c r="S41"/>
  <c r="P41"/>
  <c r="L41"/>
  <c r="I4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U38" s="1"/>
  <c r="AN38" s="1"/>
  <c r="L38"/>
  <c r="I38"/>
  <c r="F38"/>
  <c r="AC37"/>
  <c r="Z37"/>
  <c r="AF37" s="1"/>
  <c r="BB16" s="1"/>
  <c r="S37"/>
  <c r="P37"/>
  <c r="I37"/>
  <c r="L37" s="1"/>
  <c r="AZ16" s="1"/>
  <c r="F37"/>
  <c r="AC36"/>
  <c r="Z36"/>
  <c r="AF36" s="1"/>
  <c r="BB15" s="1"/>
  <c r="S36"/>
  <c r="P36"/>
  <c r="I36"/>
  <c r="F36"/>
  <c r="AC35"/>
  <c r="Z35"/>
  <c r="AF35" s="1"/>
  <c r="BB14" s="1"/>
  <c r="S35"/>
  <c r="P35"/>
  <c r="V35" s="1"/>
  <c r="BA14" s="1"/>
  <c r="I35"/>
  <c r="F35"/>
  <c r="L35" s="1"/>
  <c r="AZ14" s="1"/>
  <c r="AF34"/>
  <c r="AC34"/>
  <c r="Z34"/>
  <c r="S34"/>
  <c r="P34"/>
  <c r="I34"/>
  <c r="F34"/>
  <c r="AC33"/>
  <c r="Z33"/>
  <c r="AF33" s="1"/>
  <c r="BB12" s="1"/>
  <c r="S33"/>
  <c r="P33"/>
  <c r="V33" s="1"/>
  <c r="BA12" s="1"/>
  <c r="I33"/>
  <c r="F33"/>
  <c r="L33" s="1"/>
  <c r="AZ12" s="1"/>
  <c r="AC32"/>
  <c r="Z32"/>
  <c r="S32"/>
  <c r="P32"/>
  <c r="V32" s="1"/>
  <c r="BA11" s="1"/>
  <c r="L32"/>
  <c r="I32"/>
  <c r="F32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L24"/>
  <c r="AV24" s="1"/>
  <c r="I24"/>
  <c r="F24"/>
  <c r="B24"/>
  <c r="B45" s="1"/>
  <c r="BD23"/>
  <c r="BB23"/>
  <c r="BA23"/>
  <c r="AZ23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4" s="1"/>
  <c r="BD22"/>
  <c r="BB22"/>
  <c r="BA22"/>
  <c r="AM22"/>
  <c r="AJ22"/>
  <c r="AO22" s="1"/>
  <c r="AC22"/>
  <c r="Z22"/>
  <c r="S22"/>
  <c r="P22"/>
  <c r="I22"/>
  <c r="F22"/>
  <c r="B22"/>
  <c r="B43" s="1"/>
  <c r="BD21"/>
  <c r="AM21"/>
  <c r="AJ21"/>
  <c r="AO21" s="1"/>
  <c r="AC21"/>
  <c r="Z21"/>
  <c r="AF21" s="1"/>
  <c r="AX21" s="1"/>
  <c r="S21"/>
  <c r="P21"/>
  <c r="I21"/>
  <c r="F21"/>
  <c r="L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V20" s="1"/>
  <c r="I20"/>
  <c r="K20" s="1"/>
  <c r="F20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0" s="1"/>
  <c r="L19"/>
  <c r="I19"/>
  <c r="F19"/>
  <c r="K19" s="1"/>
  <c r="B19"/>
  <c r="B40" s="1"/>
  <c r="AM18"/>
  <c r="AJ18"/>
  <c r="AO18" s="1"/>
  <c r="AC18"/>
  <c r="Z18"/>
  <c r="S18"/>
  <c r="P18"/>
  <c r="I18"/>
  <c r="F18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L17"/>
  <c r="AP17" s="1"/>
  <c r="I17"/>
  <c r="F17"/>
  <c r="K17" s="1"/>
  <c r="B17"/>
  <c r="B38" s="1"/>
  <c r="AM16"/>
  <c r="AJ16"/>
  <c r="AO16" s="1"/>
  <c r="AC16"/>
  <c r="Z16"/>
  <c r="S16"/>
  <c r="P16"/>
  <c r="I16"/>
  <c r="F16"/>
  <c r="B16"/>
  <c r="B37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6" s="1"/>
  <c r="AM14"/>
  <c r="AJ14"/>
  <c r="AO14" s="1"/>
  <c r="AC14"/>
  <c r="Z14"/>
  <c r="S14"/>
  <c r="P14"/>
  <c r="I14"/>
  <c r="F14"/>
  <c r="B14"/>
  <c r="B35" s="1"/>
  <c r="BB13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4" s="1"/>
  <c r="AM12"/>
  <c r="AJ12"/>
  <c r="AO12" s="1"/>
  <c r="AC12"/>
  <c r="Z12"/>
  <c r="S12"/>
  <c r="P12"/>
  <c r="I12"/>
  <c r="F12"/>
  <c r="B12"/>
  <c r="B33" s="1"/>
  <c r="AZ11"/>
  <c r="AM11"/>
  <c r="AJ11"/>
  <c r="AO11" s="1"/>
  <c r="AC11"/>
  <c r="Z11"/>
  <c r="AF11" s="1"/>
  <c r="AX11" s="1"/>
  <c r="V11"/>
  <c r="AW11" s="1"/>
  <c r="S11"/>
  <c r="P11"/>
  <c r="U11" s="1"/>
  <c r="AJ32" s="1"/>
  <c r="L11"/>
  <c r="AV11" s="1"/>
  <c r="I11"/>
  <c r="F11"/>
  <c r="K11" s="1"/>
  <c r="B11"/>
  <c r="B32" s="1"/>
  <c r="AV7"/>
  <c r="M5"/>
  <c r="AW7" s="1"/>
  <c r="AD271" i="31"/>
  <c r="X271"/>
  <c r="U271"/>
  <c r="R271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AD272" s="1"/>
  <c r="X265"/>
  <c r="X272" s="1"/>
  <c r="U265"/>
  <c r="R265"/>
  <c r="O253"/>
  <c r="O254" s="1"/>
  <c r="O245"/>
  <c r="O246" s="1"/>
  <c r="B245"/>
  <c r="B246" s="1"/>
  <c r="B248" s="1"/>
  <c r="B244"/>
  <c r="M239"/>
  <c r="X235"/>
  <c r="U235"/>
  <c r="R235"/>
  <c r="U234"/>
  <c r="X234" s="1"/>
  <c r="R234"/>
  <c r="X233"/>
  <c r="U233"/>
  <c r="R233"/>
  <c r="U232"/>
  <c r="X232" s="1"/>
  <c r="R232"/>
  <c r="X231"/>
  <c r="U231"/>
  <c r="R231"/>
  <c r="U230"/>
  <c r="X230" s="1"/>
  <c r="R230"/>
  <c r="AI229"/>
  <c r="AD229"/>
  <c r="X229"/>
  <c r="U229"/>
  <c r="R229"/>
  <c r="AD228"/>
  <c r="AI228" s="1"/>
  <c r="U228"/>
  <c r="X228" s="1"/>
  <c r="X237" s="1"/>
  <c r="R228"/>
  <c r="X221"/>
  <c r="U221"/>
  <c r="W221" s="1"/>
  <c r="C221"/>
  <c r="E221" s="1"/>
  <c r="X220"/>
  <c r="W220"/>
  <c r="U220"/>
  <c r="G220"/>
  <c r="K220" s="1"/>
  <c r="E220"/>
  <c r="I220" s="1"/>
  <c r="N220" s="1"/>
  <c r="AF219"/>
  <c r="X219"/>
  <c r="W219"/>
  <c r="U219"/>
  <c r="K219"/>
  <c r="I219"/>
  <c r="N219" s="1"/>
  <c r="E219"/>
  <c r="C219"/>
  <c r="X218"/>
  <c r="U218"/>
  <c r="W218" s="1"/>
  <c r="I218"/>
  <c r="N218" s="1"/>
  <c r="G218"/>
  <c r="K218" s="1"/>
  <c r="E218"/>
  <c r="C218"/>
  <c r="X217"/>
  <c r="U217"/>
  <c r="W217" s="1"/>
  <c r="E217"/>
  <c r="K217" s="1"/>
  <c r="C217"/>
  <c r="G217" s="1"/>
  <c r="X216"/>
  <c r="W216"/>
  <c r="U216"/>
  <c r="E216"/>
  <c r="I216" s="1"/>
  <c r="N216" s="1"/>
  <c r="C216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W209"/>
  <c r="U209"/>
  <c r="E209"/>
  <c r="I209" s="1"/>
  <c r="N209" s="1"/>
  <c r="C209"/>
  <c r="X208"/>
  <c r="U208"/>
  <c r="W208" s="1"/>
  <c r="C208"/>
  <c r="E208" s="1"/>
  <c r="X207"/>
  <c r="W207"/>
  <c r="U207"/>
  <c r="E207"/>
  <c r="I207" s="1"/>
  <c r="N207" s="1"/>
  <c r="C207"/>
  <c r="K205"/>
  <c r="E205"/>
  <c r="I205" s="1"/>
  <c r="N205" s="1"/>
  <c r="I204"/>
  <c r="N204" s="1"/>
  <c r="E204"/>
  <c r="C204"/>
  <c r="B183"/>
  <c r="O185" s="1"/>
  <c r="O174"/>
  <c r="O175" s="1"/>
  <c r="AJ170"/>
  <c r="AG170"/>
  <c r="AJ169"/>
  <c r="AG169"/>
  <c r="AJ168"/>
  <c r="AG168"/>
  <c r="AG167"/>
  <c r="AJ167" s="1"/>
  <c r="O167"/>
  <c r="AA167" s="1"/>
  <c r="AJ166"/>
  <c r="AK171" s="1"/>
  <c r="O166"/>
  <c r="B166"/>
  <c r="B167" s="1"/>
  <c r="B169" s="1"/>
  <c r="B165"/>
  <c r="O146"/>
  <c r="O154" s="1"/>
  <c r="O155" s="1"/>
  <c r="B145"/>
  <c r="B146" s="1"/>
  <c r="B147" s="1"/>
  <c r="B149" s="1"/>
  <c r="O136"/>
  <c r="O137" s="1"/>
  <c r="O128"/>
  <c r="O129" s="1"/>
  <c r="B128"/>
  <c r="B129" s="1"/>
  <c r="B131" s="1"/>
  <c r="B127"/>
  <c r="AI114"/>
  <c r="AE114"/>
  <c r="AI110"/>
  <c r="O109"/>
  <c r="O117" s="1"/>
  <c r="O118" s="1"/>
  <c r="B108"/>
  <c r="B109" s="1"/>
  <c r="B110" s="1"/>
  <c r="B112" s="1"/>
  <c r="O99"/>
  <c r="O100" s="1"/>
  <c r="O91"/>
  <c r="O92" s="1"/>
  <c r="B91"/>
  <c r="B92" s="1"/>
  <c r="B94" s="1"/>
  <c r="B90"/>
  <c r="X86"/>
  <c r="U86"/>
  <c r="W86" s="1"/>
  <c r="C86"/>
  <c r="E86" s="1"/>
  <c r="X84"/>
  <c r="W84"/>
  <c r="U84"/>
  <c r="K84"/>
  <c r="I84"/>
  <c r="N84" s="1"/>
  <c r="E84"/>
  <c r="C84"/>
  <c r="X83"/>
  <c r="K83"/>
  <c r="I83"/>
  <c r="N83" s="1"/>
  <c r="C83"/>
  <c r="E83" s="1"/>
  <c r="X82"/>
  <c r="K82"/>
  <c r="I82"/>
  <c r="N82" s="1"/>
  <c r="E82"/>
  <c r="C82"/>
  <c r="X81"/>
  <c r="K81"/>
  <c r="I81"/>
  <c r="N81" s="1"/>
  <c r="C81"/>
  <c r="E81" s="1"/>
  <c r="X80"/>
  <c r="E80"/>
  <c r="I80" s="1"/>
  <c r="N80" s="1"/>
  <c r="C80"/>
  <c r="X79"/>
  <c r="N79"/>
  <c r="K79"/>
  <c r="X78"/>
  <c r="C78"/>
  <c r="E78" s="1"/>
  <c r="X77"/>
  <c r="S77"/>
  <c r="E77"/>
  <c r="K77" s="1"/>
  <c r="C77"/>
  <c r="X76"/>
  <c r="C76"/>
  <c r="E76" s="1"/>
  <c r="X75"/>
  <c r="E75"/>
  <c r="K75" s="1"/>
  <c r="C75"/>
  <c r="X74"/>
  <c r="S74"/>
  <c r="E74"/>
  <c r="K74" s="1"/>
  <c r="C74"/>
  <c r="X73"/>
  <c r="C73"/>
  <c r="E73" s="1"/>
  <c r="X72"/>
  <c r="C72"/>
  <c r="E72" s="1"/>
  <c r="X71"/>
  <c r="E71"/>
  <c r="I71" s="1"/>
  <c r="N71" s="1"/>
  <c r="C71"/>
  <c r="K68"/>
  <c r="K69" s="1"/>
  <c r="E69" s="1"/>
  <c r="E68"/>
  <c r="I68" s="1"/>
  <c r="N68" s="1"/>
  <c r="AF60"/>
  <c r="BB56" s="1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BB22" s="1"/>
  <c r="S43"/>
  <c r="P43"/>
  <c r="V43" s="1"/>
  <c r="I43"/>
  <c r="F43"/>
  <c r="L43" s="1"/>
  <c r="AC42"/>
  <c r="Z42"/>
  <c r="S42"/>
  <c r="P42"/>
  <c r="I42"/>
  <c r="F42"/>
  <c r="AF41"/>
  <c r="AC41"/>
  <c r="AE41" s="1"/>
  <c r="Z41"/>
  <c r="V41"/>
  <c r="S41"/>
  <c r="P41"/>
  <c r="L41"/>
  <c r="I4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AF39" s="1"/>
  <c r="BB18" s="1"/>
  <c r="S39"/>
  <c r="P39"/>
  <c r="I39"/>
  <c r="F39"/>
  <c r="L39" s="1"/>
  <c r="AZ18" s="1"/>
  <c r="AF38"/>
  <c r="AC38"/>
  <c r="Z38"/>
  <c r="AE38" s="1"/>
  <c r="V38"/>
  <c r="S38"/>
  <c r="P38"/>
  <c r="U38" s="1"/>
  <c r="AN38" s="1"/>
  <c r="L38"/>
  <c r="I38"/>
  <c r="F38"/>
  <c r="K38" s="1"/>
  <c r="AM38" s="1"/>
  <c r="AC37"/>
  <c r="Z37"/>
  <c r="S37"/>
  <c r="P37"/>
  <c r="I37"/>
  <c r="F37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S33"/>
  <c r="P33"/>
  <c r="I33"/>
  <c r="F33"/>
  <c r="AC32"/>
  <c r="Z32"/>
  <c r="V32"/>
  <c r="S32"/>
  <c r="P32"/>
  <c r="U32" s="1"/>
  <c r="AN32" s="1"/>
  <c r="L32"/>
  <c r="I32"/>
  <c r="F32"/>
  <c r="K32" s="1"/>
  <c r="AM32" s="1"/>
  <c r="AJ26"/>
  <c r="AK26" s="1"/>
  <c r="AL26" s="1"/>
  <c r="AI26"/>
  <c r="BD24"/>
  <c r="BB24"/>
  <c r="BA24"/>
  <c r="AZ24"/>
  <c r="AM24"/>
  <c r="AJ24"/>
  <c r="AO24" s="1"/>
  <c r="AC24"/>
  <c r="Z24"/>
  <c r="V24"/>
  <c r="AW24" s="1"/>
  <c r="S24"/>
  <c r="P24"/>
  <c r="U24" s="1"/>
  <c r="AJ45" s="1"/>
  <c r="L24"/>
  <c r="AV24" s="1"/>
  <c r="I24"/>
  <c r="F24"/>
  <c r="K24" s="1"/>
  <c r="B24"/>
  <c r="B45" s="1"/>
  <c r="BD23"/>
  <c r="BB23"/>
  <c r="BA23"/>
  <c r="AZ23"/>
  <c r="AM23"/>
  <c r="AJ23"/>
  <c r="AO23" s="1"/>
  <c r="AC23"/>
  <c r="Z23"/>
  <c r="AF23" s="1"/>
  <c r="AX23" s="1"/>
  <c r="S23"/>
  <c r="P23"/>
  <c r="I23"/>
  <c r="F23"/>
  <c r="B23"/>
  <c r="B44" s="1"/>
  <c r="BD22"/>
  <c r="BA22"/>
  <c r="AZ22"/>
  <c r="AM22"/>
  <c r="AJ22"/>
  <c r="AO22" s="1"/>
  <c r="AC22"/>
  <c r="Z22"/>
  <c r="S22"/>
  <c r="P22"/>
  <c r="I22"/>
  <c r="F22"/>
  <c r="B22"/>
  <c r="B43" s="1"/>
  <c r="BD21"/>
  <c r="AM21"/>
  <c r="AJ21"/>
  <c r="AO21" s="1"/>
  <c r="AC21"/>
  <c r="Z21"/>
  <c r="S21"/>
  <c r="P21"/>
  <c r="I21"/>
  <c r="F21"/>
  <c r="L21" s="1"/>
  <c r="B21"/>
  <c r="B42" s="1"/>
  <c r="BD20"/>
  <c r="BB20"/>
  <c r="BA20"/>
  <c r="AZ20"/>
  <c r="AM20"/>
  <c r="AJ20"/>
  <c r="AO20" s="1"/>
  <c r="AC20"/>
  <c r="Z20"/>
  <c r="V20"/>
  <c r="AW20" s="1"/>
  <c r="S20"/>
  <c r="P20"/>
  <c r="U20" s="1"/>
  <c r="AJ41" s="1"/>
  <c r="L20"/>
  <c r="AV20" s="1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I19"/>
  <c r="K19" s="1"/>
  <c r="F19"/>
  <c r="B19"/>
  <c r="B40" s="1"/>
  <c r="AM18"/>
  <c r="AJ18"/>
  <c r="AO18" s="1"/>
  <c r="AC18"/>
  <c r="Z18"/>
  <c r="S18"/>
  <c r="P18"/>
  <c r="I18"/>
  <c r="F18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L17"/>
  <c r="I17"/>
  <c r="F17"/>
  <c r="B17"/>
  <c r="B38" s="1"/>
  <c r="AM16"/>
  <c r="AJ16"/>
  <c r="AO16" s="1"/>
  <c r="AC16"/>
  <c r="Z16"/>
  <c r="S16"/>
  <c r="P16"/>
  <c r="I16"/>
  <c r="F16"/>
  <c r="B16"/>
  <c r="B37" s="1"/>
  <c r="AM15"/>
  <c r="AJ15"/>
  <c r="AO15" s="1"/>
  <c r="AC15"/>
  <c r="Z15"/>
  <c r="S15"/>
  <c r="P15"/>
  <c r="I15"/>
  <c r="F15"/>
  <c r="B15"/>
  <c r="B36" s="1"/>
  <c r="AM14"/>
  <c r="AJ14"/>
  <c r="AO14" s="1"/>
  <c r="AC14"/>
  <c r="Z14"/>
  <c r="S14"/>
  <c r="P14"/>
  <c r="I14"/>
  <c r="F14"/>
  <c r="B14"/>
  <c r="B35" s="1"/>
  <c r="AM13"/>
  <c r="AJ13"/>
  <c r="AO13" s="1"/>
  <c r="AC13"/>
  <c r="AF13" s="1"/>
  <c r="AX13" s="1"/>
  <c r="Z13"/>
  <c r="S13"/>
  <c r="P13"/>
  <c r="I13"/>
  <c r="F13"/>
  <c r="B13"/>
  <c r="B34" s="1"/>
  <c r="AM12"/>
  <c r="AJ12"/>
  <c r="AO12" s="1"/>
  <c r="AC12"/>
  <c r="Z12"/>
  <c r="S12"/>
  <c r="P12"/>
  <c r="I12"/>
  <c r="F12"/>
  <c r="B12"/>
  <c r="B33" s="1"/>
  <c r="BD11"/>
  <c r="BA11"/>
  <c r="AZ11"/>
  <c r="AM11"/>
  <c r="AJ11"/>
  <c r="AO11" s="1"/>
  <c r="AC11"/>
  <c r="Z11"/>
  <c r="AF11" s="1"/>
  <c r="AX11" s="1"/>
  <c r="V11"/>
  <c r="AW11" s="1"/>
  <c r="S11"/>
  <c r="P11"/>
  <c r="L11"/>
  <c r="I11"/>
  <c r="F11"/>
  <c r="B11"/>
  <c r="B32" s="1"/>
  <c r="AV7"/>
  <c r="M5"/>
  <c r="AW7" s="1"/>
  <c r="AD271" i="30"/>
  <c r="X271"/>
  <c r="U271"/>
  <c r="R271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AD272" s="1"/>
  <c r="X265"/>
  <c r="X272" s="1"/>
  <c r="AD274" s="1"/>
  <c r="U265"/>
  <c r="R265"/>
  <c r="O245"/>
  <c r="O246" s="1"/>
  <c r="B245"/>
  <c r="B246" s="1"/>
  <c r="B248" s="1"/>
  <c r="B244"/>
  <c r="M239"/>
  <c r="U235"/>
  <c r="X235" s="1"/>
  <c r="R235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X237" s="1"/>
  <c r="R228"/>
  <c r="X221"/>
  <c r="U221"/>
  <c r="W221" s="1"/>
  <c r="C221"/>
  <c r="E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U218"/>
  <c r="W218" s="1"/>
  <c r="I218"/>
  <c r="N218" s="1"/>
  <c r="G218"/>
  <c r="K218" s="1"/>
  <c r="C218"/>
  <c r="E218" s="1"/>
  <c r="X217"/>
  <c r="U217"/>
  <c r="W217" s="1"/>
  <c r="E217"/>
  <c r="K217" s="1"/>
  <c r="C217"/>
  <c r="G217" s="1"/>
  <c r="X216"/>
  <c r="U216"/>
  <c r="W216" s="1"/>
  <c r="C216"/>
  <c r="E216" s="1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U209"/>
  <c r="W209" s="1"/>
  <c r="C209"/>
  <c r="E209" s="1"/>
  <c r="X208"/>
  <c r="W208"/>
  <c r="U208"/>
  <c r="E208"/>
  <c r="K208" s="1"/>
  <c r="C208"/>
  <c r="X207"/>
  <c r="U207"/>
  <c r="W207" s="1"/>
  <c r="C207"/>
  <c r="E207" s="1"/>
  <c r="K205"/>
  <c r="I205"/>
  <c r="N205" s="1"/>
  <c r="E205"/>
  <c r="C205"/>
  <c r="E204"/>
  <c r="I204" s="1"/>
  <c r="N204" s="1"/>
  <c r="O185"/>
  <c r="O186" s="1"/>
  <c r="B184"/>
  <c r="B185" s="1"/>
  <c r="B186" s="1"/>
  <c r="B188" s="1"/>
  <c r="B183"/>
  <c r="AG170"/>
  <c r="AJ170" s="1"/>
  <c r="AG169"/>
  <c r="AJ169" s="1"/>
  <c r="AG168"/>
  <c r="AJ168" s="1"/>
  <c r="AJ167"/>
  <c r="AK171" s="1"/>
  <c r="AG167"/>
  <c r="AJ166"/>
  <c r="O166"/>
  <c r="O174" s="1"/>
  <c r="O175" s="1"/>
  <c r="B165"/>
  <c r="B166" s="1"/>
  <c r="B167" s="1"/>
  <c r="B169" s="1"/>
  <c r="O154"/>
  <c r="O155" s="1"/>
  <c r="O146"/>
  <c r="O147" s="1"/>
  <c r="B146"/>
  <c r="B147" s="1"/>
  <c r="B149" s="1"/>
  <c r="B145"/>
  <c r="O128"/>
  <c r="O129" s="1"/>
  <c r="B127"/>
  <c r="B128" s="1"/>
  <c r="B129" s="1"/>
  <c r="B131" s="1"/>
  <c r="AI114"/>
  <c r="AE114"/>
  <c r="AI110"/>
  <c r="O109"/>
  <c r="O117" s="1"/>
  <c r="O118" s="1"/>
  <c r="B108"/>
  <c r="B109" s="1"/>
  <c r="B110" s="1"/>
  <c r="B112" s="1"/>
  <c r="O91"/>
  <c r="O92" s="1"/>
  <c r="B91"/>
  <c r="B92" s="1"/>
  <c r="B94" s="1"/>
  <c r="B90"/>
  <c r="X86"/>
  <c r="U86"/>
  <c r="W86" s="1"/>
  <c r="C86"/>
  <c r="E86" s="1"/>
  <c r="X84"/>
  <c r="U84"/>
  <c r="W84" s="1"/>
  <c r="K84"/>
  <c r="I84"/>
  <c r="N84" s="1"/>
  <c r="C84"/>
  <c r="E84" s="1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C81"/>
  <c r="E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F60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B56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S43"/>
  <c r="P43"/>
  <c r="V43" s="1"/>
  <c r="I43"/>
  <c r="F43"/>
  <c r="L43" s="1"/>
  <c r="AC42"/>
  <c r="Z42"/>
  <c r="S42"/>
  <c r="P42"/>
  <c r="I42"/>
  <c r="F42"/>
  <c r="AF41"/>
  <c r="AC41"/>
  <c r="AE41" s="1"/>
  <c r="Z41"/>
  <c r="V41"/>
  <c r="S4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U38" s="1"/>
  <c r="AN38" s="1"/>
  <c r="L38"/>
  <c r="I38"/>
  <c r="K38" s="1"/>
  <c r="AM38" s="1"/>
  <c r="F38"/>
  <c r="AC37"/>
  <c r="Z37"/>
  <c r="S37"/>
  <c r="P37"/>
  <c r="I37"/>
  <c r="F37"/>
  <c r="L37" s="1"/>
  <c r="AZ16" s="1"/>
  <c r="AC36"/>
  <c r="Z36"/>
  <c r="AF36" s="1"/>
  <c r="BB15" s="1"/>
  <c r="S36"/>
  <c r="P36"/>
  <c r="V36" s="1"/>
  <c r="BA15" s="1"/>
  <c r="I36"/>
  <c r="F36"/>
  <c r="L36" s="1"/>
  <c r="AZ15" s="1"/>
  <c r="AC35"/>
  <c r="Z35"/>
  <c r="S35"/>
  <c r="P35"/>
  <c r="I35"/>
  <c r="F35"/>
  <c r="AC34"/>
  <c r="Z34"/>
  <c r="AF34" s="1"/>
  <c r="BB13" s="1"/>
  <c r="S34"/>
  <c r="P34"/>
  <c r="V34" s="1"/>
  <c r="BA13" s="1"/>
  <c r="I34"/>
  <c r="F34"/>
  <c r="L34" s="1"/>
  <c r="AZ13" s="1"/>
  <c r="AC33"/>
  <c r="Z33"/>
  <c r="S33"/>
  <c r="P33"/>
  <c r="I33"/>
  <c r="F33"/>
  <c r="AC32"/>
  <c r="Z32"/>
  <c r="S32"/>
  <c r="P32"/>
  <c r="V32" s="1"/>
  <c r="BA11" s="1"/>
  <c r="I32"/>
  <c r="F32"/>
  <c r="L32" s="1"/>
  <c r="AZ11" s="1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U24" s="1"/>
  <c r="AJ45" s="1"/>
  <c r="L24"/>
  <c r="I24"/>
  <c r="F24"/>
  <c r="B24"/>
  <c r="B45" s="1"/>
  <c r="BD23"/>
  <c r="BB23"/>
  <c r="BA23"/>
  <c r="AZ23"/>
  <c r="AM23"/>
  <c r="AJ23"/>
  <c r="AO23" s="1"/>
  <c r="AC23"/>
  <c r="Z23"/>
  <c r="S23"/>
  <c r="P23"/>
  <c r="I23"/>
  <c r="F23"/>
  <c r="B23"/>
  <c r="B44" s="1"/>
  <c r="BD22"/>
  <c r="BB22"/>
  <c r="BA22"/>
  <c r="AZ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3" s="1"/>
  <c r="BD21"/>
  <c r="AM21"/>
  <c r="AJ21"/>
  <c r="AO21" s="1"/>
  <c r="AC21"/>
  <c r="Z2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U20" s="1"/>
  <c r="AJ41" s="1"/>
  <c r="L20"/>
  <c r="I20"/>
  <c r="F20"/>
  <c r="B20"/>
  <c r="B41" s="1"/>
  <c r="BB19"/>
  <c r="BA19"/>
  <c r="AZ19"/>
  <c r="AM19"/>
  <c r="AJ19"/>
  <c r="AO19" s="1"/>
  <c r="AC19"/>
  <c r="Z19"/>
  <c r="V19"/>
  <c r="AW19" s="1"/>
  <c r="S19"/>
  <c r="P19"/>
  <c r="U19" s="1"/>
  <c r="AJ40" s="1"/>
  <c r="L19"/>
  <c r="AV19" s="1"/>
  <c r="I19"/>
  <c r="F19"/>
  <c r="K19" s="1"/>
  <c r="B19"/>
  <c r="B40" s="1"/>
  <c r="AM18"/>
  <c r="AJ18"/>
  <c r="AO18" s="1"/>
  <c r="AC18"/>
  <c r="Z18"/>
  <c r="AF18" s="1"/>
  <c r="AX18" s="1"/>
  <c r="S18"/>
  <c r="P18"/>
  <c r="V18" s="1"/>
  <c r="AW18" s="1"/>
  <c r="I18"/>
  <c r="F18"/>
  <c r="B18"/>
  <c r="B39" s="1"/>
  <c r="BB17"/>
  <c r="BA17"/>
  <c r="AZ17"/>
  <c r="AM17"/>
  <c r="AJ17"/>
  <c r="AO17" s="1"/>
  <c r="AC17"/>
  <c r="Z17"/>
  <c r="V17"/>
  <c r="AW17" s="1"/>
  <c r="S17"/>
  <c r="P17"/>
  <c r="U17" s="1"/>
  <c r="AJ38" s="1"/>
  <c r="L17"/>
  <c r="AV17" s="1"/>
  <c r="I17"/>
  <c r="F17"/>
  <c r="K17" s="1"/>
  <c r="B17"/>
  <c r="B38" s="1"/>
  <c r="AM16"/>
  <c r="AJ16"/>
  <c r="AO16" s="1"/>
  <c r="AC16"/>
  <c r="Z16"/>
  <c r="AF16" s="1"/>
  <c r="AX16" s="1"/>
  <c r="S16"/>
  <c r="P16"/>
  <c r="V16" s="1"/>
  <c r="AW16" s="1"/>
  <c r="I16"/>
  <c r="F16"/>
  <c r="B16"/>
  <c r="B37" s="1"/>
  <c r="AM15"/>
  <c r="AJ15"/>
  <c r="AO15" s="1"/>
  <c r="AC15"/>
  <c r="Z15"/>
  <c r="S15"/>
  <c r="P15"/>
  <c r="I15"/>
  <c r="F15"/>
  <c r="L15" s="1"/>
  <c r="B15"/>
  <c r="B36" s="1"/>
  <c r="AM14"/>
  <c r="AJ14"/>
  <c r="AO14" s="1"/>
  <c r="AC14"/>
  <c r="Z14"/>
  <c r="AF14" s="1"/>
  <c r="AX14" s="1"/>
  <c r="S14"/>
  <c r="P14"/>
  <c r="V14" s="1"/>
  <c r="AW14" s="1"/>
  <c r="I14"/>
  <c r="F14"/>
  <c r="B14"/>
  <c r="B35" s="1"/>
  <c r="AM13"/>
  <c r="AJ13"/>
  <c r="AO13" s="1"/>
  <c r="AC13"/>
  <c r="Z13"/>
  <c r="S13"/>
  <c r="P13"/>
  <c r="I13"/>
  <c r="F13"/>
  <c r="B13"/>
  <c r="B34" s="1"/>
  <c r="AM12"/>
  <c r="AJ12"/>
  <c r="AO12" s="1"/>
  <c r="AC12"/>
  <c r="Z12"/>
  <c r="AF12" s="1"/>
  <c r="AX12" s="1"/>
  <c r="S12"/>
  <c r="P12"/>
  <c r="I12"/>
  <c r="F12"/>
  <c r="B12"/>
  <c r="B33" s="1"/>
  <c r="AM11"/>
  <c r="AJ11"/>
  <c r="AO11" s="1"/>
  <c r="AC11"/>
  <c r="Z11"/>
  <c r="S11"/>
  <c r="P11"/>
  <c r="I11"/>
  <c r="F11"/>
  <c r="B11"/>
  <c r="B32" s="1"/>
  <c r="AV7"/>
  <c r="M5"/>
  <c r="W5" s="1"/>
  <c r="AF32" i="29"/>
  <c r="AD271"/>
  <c r="X271"/>
  <c r="U271"/>
  <c r="R271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AD272" s="1"/>
  <c r="X265"/>
  <c r="X272" s="1"/>
  <c r="U265"/>
  <c r="R265"/>
  <c r="O245"/>
  <c r="O246" s="1"/>
  <c r="B245"/>
  <c r="B246" s="1"/>
  <c r="B248" s="1"/>
  <c r="B244"/>
  <c r="M239"/>
  <c r="U235"/>
  <c r="X235" s="1"/>
  <c r="R235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X237" s="1"/>
  <c r="R228"/>
  <c r="X221"/>
  <c r="U221"/>
  <c r="W221" s="1"/>
  <c r="C221"/>
  <c r="E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U218"/>
  <c r="W218" s="1"/>
  <c r="I218"/>
  <c r="N218" s="1"/>
  <c r="G218"/>
  <c r="K218" s="1"/>
  <c r="E218"/>
  <c r="C218"/>
  <c r="X217"/>
  <c r="U217"/>
  <c r="W217" s="1"/>
  <c r="E217"/>
  <c r="K217" s="1"/>
  <c r="C217"/>
  <c r="G217" s="1"/>
  <c r="X216"/>
  <c r="U216"/>
  <c r="W216" s="1"/>
  <c r="C216"/>
  <c r="E216" s="1"/>
  <c r="X215"/>
  <c r="U215"/>
  <c r="W215" s="1"/>
  <c r="N215"/>
  <c r="K215"/>
  <c r="X214"/>
  <c r="U214"/>
  <c r="W214" s="1"/>
  <c r="C214"/>
  <c r="E214" s="1"/>
  <c r="X213"/>
  <c r="W213"/>
  <c r="U213"/>
  <c r="S213"/>
  <c r="C213"/>
  <c r="E213" s="1"/>
  <c r="X212"/>
  <c r="W212"/>
  <c r="U212"/>
  <c r="E212"/>
  <c r="I212" s="1"/>
  <c r="N212" s="1"/>
  <c r="C212"/>
  <c r="X211"/>
  <c r="U211"/>
  <c r="W211" s="1"/>
  <c r="C211"/>
  <c r="E211" s="1"/>
  <c r="X210"/>
  <c r="W210"/>
  <c r="U210"/>
  <c r="S210"/>
  <c r="C210"/>
  <c r="E210" s="1"/>
  <c r="X209"/>
  <c r="U209"/>
  <c r="W209" s="1"/>
  <c r="C209"/>
  <c r="E209" s="1"/>
  <c r="X208"/>
  <c r="W208"/>
  <c r="U208"/>
  <c r="E208"/>
  <c r="K208" s="1"/>
  <c r="C208"/>
  <c r="X207"/>
  <c r="U207"/>
  <c r="W207" s="1"/>
  <c r="C207"/>
  <c r="E207" s="1"/>
  <c r="K205"/>
  <c r="I205"/>
  <c r="N205" s="1"/>
  <c r="E205"/>
  <c r="C205"/>
  <c r="E204"/>
  <c r="I204" s="1"/>
  <c r="N204" s="1"/>
  <c r="O185"/>
  <c r="O186" s="1"/>
  <c r="B184"/>
  <c r="B185" s="1"/>
  <c r="B186" s="1"/>
  <c r="B188" s="1"/>
  <c r="B183"/>
  <c r="AG170"/>
  <c r="AJ170" s="1"/>
  <c r="AG169"/>
  <c r="AJ169" s="1"/>
  <c r="AG168"/>
  <c r="AJ168" s="1"/>
  <c r="AJ167"/>
  <c r="AG167"/>
  <c r="AJ166"/>
  <c r="O166"/>
  <c r="O174" s="1"/>
  <c r="O175" s="1"/>
  <c r="B165"/>
  <c r="B166" s="1"/>
  <c r="B167" s="1"/>
  <c r="B169" s="1"/>
  <c r="O154"/>
  <c r="O155" s="1"/>
  <c r="O146"/>
  <c r="O147" s="1"/>
  <c r="B146"/>
  <c r="B147" s="1"/>
  <c r="B149" s="1"/>
  <c r="B145"/>
  <c r="O128"/>
  <c r="O129" s="1"/>
  <c r="B127"/>
  <c r="B128" s="1"/>
  <c r="B129" s="1"/>
  <c r="B131" s="1"/>
  <c r="AI114"/>
  <c r="AE114"/>
  <c r="AI110"/>
  <c r="AI111" s="1"/>
  <c r="AL110" s="1"/>
  <c r="AL109" s="1"/>
  <c r="AO109" s="1"/>
  <c r="AO110" s="1"/>
  <c r="O109"/>
  <c r="O117" s="1"/>
  <c r="O118" s="1"/>
  <c r="B109"/>
  <c r="B110" s="1"/>
  <c r="B112" s="1"/>
  <c r="B108"/>
  <c r="O91"/>
  <c r="O92" s="1"/>
  <c r="B90"/>
  <c r="B91" s="1"/>
  <c r="B92" s="1"/>
  <c r="B94" s="1"/>
  <c r="X86"/>
  <c r="U86"/>
  <c r="W86" s="1"/>
  <c r="C86"/>
  <c r="E86" s="1"/>
  <c r="X84"/>
  <c r="U84"/>
  <c r="W84" s="1"/>
  <c r="K84"/>
  <c r="I84"/>
  <c r="N84" s="1"/>
  <c r="C84"/>
  <c r="E84" s="1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E81"/>
  <c r="C81"/>
  <c r="X80"/>
  <c r="C80"/>
  <c r="E80" s="1"/>
  <c r="X79"/>
  <c r="N79"/>
  <c r="K79"/>
  <c r="X78"/>
  <c r="C78"/>
  <c r="E78" s="1"/>
  <c r="X77"/>
  <c r="S77"/>
  <c r="E77"/>
  <c r="K77" s="1"/>
  <c r="C77"/>
  <c r="X76"/>
  <c r="C76"/>
  <c r="E76" s="1"/>
  <c r="X75"/>
  <c r="C75"/>
  <c r="E75" s="1"/>
  <c r="X74"/>
  <c r="S74"/>
  <c r="E74"/>
  <c r="K74" s="1"/>
  <c r="C74"/>
  <c r="X73"/>
  <c r="C73"/>
  <c r="E73" s="1"/>
  <c r="X72"/>
  <c r="C72"/>
  <c r="E72" s="1"/>
  <c r="X71"/>
  <c r="C71"/>
  <c r="E71" s="1"/>
  <c r="K68"/>
  <c r="K69" s="1"/>
  <c r="E69" s="1"/>
  <c r="I68"/>
  <c r="N68" s="1"/>
  <c r="E68"/>
  <c r="C68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C56"/>
  <c r="AE56" s="1"/>
  <c r="AK60" s="1"/>
  <c r="Z56"/>
  <c r="AF56" s="1"/>
  <c r="AX56" s="1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AF44" s="1"/>
  <c r="S44"/>
  <c r="P44"/>
  <c r="V44" s="1"/>
  <c r="I44"/>
  <c r="F44"/>
  <c r="L44" s="1"/>
  <c r="AC43"/>
  <c r="Z43"/>
  <c r="AF43" s="1"/>
  <c r="S43"/>
  <c r="P43"/>
  <c r="V43" s="1"/>
  <c r="BA22" s="1"/>
  <c r="I43"/>
  <c r="F43"/>
  <c r="L43" s="1"/>
  <c r="AC42"/>
  <c r="Z42"/>
  <c r="S42"/>
  <c r="P42"/>
  <c r="I42"/>
  <c r="F42"/>
  <c r="AF41"/>
  <c r="AC41"/>
  <c r="AE41" s="1"/>
  <c r="Z41"/>
  <c r="V41"/>
  <c r="S4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U38" s="1"/>
  <c r="AN38" s="1"/>
  <c r="L38"/>
  <c r="I38"/>
  <c r="F38"/>
  <c r="K38" s="1"/>
  <c r="AM38" s="1"/>
  <c r="AC37"/>
  <c r="Z37"/>
  <c r="S37"/>
  <c r="P37"/>
  <c r="I37"/>
  <c r="F37"/>
  <c r="AC36"/>
  <c r="Z36"/>
  <c r="AF36" s="1"/>
  <c r="BB15" s="1"/>
  <c r="S36"/>
  <c r="P36"/>
  <c r="V36" s="1"/>
  <c r="BA15" s="1"/>
  <c r="I36"/>
  <c r="F36"/>
  <c r="L36" s="1"/>
  <c r="AZ15" s="1"/>
  <c r="AC35"/>
  <c r="Z35"/>
  <c r="S35"/>
  <c r="P35"/>
  <c r="I35"/>
  <c r="F35"/>
  <c r="AC34"/>
  <c r="Z34"/>
  <c r="AF34" s="1"/>
  <c r="BB13" s="1"/>
  <c r="S34"/>
  <c r="P34"/>
  <c r="V34" s="1"/>
  <c r="BA13" s="1"/>
  <c r="I34"/>
  <c r="F34"/>
  <c r="L34" s="1"/>
  <c r="AZ13" s="1"/>
  <c r="AC33"/>
  <c r="Z33"/>
  <c r="S33"/>
  <c r="P33"/>
  <c r="I33"/>
  <c r="F33"/>
  <c r="AC32"/>
  <c r="Z32"/>
  <c r="BB11" s="1"/>
  <c r="S32"/>
  <c r="P32"/>
  <c r="V32" s="1"/>
  <c r="BA11" s="1"/>
  <c r="I32"/>
  <c r="F32"/>
  <c r="L32" s="1"/>
  <c r="AZ11" s="1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U24" s="1"/>
  <c r="AJ45" s="1"/>
  <c r="L24"/>
  <c r="I24"/>
  <c r="F24"/>
  <c r="K24" s="1"/>
  <c r="B24"/>
  <c r="B45" s="1"/>
  <c r="BD23"/>
  <c r="BB23"/>
  <c r="BA23"/>
  <c r="AZ23"/>
  <c r="AM23"/>
  <c r="AJ23"/>
  <c r="AO23" s="1"/>
  <c r="AC23"/>
  <c r="Z23"/>
  <c r="AF23" s="1"/>
  <c r="AX23" s="1"/>
  <c r="S23"/>
  <c r="P23"/>
  <c r="V23" s="1"/>
  <c r="AW23" s="1"/>
  <c r="I23"/>
  <c r="F23"/>
  <c r="L23" s="1"/>
  <c r="AV23" s="1"/>
  <c r="B23"/>
  <c r="B44" s="1"/>
  <c r="BD22"/>
  <c r="BB22"/>
  <c r="AZ22"/>
  <c r="AM22"/>
  <c r="AJ22"/>
  <c r="AO22" s="1"/>
  <c r="AC22"/>
  <c r="Z22"/>
  <c r="S22"/>
  <c r="P22"/>
  <c r="V22" s="1"/>
  <c r="AW22" s="1"/>
  <c r="I22"/>
  <c r="F22"/>
  <c r="L22" s="1"/>
  <c r="B22"/>
  <c r="B43" s="1"/>
  <c r="BD21"/>
  <c r="AM21"/>
  <c r="AJ21"/>
  <c r="AO21" s="1"/>
  <c r="AC21"/>
  <c r="Z2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U20" s="1"/>
  <c r="AJ41" s="1"/>
  <c r="L20"/>
  <c r="AP20" s="1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K19" s="1"/>
  <c r="F19"/>
  <c r="B19"/>
  <c r="B40" s="1"/>
  <c r="AM18"/>
  <c r="AJ18"/>
  <c r="AO18" s="1"/>
  <c r="AC18"/>
  <c r="Z18"/>
  <c r="AF18" s="1"/>
  <c r="AX18" s="1"/>
  <c r="S18"/>
  <c r="P18"/>
  <c r="V18" s="1"/>
  <c r="AW18" s="1"/>
  <c r="I18"/>
  <c r="F18"/>
  <c r="L18" s="1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L17"/>
  <c r="AV17" s="1"/>
  <c r="I17"/>
  <c r="K17" s="1"/>
  <c r="F17"/>
  <c r="B17"/>
  <c r="B38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7" s="1"/>
  <c r="AM15"/>
  <c r="AJ15"/>
  <c r="AO15" s="1"/>
  <c r="AC15"/>
  <c r="Z15"/>
  <c r="S15"/>
  <c r="P15"/>
  <c r="I15"/>
  <c r="F15"/>
  <c r="B15"/>
  <c r="B36" s="1"/>
  <c r="AM14"/>
  <c r="AJ14"/>
  <c r="AO14" s="1"/>
  <c r="AC14"/>
  <c r="Z14"/>
  <c r="AF14" s="1"/>
  <c r="AX14" s="1"/>
  <c r="S14"/>
  <c r="P14"/>
  <c r="V14" s="1"/>
  <c r="AW14" s="1"/>
  <c r="I14"/>
  <c r="F14"/>
  <c r="L14" s="1"/>
  <c r="B14"/>
  <c r="B35" s="1"/>
  <c r="AM13"/>
  <c r="AJ13"/>
  <c r="AO13" s="1"/>
  <c r="AC13"/>
  <c r="Z13"/>
  <c r="S13"/>
  <c r="P13"/>
  <c r="V13" s="1"/>
  <c r="AW13" s="1"/>
  <c r="I13"/>
  <c r="F13"/>
  <c r="L13" s="1"/>
  <c r="B13"/>
  <c r="B34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L11" s="1"/>
  <c r="AV11" s="1"/>
  <c r="B11"/>
  <c r="B32" s="1"/>
  <c r="AV7"/>
  <c r="M5"/>
  <c r="W5" s="1"/>
  <c r="B24" i="28"/>
  <c r="B45" s="1"/>
  <c r="X84"/>
  <c r="U84"/>
  <c r="W84" s="1"/>
  <c r="K84"/>
  <c r="I84"/>
  <c r="Q84" s="1"/>
  <c r="C84"/>
  <c r="E84" s="1"/>
  <c r="B23"/>
  <c r="AD271"/>
  <c r="U271"/>
  <c r="X271" s="1"/>
  <c r="R271"/>
  <c r="AD270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AD272" s="1"/>
  <c r="U265"/>
  <c r="X265" s="1"/>
  <c r="R265"/>
  <c r="O245"/>
  <c r="O246" s="1"/>
  <c r="B244"/>
  <c r="B245" s="1"/>
  <c r="B246" s="1"/>
  <c r="B248" s="1"/>
  <c r="M239"/>
  <c r="U235"/>
  <c r="X235" s="1"/>
  <c r="R235"/>
  <c r="U234"/>
  <c r="X234" s="1"/>
  <c r="R234"/>
  <c r="X233"/>
  <c r="U233"/>
  <c r="R233"/>
  <c r="U232"/>
  <c r="X232" s="1"/>
  <c r="R232"/>
  <c r="U231"/>
  <c r="X231" s="1"/>
  <c r="R231"/>
  <c r="U230"/>
  <c r="X230" s="1"/>
  <c r="R230"/>
  <c r="AD229"/>
  <c r="AI229" s="1"/>
  <c r="U229"/>
  <c r="X229" s="1"/>
  <c r="R229"/>
  <c r="AD228"/>
  <c r="AI228" s="1"/>
  <c r="U228"/>
  <c r="X228" s="1"/>
  <c r="R228"/>
  <c r="X221"/>
  <c r="U221"/>
  <c r="W221" s="1"/>
  <c r="C221"/>
  <c r="E221" s="1"/>
  <c r="K221" s="1"/>
  <c r="X220"/>
  <c r="U220"/>
  <c r="W220" s="1"/>
  <c r="G220"/>
  <c r="K220" s="1"/>
  <c r="E220"/>
  <c r="I220" s="1"/>
  <c r="N220" s="1"/>
  <c r="AF219"/>
  <c r="X219"/>
  <c r="U219"/>
  <c r="W219" s="1"/>
  <c r="K219"/>
  <c r="I219"/>
  <c r="N219" s="1"/>
  <c r="C219"/>
  <c r="E219" s="1"/>
  <c r="X218"/>
  <c r="U218"/>
  <c r="W218" s="1"/>
  <c r="G218"/>
  <c r="K218" s="1"/>
  <c r="X217"/>
  <c r="U217"/>
  <c r="W217" s="1"/>
  <c r="C217"/>
  <c r="G217" s="1"/>
  <c r="X216"/>
  <c r="W216"/>
  <c r="U216"/>
  <c r="E216"/>
  <c r="I216" s="1"/>
  <c r="N216" s="1"/>
  <c r="C216"/>
  <c r="X215"/>
  <c r="U215"/>
  <c r="W215" s="1"/>
  <c r="N215"/>
  <c r="K215"/>
  <c r="X214"/>
  <c r="U214"/>
  <c r="W214" s="1"/>
  <c r="C214"/>
  <c r="E214" s="1"/>
  <c r="K214" s="1"/>
  <c r="X213"/>
  <c r="W213"/>
  <c r="U213"/>
  <c r="S213"/>
  <c r="C213"/>
  <c r="E213" s="1"/>
  <c r="K213" s="1"/>
  <c r="X212"/>
  <c r="U212"/>
  <c r="W212" s="1"/>
  <c r="C212"/>
  <c r="E212" s="1"/>
  <c r="X211"/>
  <c r="U211"/>
  <c r="W211" s="1"/>
  <c r="C211"/>
  <c r="E211" s="1"/>
  <c r="K211" s="1"/>
  <c r="X210"/>
  <c r="U210"/>
  <c r="W210" s="1"/>
  <c r="S210"/>
  <c r="C210"/>
  <c r="E210" s="1"/>
  <c r="K210" s="1"/>
  <c r="X209"/>
  <c r="U209"/>
  <c r="W209" s="1"/>
  <c r="C209"/>
  <c r="E209" s="1"/>
  <c r="I209" s="1"/>
  <c r="N209" s="1"/>
  <c r="X208"/>
  <c r="U208"/>
  <c r="W208" s="1"/>
  <c r="C208"/>
  <c r="E208" s="1"/>
  <c r="K208" s="1"/>
  <c r="X207"/>
  <c r="U207"/>
  <c r="W207" s="1"/>
  <c r="C207"/>
  <c r="E207" s="1"/>
  <c r="I207" s="1"/>
  <c r="N207" s="1"/>
  <c r="K205"/>
  <c r="E205"/>
  <c r="E204"/>
  <c r="I204" s="1"/>
  <c r="N204" s="1"/>
  <c r="B183"/>
  <c r="AG170"/>
  <c r="AJ170" s="1"/>
  <c r="AG169"/>
  <c r="AJ169" s="1"/>
  <c r="AJ168"/>
  <c r="AG168"/>
  <c r="AG167"/>
  <c r="AJ167" s="1"/>
  <c r="AJ166"/>
  <c r="O166"/>
  <c r="O167" s="1"/>
  <c r="B165"/>
  <c r="B166" s="1"/>
  <c r="B167" s="1"/>
  <c r="B169" s="1"/>
  <c r="O146"/>
  <c r="O154" s="1"/>
  <c r="O155" s="1"/>
  <c r="AA155" s="1"/>
  <c r="B145"/>
  <c r="B146" s="1"/>
  <c r="B147" s="1"/>
  <c r="B149" s="1"/>
  <c r="B151" s="1"/>
  <c r="B153" s="1"/>
  <c r="O128"/>
  <c r="O129" s="1"/>
  <c r="B127"/>
  <c r="B128" s="1"/>
  <c r="B129" s="1"/>
  <c r="B131" s="1"/>
  <c r="AI114"/>
  <c r="AE114"/>
  <c r="AI110"/>
  <c r="O109"/>
  <c r="O117" s="1"/>
  <c r="O118" s="1"/>
  <c r="B108"/>
  <c r="B109" s="1"/>
  <c r="B110" s="1"/>
  <c r="B112" s="1"/>
  <c r="B114" s="1"/>
  <c r="B116" s="1"/>
  <c r="O91"/>
  <c r="O92" s="1"/>
  <c r="B90"/>
  <c r="B91" s="1"/>
  <c r="B92" s="1"/>
  <c r="B94" s="1"/>
  <c r="X86"/>
  <c r="U86"/>
  <c r="W86" s="1"/>
  <c r="C86"/>
  <c r="E86" s="1"/>
  <c r="K86" s="1"/>
  <c r="X83"/>
  <c r="K83"/>
  <c r="I83"/>
  <c r="N83" s="1"/>
  <c r="E83"/>
  <c r="C83"/>
  <c r="X82"/>
  <c r="K82"/>
  <c r="I82"/>
  <c r="N82" s="1"/>
  <c r="C82"/>
  <c r="E82" s="1"/>
  <c r="X81"/>
  <c r="K81"/>
  <c r="I81"/>
  <c r="N81" s="1"/>
  <c r="C81"/>
  <c r="E81" s="1"/>
  <c r="X80"/>
  <c r="C80"/>
  <c r="E80" s="1"/>
  <c r="K80" s="1"/>
  <c r="X79"/>
  <c r="N79"/>
  <c r="K79"/>
  <c r="X78"/>
  <c r="C78"/>
  <c r="E78" s="1"/>
  <c r="I78" s="1"/>
  <c r="X77"/>
  <c r="S77"/>
  <c r="C77"/>
  <c r="E77" s="1"/>
  <c r="I77" s="1"/>
  <c r="X76"/>
  <c r="C76"/>
  <c r="E76" s="1"/>
  <c r="K76" s="1"/>
  <c r="X75"/>
  <c r="E75"/>
  <c r="I75" s="1"/>
  <c r="N75" s="1"/>
  <c r="C75"/>
  <c r="X74"/>
  <c r="S74"/>
  <c r="C74"/>
  <c r="E74" s="1"/>
  <c r="X73"/>
  <c r="I73"/>
  <c r="N73" s="1"/>
  <c r="C73"/>
  <c r="E73" s="1"/>
  <c r="K73" s="1"/>
  <c r="X72"/>
  <c r="C72"/>
  <c r="E72" s="1"/>
  <c r="I72" s="1"/>
  <c r="X71"/>
  <c r="C71"/>
  <c r="E71" s="1"/>
  <c r="K71" s="1"/>
  <c r="K68"/>
  <c r="K69" s="1"/>
  <c r="E69" s="1"/>
  <c r="C69" s="1"/>
  <c r="AF60"/>
  <c r="BB56" s="1"/>
  <c r="AC60"/>
  <c r="Z60"/>
  <c r="AE60" s="1"/>
  <c r="AO60" s="1"/>
  <c r="V60"/>
  <c r="S60"/>
  <c r="P60"/>
  <c r="L60"/>
  <c r="AZ56" s="1"/>
  <c r="I60"/>
  <c r="F60"/>
  <c r="K60" s="1"/>
  <c r="AM60" s="1"/>
  <c r="BA56"/>
  <c r="AM56"/>
  <c r="AL60" s="1"/>
  <c r="AJ56"/>
  <c r="AO56" s="1"/>
  <c r="AY56" s="1"/>
  <c r="AC56"/>
  <c r="Z56"/>
  <c r="AF56" s="1"/>
  <c r="AX56" s="1"/>
  <c r="V56"/>
  <c r="AW56" s="1"/>
  <c r="S56"/>
  <c r="P56"/>
  <c r="L56"/>
  <c r="AV56" s="1"/>
  <c r="I56"/>
  <c r="F56"/>
  <c r="K56" s="1"/>
  <c r="AI60" s="1"/>
  <c r="B56"/>
  <c r="B60" s="1"/>
  <c r="C54"/>
  <c r="M54" s="1"/>
  <c r="W54" s="1"/>
  <c r="AG54" s="1"/>
  <c r="AW47"/>
  <c r="AF45"/>
  <c r="BB24" s="1"/>
  <c r="AC45"/>
  <c r="Z45"/>
  <c r="AE45" s="1"/>
  <c r="V45"/>
  <c r="S45"/>
  <c r="P45"/>
  <c r="L45"/>
  <c r="AZ24" s="1"/>
  <c r="I45"/>
  <c r="F45"/>
  <c r="K45" s="1"/>
  <c r="AM45" s="1"/>
  <c r="AC43"/>
  <c r="Z43"/>
  <c r="AF43" s="1"/>
  <c r="S43"/>
  <c r="P43"/>
  <c r="V43" s="1"/>
  <c r="BA22" s="1"/>
  <c r="I43"/>
  <c r="F43"/>
  <c r="L43" s="1"/>
  <c r="AZ22" s="1"/>
  <c r="AC42"/>
  <c r="Z42"/>
  <c r="S42"/>
  <c r="P42"/>
  <c r="V42" s="1"/>
  <c r="BA21" s="1"/>
  <c r="I42"/>
  <c r="F42"/>
  <c r="AC44"/>
  <c r="Z44"/>
  <c r="AF44" s="1"/>
  <c r="BB23" s="1"/>
  <c r="S44"/>
  <c r="P44"/>
  <c r="V44" s="1"/>
  <c r="BA23" s="1"/>
  <c r="I44"/>
  <c r="F44"/>
  <c r="L44" s="1"/>
  <c r="AZ23" s="1"/>
  <c r="AF41"/>
  <c r="AC41"/>
  <c r="Z41"/>
  <c r="V41"/>
  <c r="BA20" s="1"/>
  <c r="S41"/>
  <c r="P41"/>
  <c r="L41"/>
  <c r="I41"/>
  <c r="F41"/>
  <c r="AF40"/>
  <c r="BB19" s="1"/>
  <c r="AC40"/>
  <c r="Z40"/>
  <c r="V40"/>
  <c r="BA19" s="1"/>
  <c r="S40"/>
  <c r="P40"/>
  <c r="L40"/>
  <c r="I40"/>
  <c r="F40"/>
  <c r="AC39"/>
  <c r="Z39"/>
  <c r="S39"/>
  <c r="P39"/>
  <c r="I39"/>
  <c r="F39"/>
  <c r="AF38"/>
  <c r="BB17" s="1"/>
  <c r="AC38"/>
  <c r="Z38"/>
  <c r="V38"/>
  <c r="BA17" s="1"/>
  <c r="S38"/>
  <c r="P38"/>
  <c r="L38"/>
  <c r="I38"/>
  <c r="F38"/>
  <c r="AC37"/>
  <c r="Z37"/>
  <c r="AF37" s="1"/>
  <c r="BB16" s="1"/>
  <c r="S37"/>
  <c r="P37"/>
  <c r="V37" s="1"/>
  <c r="BA16" s="1"/>
  <c r="I37"/>
  <c r="F37"/>
  <c r="L37" s="1"/>
  <c r="AZ16" s="1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AF33" s="1"/>
  <c r="BB12" s="1"/>
  <c r="S33"/>
  <c r="P33"/>
  <c r="V33" s="1"/>
  <c r="BA12" s="1"/>
  <c r="I33"/>
  <c r="F33"/>
  <c r="L33" s="1"/>
  <c r="AZ12" s="1"/>
  <c r="AC32"/>
  <c r="Z32"/>
  <c r="S32"/>
  <c r="P32"/>
  <c r="I32"/>
  <c r="F32"/>
  <c r="AI26"/>
  <c r="AJ26" s="1"/>
  <c r="AK26" s="1"/>
  <c r="AL26" s="1"/>
  <c r="BD24"/>
  <c r="BA24"/>
  <c r="AM24"/>
  <c r="AJ24"/>
  <c r="AC24"/>
  <c r="Z24"/>
  <c r="AF24" s="1"/>
  <c r="AX24" s="1"/>
  <c r="V24"/>
  <c r="AW24" s="1"/>
  <c r="S24"/>
  <c r="P24"/>
  <c r="L24"/>
  <c r="AV24" s="1"/>
  <c r="I24"/>
  <c r="F24"/>
  <c r="BD22"/>
  <c r="BB22"/>
  <c r="AM22"/>
  <c r="AJ22"/>
  <c r="AC22"/>
  <c r="Z22"/>
  <c r="S22"/>
  <c r="P22"/>
  <c r="I22"/>
  <c r="F22"/>
  <c r="B22"/>
  <c r="B43" s="1"/>
  <c r="AM21"/>
  <c r="AJ21"/>
  <c r="AC21"/>
  <c r="Z21"/>
  <c r="S21"/>
  <c r="P21"/>
  <c r="I21"/>
  <c r="F21"/>
  <c r="B21"/>
  <c r="B42" s="1"/>
  <c r="AM23"/>
  <c r="AJ23"/>
  <c r="AC23"/>
  <c r="Z23"/>
  <c r="S23"/>
  <c r="P23"/>
  <c r="I23"/>
  <c r="F23"/>
  <c r="B44"/>
  <c r="BB20"/>
  <c r="AZ20"/>
  <c r="AM20"/>
  <c r="AJ20"/>
  <c r="AC20"/>
  <c r="Z20"/>
  <c r="AF20" s="1"/>
  <c r="AX20" s="1"/>
  <c r="V20"/>
  <c r="AW20" s="1"/>
  <c r="S20"/>
  <c r="P20"/>
  <c r="L20"/>
  <c r="AV20" s="1"/>
  <c r="I20"/>
  <c r="F20"/>
  <c r="B20"/>
  <c r="B41" s="1"/>
  <c r="AZ19"/>
  <c r="AM19"/>
  <c r="AJ19"/>
  <c r="AC19"/>
  <c r="Z19"/>
  <c r="AF19" s="1"/>
  <c r="AX19" s="1"/>
  <c r="V19"/>
  <c r="AW19" s="1"/>
  <c r="S19"/>
  <c r="P19"/>
  <c r="L19"/>
  <c r="I19"/>
  <c r="F19"/>
  <c r="B19"/>
  <c r="B40" s="1"/>
  <c r="AM18"/>
  <c r="AJ18"/>
  <c r="AC18"/>
  <c r="Z18"/>
  <c r="S18"/>
  <c r="P18"/>
  <c r="I18"/>
  <c r="F18"/>
  <c r="B18"/>
  <c r="B39" s="1"/>
  <c r="AZ17"/>
  <c r="AM17"/>
  <c r="AJ17"/>
  <c r="AC17"/>
  <c r="Z17"/>
  <c r="AF17" s="1"/>
  <c r="AX17" s="1"/>
  <c r="V17"/>
  <c r="AW17" s="1"/>
  <c r="S17"/>
  <c r="P17"/>
  <c r="L17"/>
  <c r="I17"/>
  <c r="F17"/>
  <c r="B17"/>
  <c r="B38" s="1"/>
  <c r="AM16"/>
  <c r="AJ16"/>
  <c r="AC16"/>
  <c r="Z16"/>
  <c r="S16"/>
  <c r="P16"/>
  <c r="I16"/>
  <c r="F16"/>
  <c r="B16"/>
  <c r="B37" s="1"/>
  <c r="AM15"/>
  <c r="AJ15"/>
  <c r="AC15"/>
  <c r="Z15"/>
  <c r="S15"/>
  <c r="P15"/>
  <c r="I15"/>
  <c r="F15"/>
  <c r="B15"/>
  <c r="B36" s="1"/>
  <c r="AM14"/>
  <c r="AJ14"/>
  <c r="AC14"/>
  <c r="Z14"/>
  <c r="S14"/>
  <c r="P14"/>
  <c r="I14"/>
  <c r="F14"/>
  <c r="B14"/>
  <c r="B35" s="1"/>
  <c r="AM13"/>
  <c r="AJ13"/>
  <c r="AC13"/>
  <c r="Z13"/>
  <c r="AF13" s="1"/>
  <c r="AX13" s="1"/>
  <c r="S13"/>
  <c r="P13"/>
  <c r="I13"/>
  <c r="F13"/>
  <c r="B13"/>
  <c r="B34" s="1"/>
  <c r="AM12"/>
  <c r="AJ12"/>
  <c r="AC12"/>
  <c r="Z12"/>
  <c r="S12"/>
  <c r="P12"/>
  <c r="I12"/>
  <c r="F12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2" s="1"/>
  <c r="AV7"/>
  <c r="M5"/>
  <c r="AW7" s="1"/>
  <c r="AD270" i="27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X265"/>
  <c r="U265"/>
  <c r="R265"/>
  <c r="AD264"/>
  <c r="AD271" s="1"/>
  <c r="U264"/>
  <c r="X264" s="1"/>
  <c r="X271" s="1"/>
  <c r="AD273" s="1"/>
  <c r="R264"/>
  <c r="O244"/>
  <c r="O245" s="1"/>
  <c r="B243"/>
  <c r="B244" s="1"/>
  <c r="B245" s="1"/>
  <c r="B247" s="1"/>
  <c r="M238"/>
  <c r="U234"/>
  <c r="X234" s="1"/>
  <c r="R234"/>
  <c r="X233"/>
  <c r="U233"/>
  <c r="R233"/>
  <c r="U232"/>
  <c r="X232" s="1"/>
  <c r="R232"/>
  <c r="U231"/>
  <c r="X231" s="1"/>
  <c r="R231"/>
  <c r="U230"/>
  <c r="X230" s="1"/>
  <c r="R230"/>
  <c r="U229"/>
  <c r="X229" s="1"/>
  <c r="R229"/>
  <c r="AD228"/>
  <c r="AI228" s="1"/>
  <c r="U228"/>
  <c r="X228" s="1"/>
  <c r="R228"/>
  <c r="AD227"/>
  <c r="AI227" s="1"/>
  <c r="U227"/>
  <c r="X227" s="1"/>
  <c r="X236" s="1"/>
  <c r="R227"/>
  <c r="X220"/>
  <c r="U220"/>
  <c r="W220" s="1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G217"/>
  <c r="K217" s="1"/>
  <c r="C217"/>
  <c r="E217" s="1"/>
  <c r="X216"/>
  <c r="U216"/>
  <c r="W216" s="1"/>
  <c r="E216"/>
  <c r="K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AI113"/>
  <c r="AE113"/>
  <c r="AI109"/>
  <c r="AI110" s="1"/>
  <c r="AL109" s="1"/>
  <c r="AL108" s="1"/>
  <c r="AO108" s="1"/>
  <c r="AO109" s="1"/>
  <c r="O108"/>
  <c r="O116" s="1"/>
  <c r="O117" s="1"/>
  <c r="B108"/>
  <c r="B109" s="1"/>
  <c r="B111" s="1"/>
  <c r="B107"/>
  <c r="O90"/>
  <c r="O91" s="1"/>
  <c r="B89"/>
  <c r="B90" s="1"/>
  <c r="B91" s="1"/>
  <c r="B93" s="1"/>
  <c r="X85"/>
  <c r="W85"/>
  <c r="U85"/>
  <c r="E85"/>
  <c r="K85" s="1"/>
  <c r="C85"/>
  <c r="X84"/>
  <c r="I84"/>
  <c r="N84" s="1"/>
  <c r="G84"/>
  <c r="K84" s="1"/>
  <c r="E84"/>
  <c r="C84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C81"/>
  <c r="E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I74" s="1"/>
  <c r="N74" s="1"/>
  <c r="C74"/>
  <c r="X73"/>
  <c r="C73"/>
  <c r="E73" s="1"/>
  <c r="X72"/>
  <c r="C72"/>
  <c r="E72" s="1"/>
  <c r="X71"/>
  <c r="C71"/>
  <c r="E71" s="1"/>
  <c r="K68"/>
  <c r="K69" s="1"/>
  <c r="E69" s="1"/>
  <c r="E68"/>
  <c r="I68" s="1"/>
  <c r="N68" s="1"/>
  <c r="C68"/>
  <c r="AF60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B56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P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S44"/>
  <c r="V44" s="1"/>
  <c r="P44"/>
  <c r="I44"/>
  <c r="F44"/>
  <c r="AC43"/>
  <c r="Z43"/>
  <c r="S43"/>
  <c r="P43"/>
  <c r="I43"/>
  <c r="F43"/>
  <c r="AC42"/>
  <c r="AF42" s="1"/>
  <c r="Z42"/>
  <c r="S42"/>
  <c r="V42" s="1"/>
  <c r="P42"/>
  <c r="I42"/>
  <c r="L42" s="1"/>
  <c r="F42"/>
  <c r="AF41"/>
  <c r="AC41"/>
  <c r="AE41" s="1"/>
  <c r="Z41"/>
  <c r="V41"/>
  <c r="S41"/>
  <c r="U41" s="1"/>
  <c r="AN41" s="1"/>
  <c r="P41"/>
  <c r="L41"/>
  <c r="I4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V39" s="1"/>
  <c r="BA18" s="1"/>
  <c r="I39"/>
  <c r="F39"/>
  <c r="AF38"/>
  <c r="AC38"/>
  <c r="Z38"/>
  <c r="V38"/>
  <c r="S38"/>
  <c r="P38"/>
  <c r="L38"/>
  <c r="I38"/>
  <c r="F38"/>
  <c r="AC37"/>
  <c r="Z37"/>
  <c r="AF37" s="1"/>
  <c r="BB16" s="1"/>
  <c r="S37"/>
  <c r="P37"/>
  <c r="V37" s="1"/>
  <c r="BA16" s="1"/>
  <c r="I37"/>
  <c r="F37"/>
  <c r="L37" s="1"/>
  <c r="AZ16" s="1"/>
  <c r="AC36"/>
  <c r="Z36"/>
  <c r="S36"/>
  <c r="P36"/>
  <c r="I36"/>
  <c r="F36"/>
  <c r="AC35"/>
  <c r="Z35"/>
  <c r="AF35" s="1"/>
  <c r="BB14" s="1"/>
  <c r="S35"/>
  <c r="P35"/>
  <c r="V35" s="1"/>
  <c r="BA14" s="1"/>
  <c r="I35"/>
  <c r="F35"/>
  <c r="AC34"/>
  <c r="Z34"/>
  <c r="S34"/>
  <c r="P34"/>
  <c r="I34"/>
  <c r="F34"/>
  <c r="AC33"/>
  <c r="Z33"/>
  <c r="AF33" s="1"/>
  <c r="BB12" s="1"/>
  <c r="S33"/>
  <c r="P33"/>
  <c r="I33"/>
  <c r="F33"/>
  <c r="AC32"/>
  <c r="Z32"/>
  <c r="S32"/>
  <c r="P32"/>
  <c r="I32"/>
  <c r="F32"/>
  <c r="AI26"/>
  <c r="AJ26" s="1"/>
  <c r="AK26" s="1"/>
  <c r="AL26" s="1"/>
  <c r="BD24"/>
  <c r="BB24"/>
  <c r="BA24"/>
  <c r="AZ24"/>
  <c r="AM24"/>
  <c r="AJ24"/>
  <c r="AC24"/>
  <c r="Z24"/>
  <c r="AF24" s="1"/>
  <c r="AX24" s="1"/>
  <c r="V24"/>
  <c r="AW24" s="1"/>
  <c r="S24"/>
  <c r="P24"/>
  <c r="L24"/>
  <c r="AV24" s="1"/>
  <c r="I24"/>
  <c r="F24"/>
  <c r="B24"/>
  <c r="B45" s="1"/>
  <c r="BD23"/>
  <c r="BA23"/>
  <c r="AM23"/>
  <c r="AJ23"/>
  <c r="AC23"/>
  <c r="Z23"/>
  <c r="AF23" s="1"/>
  <c r="AX23" s="1"/>
  <c r="S23"/>
  <c r="P23"/>
  <c r="V23" s="1"/>
  <c r="AW23" s="1"/>
  <c r="I23"/>
  <c r="F23"/>
  <c r="L23" s="1"/>
  <c r="B23"/>
  <c r="B44" s="1"/>
  <c r="BD22"/>
  <c r="AM22"/>
  <c r="AJ22"/>
  <c r="AC22"/>
  <c r="Z22"/>
  <c r="S22"/>
  <c r="P22"/>
  <c r="I22"/>
  <c r="F22"/>
  <c r="B22"/>
  <c r="B43" s="1"/>
  <c r="BD21"/>
  <c r="BB21"/>
  <c r="BA21"/>
  <c r="AZ21"/>
  <c r="AM21"/>
  <c r="AJ21"/>
  <c r="AC21"/>
  <c r="Z21"/>
  <c r="AF21" s="1"/>
  <c r="AX21" s="1"/>
  <c r="S21"/>
  <c r="P21"/>
  <c r="V21" s="1"/>
  <c r="AW21" s="1"/>
  <c r="I21"/>
  <c r="F21"/>
  <c r="L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U20" s="1"/>
  <c r="AJ41" s="1"/>
  <c r="P20"/>
  <c r="L20"/>
  <c r="AV20" s="1"/>
  <c r="I20"/>
  <c r="F20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0" s="1"/>
  <c r="L19"/>
  <c r="AP19" s="1"/>
  <c r="I19"/>
  <c r="F19"/>
  <c r="K19" s="1"/>
  <c r="B19"/>
  <c r="B40" s="1"/>
  <c r="AM18"/>
  <c r="AJ18"/>
  <c r="AO18" s="1"/>
  <c r="AC18"/>
  <c r="Z18"/>
  <c r="S18"/>
  <c r="P18"/>
  <c r="I18"/>
  <c r="F18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U17" s="1"/>
  <c r="AJ38" s="1"/>
  <c r="L17"/>
  <c r="AP17" s="1"/>
  <c r="I17"/>
  <c r="F17"/>
  <c r="K17" s="1"/>
  <c r="B17"/>
  <c r="B38" s="1"/>
  <c r="AM16"/>
  <c r="AJ16"/>
  <c r="AC16"/>
  <c r="Z16"/>
  <c r="S16"/>
  <c r="P16"/>
  <c r="I16"/>
  <c r="F16"/>
  <c r="B16"/>
  <c r="B37" s="1"/>
  <c r="AM15"/>
  <c r="AJ15"/>
  <c r="AO15" s="1"/>
  <c r="AC15"/>
  <c r="Z15"/>
  <c r="AF15" s="1"/>
  <c r="AX15" s="1"/>
  <c r="S15"/>
  <c r="P15"/>
  <c r="V15" s="1"/>
  <c r="AW15" s="1"/>
  <c r="I15"/>
  <c r="F15"/>
  <c r="B15"/>
  <c r="B36" s="1"/>
  <c r="BD14"/>
  <c r="AM14"/>
  <c r="AJ14"/>
  <c r="AC14"/>
  <c r="Z14"/>
  <c r="S14"/>
  <c r="P14"/>
  <c r="I14"/>
  <c r="F14"/>
  <c r="B14"/>
  <c r="B35" s="1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4" s="1"/>
  <c r="AM12"/>
  <c r="AJ12"/>
  <c r="AC12"/>
  <c r="Z12"/>
  <c r="S12"/>
  <c r="P12"/>
  <c r="I12"/>
  <c r="F12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B11"/>
  <c r="B32" s="1"/>
  <c r="AV7"/>
  <c r="M5"/>
  <c r="AW7" s="1"/>
  <c r="Z43" i="26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X265"/>
  <c r="U265"/>
  <c r="R265"/>
  <c r="AD264"/>
  <c r="AD271" s="1"/>
  <c r="X264"/>
  <c r="X271" s="1"/>
  <c r="AD273" s="1"/>
  <c r="U264"/>
  <c r="R264"/>
  <c r="O252"/>
  <c r="O253" s="1"/>
  <c r="O244"/>
  <c r="O245" s="1"/>
  <c r="B244"/>
  <c r="B245" s="1"/>
  <c r="B247" s="1"/>
  <c r="B243"/>
  <c r="M238"/>
  <c r="X234"/>
  <c r="U234"/>
  <c r="R234"/>
  <c r="U233"/>
  <c r="X233" s="1"/>
  <c r="R233"/>
  <c r="X232"/>
  <c r="U232"/>
  <c r="R232"/>
  <c r="U231"/>
  <c r="X231" s="1"/>
  <c r="R231"/>
  <c r="X230"/>
  <c r="U230"/>
  <c r="R230"/>
  <c r="U229"/>
  <c r="X229" s="1"/>
  <c r="R229"/>
  <c r="AI228"/>
  <c r="AD228"/>
  <c r="X228"/>
  <c r="U228"/>
  <c r="R228"/>
  <c r="AD227"/>
  <c r="AI227" s="1"/>
  <c r="U227"/>
  <c r="X227" s="1"/>
  <c r="X236" s="1"/>
  <c r="R227"/>
  <c r="X220"/>
  <c r="U220"/>
  <c r="W220" s="1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I217"/>
  <c r="N217" s="1"/>
  <c r="G217"/>
  <c r="K217" s="1"/>
  <c r="E217"/>
  <c r="C217"/>
  <c r="X216"/>
  <c r="U216"/>
  <c r="W216" s="1"/>
  <c r="E216"/>
  <c r="K216" s="1"/>
  <c r="C216"/>
  <c r="G216" s="1"/>
  <c r="X215"/>
  <c r="U215"/>
  <c r="W215" s="1"/>
  <c r="E215"/>
  <c r="I215" s="1"/>
  <c r="N215" s="1"/>
  <c r="C215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K170" s="1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AI113"/>
  <c r="AE113"/>
  <c r="AI109"/>
  <c r="O108"/>
  <c r="O116" s="1"/>
  <c r="O117" s="1"/>
  <c r="B107"/>
  <c r="B108" s="1"/>
  <c r="B109" s="1"/>
  <c r="B111" s="1"/>
  <c r="O90"/>
  <c r="O91" s="1"/>
  <c r="B89"/>
  <c r="B90" s="1"/>
  <c r="B91" s="1"/>
  <c r="B93" s="1"/>
  <c r="X85"/>
  <c r="U85"/>
  <c r="W85" s="1"/>
  <c r="C85"/>
  <c r="E85" s="1"/>
  <c r="X84"/>
  <c r="G84"/>
  <c r="I84" s="1"/>
  <c r="N84" s="1"/>
  <c r="C84"/>
  <c r="E84" s="1"/>
  <c r="X83"/>
  <c r="K83"/>
  <c r="I83"/>
  <c r="N83" s="1"/>
  <c r="C83"/>
  <c r="E83" s="1"/>
  <c r="X82"/>
  <c r="K82"/>
  <c r="I82"/>
  <c r="N82" s="1"/>
  <c r="C82"/>
  <c r="E82" s="1"/>
  <c r="X81"/>
  <c r="K81"/>
  <c r="I81"/>
  <c r="N81" s="1"/>
  <c r="C81"/>
  <c r="E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I74" s="1"/>
  <c r="N74" s="1"/>
  <c r="C74"/>
  <c r="X73"/>
  <c r="C73"/>
  <c r="E73" s="1"/>
  <c r="X72"/>
  <c r="E72"/>
  <c r="I72" s="1"/>
  <c r="N72" s="1"/>
  <c r="C72"/>
  <c r="X71"/>
  <c r="C71"/>
  <c r="E71" s="1"/>
  <c r="K68"/>
  <c r="K69" s="1"/>
  <c r="E69" s="1"/>
  <c r="I68"/>
  <c r="N68" s="1"/>
  <c r="E68"/>
  <c r="C68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P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S44"/>
  <c r="P44"/>
  <c r="I44"/>
  <c r="F44"/>
  <c r="AC43"/>
  <c r="S43"/>
  <c r="P43"/>
  <c r="I43"/>
  <c r="F43"/>
  <c r="AC42"/>
  <c r="Z42"/>
  <c r="S42"/>
  <c r="V42" s="1"/>
  <c r="P42"/>
  <c r="I42"/>
  <c r="F42"/>
  <c r="AF41"/>
  <c r="AC41"/>
  <c r="AE41" s="1"/>
  <c r="Z41"/>
  <c r="V41"/>
  <c r="S41"/>
  <c r="U41" s="1"/>
  <c r="AN41" s="1"/>
  <c r="P41"/>
  <c r="L41"/>
  <c r="I4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U38" s="1"/>
  <c r="AN38" s="1"/>
  <c r="L38"/>
  <c r="I38"/>
  <c r="F38"/>
  <c r="K38" s="1"/>
  <c r="AM38" s="1"/>
  <c r="AC37"/>
  <c r="Z37"/>
  <c r="S37"/>
  <c r="P37"/>
  <c r="I37"/>
  <c r="F37"/>
  <c r="L37" s="1"/>
  <c r="AZ16" s="1"/>
  <c r="AC36"/>
  <c r="Z36"/>
  <c r="AF36" s="1"/>
  <c r="BB15" s="1"/>
  <c r="S36"/>
  <c r="P36"/>
  <c r="V36" s="1"/>
  <c r="BA15" s="1"/>
  <c r="I36"/>
  <c r="F36"/>
  <c r="L36" s="1"/>
  <c r="AZ15" s="1"/>
  <c r="AC35"/>
  <c r="Z35"/>
  <c r="S35"/>
  <c r="P35"/>
  <c r="I35"/>
  <c r="F35"/>
  <c r="AC34"/>
  <c r="Z34"/>
  <c r="AF34" s="1"/>
  <c r="BB13" s="1"/>
  <c r="S34"/>
  <c r="P34"/>
  <c r="V34" s="1"/>
  <c r="BA13" s="1"/>
  <c r="I34"/>
  <c r="F34"/>
  <c r="AC33"/>
  <c r="Z33"/>
  <c r="S33"/>
  <c r="P33"/>
  <c r="I33"/>
  <c r="F33"/>
  <c r="AC32"/>
  <c r="Z32"/>
  <c r="AF32" s="1"/>
  <c r="BB11" s="1"/>
  <c r="S32"/>
  <c r="P32"/>
  <c r="V32" s="1"/>
  <c r="BA11" s="1"/>
  <c r="I32"/>
  <c r="F32"/>
  <c r="L32" s="1"/>
  <c r="AZ11" s="1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U24" s="1"/>
  <c r="AJ45" s="1"/>
  <c r="L24"/>
  <c r="I24"/>
  <c r="F24"/>
  <c r="K24" s="1"/>
  <c r="B24"/>
  <c r="B45" s="1"/>
  <c r="BD23"/>
  <c r="AM23"/>
  <c r="AJ23"/>
  <c r="AO23" s="1"/>
  <c r="AC23"/>
  <c r="Z23"/>
  <c r="S23"/>
  <c r="P23"/>
  <c r="I23"/>
  <c r="F23"/>
  <c r="B23"/>
  <c r="B44" s="1"/>
  <c r="BD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3" s="1"/>
  <c r="BD21"/>
  <c r="BA21"/>
  <c r="AM21"/>
  <c r="AJ21"/>
  <c r="AO21" s="1"/>
  <c r="AC21"/>
  <c r="Z21"/>
  <c r="AF21" s="1"/>
  <c r="AX21" s="1"/>
  <c r="S21"/>
  <c r="P21"/>
  <c r="V21" s="1"/>
  <c r="AW21" s="1"/>
  <c r="I21"/>
  <c r="F21"/>
  <c r="L21" s="1"/>
  <c r="AV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P20" s="1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K19" s="1"/>
  <c r="F19"/>
  <c r="B19"/>
  <c r="B40" s="1"/>
  <c r="AM18"/>
  <c r="AJ18"/>
  <c r="AO18" s="1"/>
  <c r="AC18"/>
  <c r="Z18"/>
  <c r="AF18" s="1"/>
  <c r="AX18" s="1"/>
  <c r="S18"/>
  <c r="P18"/>
  <c r="V18" s="1"/>
  <c r="AW18" s="1"/>
  <c r="I18"/>
  <c r="F18"/>
  <c r="L18" s="1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L17"/>
  <c r="AV17" s="1"/>
  <c r="I17"/>
  <c r="F17"/>
  <c r="B17"/>
  <c r="B38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7" s="1"/>
  <c r="AM15"/>
  <c r="AJ15"/>
  <c r="AO15" s="1"/>
  <c r="AC15"/>
  <c r="Z15"/>
  <c r="S15"/>
  <c r="P15"/>
  <c r="I15"/>
  <c r="F15"/>
  <c r="B15"/>
  <c r="B36" s="1"/>
  <c r="BD14"/>
  <c r="AM14"/>
  <c r="AJ14"/>
  <c r="AC14"/>
  <c r="Z14"/>
  <c r="AF14" s="1"/>
  <c r="AX14" s="1"/>
  <c r="S14"/>
  <c r="P14"/>
  <c r="V14" s="1"/>
  <c r="AW14" s="1"/>
  <c r="I14"/>
  <c r="F14"/>
  <c r="L14" s="1"/>
  <c r="B14"/>
  <c r="B35" s="1"/>
  <c r="AM13"/>
  <c r="AJ13"/>
  <c r="AO13" s="1"/>
  <c r="AC13"/>
  <c r="Z13"/>
  <c r="S13"/>
  <c r="P13"/>
  <c r="I13"/>
  <c r="F13"/>
  <c r="B13"/>
  <c r="B34" s="1"/>
  <c r="BD12"/>
  <c r="AM12"/>
  <c r="AJ12"/>
  <c r="AC12"/>
  <c r="Z12"/>
  <c r="AF12" s="1"/>
  <c r="AX12" s="1"/>
  <c r="S12"/>
  <c r="P12"/>
  <c r="V12" s="1"/>
  <c r="AW12" s="1"/>
  <c r="I12"/>
  <c r="F12"/>
  <c r="L12" s="1"/>
  <c r="B12"/>
  <c r="B33" s="1"/>
  <c r="AM11"/>
  <c r="AJ11"/>
  <c r="AO11" s="1"/>
  <c r="AC11"/>
  <c r="Z11"/>
  <c r="AF11" s="1"/>
  <c r="AX11" s="1"/>
  <c r="S11"/>
  <c r="P11"/>
  <c r="I11"/>
  <c r="F11"/>
  <c r="B11"/>
  <c r="B32" s="1"/>
  <c r="AV7"/>
  <c r="M5"/>
  <c r="W5" s="1"/>
  <c r="G84" i="25"/>
  <c r="I84" s="1"/>
  <c r="C78"/>
  <c r="AT35" i="34" l="1"/>
  <c r="AT14" s="1"/>
  <c r="AT44"/>
  <c r="AT23" s="1"/>
  <c r="AI44"/>
  <c r="AP44" s="1"/>
  <c r="U74"/>
  <c r="W74" s="1"/>
  <c r="AO35"/>
  <c r="BE11"/>
  <c r="AR11"/>
  <c r="BF11"/>
  <c r="BF16"/>
  <c r="BE16"/>
  <c r="AR16"/>
  <c r="BF20"/>
  <c r="BE20"/>
  <c r="AR20"/>
  <c r="BE21"/>
  <c r="AR21"/>
  <c r="BE19"/>
  <c r="AR19"/>
  <c r="BF19"/>
  <c r="BE17"/>
  <c r="AR17"/>
  <c r="BF17"/>
  <c r="BE23"/>
  <c r="AR23"/>
  <c r="BF14"/>
  <c r="BE14"/>
  <c r="AR14"/>
  <c r="U81"/>
  <c r="W81" s="1"/>
  <c r="AT42"/>
  <c r="AT21" s="1"/>
  <c r="AT33"/>
  <c r="AT12" s="1"/>
  <c r="AT39"/>
  <c r="AT18" s="1"/>
  <c r="AZ27"/>
  <c r="BD29" s="1"/>
  <c r="C58"/>
  <c r="M58" s="1"/>
  <c r="W58" s="1"/>
  <c r="M26"/>
  <c r="AZ7"/>
  <c r="AT34"/>
  <c r="AT13" s="1"/>
  <c r="AI34"/>
  <c r="AP34" s="1"/>
  <c r="U72"/>
  <c r="W72" s="1"/>
  <c r="AO33"/>
  <c r="AT36"/>
  <c r="AT15" s="1"/>
  <c r="AI36"/>
  <c r="AP36" s="1"/>
  <c r="AT32"/>
  <c r="AI32"/>
  <c r="AP32" s="1"/>
  <c r="AT60"/>
  <c r="AT56" s="1"/>
  <c r="AM35"/>
  <c r="BF18"/>
  <c r="BE18"/>
  <c r="AR18"/>
  <c r="BE56"/>
  <c r="AR56"/>
  <c r="BF56"/>
  <c r="BF12"/>
  <c r="BE12"/>
  <c r="AR12"/>
  <c r="BE15"/>
  <c r="AR15"/>
  <c r="BF15"/>
  <c r="BE13"/>
  <c r="AR13"/>
  <c r="BF13"/>
  <c r="U71"/>
  <c r="W71" s="1"/>
  <c r="U73"/>
  <c r="W73" s="1"/>
  <c r="U75"/>
  <c r="W75" s="1"/>
  <c r="AP42"/>
  <c r="AP33"/>
  <c r="AP35"/>
  <c r="AP37"/>
  <c r="AP39"/>
  <c r="AR46"/>
  <c r="AI45" i="33"/>
  <c r="AP45" s="1"/>
  <c r="AT45"/>
  <c r="AT24" s="1"/>
  <c r="U83"/>
  <c r="W83" s="1"/>
  <c r="AI39"/>
  <c r="AI35"/>
  <c r="AA254"/>
  <c r="O256"/>
  <c r="O258" s="1"/>
  <c r="O255"/>
  <c r="AA194"/>
  <c r="O196"/>
  <c r="O198" s="1"/>
  <c r="O195"/>
  <c r="AA137"/>
  <c r="O139"/>
  <c r="O141" s="1"/>
  <c r="O138"/>
  <c r="AA100"/>
  <c r="O102"/>
  <c r="O104" s="1"/>
  <c r="O101"/>
  <c r="N75"/>
  <c r="BD15"/>
  <c r="N72"/>
  <c r="BD12"/>
  <c r="AO37"/>
  <c r="N80"/>
  <c r="BD20"/>
  <c r="N73"/>
  <c r="BD13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AO33"/>
  <c r="AT23"/>
  <c r="AI44"/>
  <c r="AV22"/>
  <c r="AP22"/>
  <c r="AV20"/>
  <c r="AP20"/>
  <c r="AV16"/>
  <c r="AP16"/>
  <c r="AI36"/>
  <c r="AI34"/>
  <c r="N76"/>
  <c r="BD16"/>
  <c r="N71"/>
  <c r="BD11"/>
  <c r="C58"/>
  <c r="M58" s="1"/>
  <c r="W58" s="1"/>
  <c r="AZ7"/>
  <c r="M26"/>
  <c r="BE23"/>
  <c r="AR23"/>
  <c r="U39"/>
  <c r="AN39" s="1"/>
  <c r="U36"/>
  <c r="AN36" s="1"/>
  <c r="AE14"/>
  <c r="AK35" s="1"/>
  <c r="U78"/>
  <c r="W78" s="1"/>
  <c r="AP21"/>
  <c r="AT38"/>
  <c r="AT17" s="1"/>
  <c r="AP15"/>
  <c r="AP11"/>
  <c r="K34"/>
  <c r="AM34" s="1"/>
  <c r="U32"/>
  <c r="AN32" s="1"/>
  <c r="AE22"/>
  <c r="AK43" s="1"/>
  <c r="K22"/>
  <c r="AE18"/>
  <c r="AK39" s="1"/>
  <c r="AE12"/>
  <c r="U72" s="1"/>
  <c r="W72" s="1"/>
  <c r="U77"/>
  <c r="W77" s="1"/>
  <c r="AT40"/>
  <c r="AT19" s="1"/>
  <c r="AP13"/>
  <c r="AA167"/>
  <c r="O169"/>
  <c r="O171" s="1"/>
  <c r="O168"/>
  <c r="O111"/>
  <c r="AA110"/>
  <c r="O112"/>
  <c r="O114" s="1"/>
  <c r="N77"/>
  <c r="BD17"/>
  <c r="N74"/>
  <c r="BD14"/>
  <c r="AO41"/>
  <c r="U81"/>
  <c r="W81" s="1"/>
  <c r="AO44"/>
  <c r="AO43"/>
  <c r="AO35"/>
  <c r="AT60" s="1"/>
  <c r="AT56" s="1"/>
  <c r="AM35"/>
  <c r="AV24"/>
  <c r="AP24"/>
  <c r="AI42"/>
  <c r="AV18"/>
  <c r="AP18"/>
  <c r="AV14"/>
  <c r="AP14"/>
  <c r="N86"/>
  <c r="BD56"/>
  <c r="N78"/>
  <c r="BD19"/>
  <c r="BD18"/>
  <c r="B137"/>
  <c r="B139" s="1"/>
  <c r="U42"/>
  <c r="AN42" s="1"/>
  <c r="U37"/>
  <c r="AN37" s="1"/>
  <c r="AP12"/>
  <c r="B155"/>
  <c r="B157" s="1"/>
  <c r="AE36"/>
  <c r="K36"/>
  <c r="AM36" s="1"/>
  <c r="AE16"/>
  <c r="AK37" s="1"/>
  <c r="U14"/>
  <c r="AJ35" s="1"/>
  <c r="AP38"/>
  <c r="U34"/>
  <c r="AE32"/>
  <c r="U22"/>
  <c r="AJ43" s="1"/>
  <c r="K20"/>
  <c r="K16"/>
  <c r="AP40"/>
  <c r="V21" i="32"/>
  <c r="AE36"/>
  <c r="V37"/>
  <c r="BA16" s="1"/>
  <c r="U32"/>
  <c r="AN32" s="1"/>
  <c r="AW21"/>
  <c r="AE34"/>
  <c r="AE45"/>
  <c r="U45"/>
  <c r="AN45" s="1"/>
  <c r="U41"/>
  <c r="AN41" s="1"/>
  <c r="K41"/>
  <c r="AM41" s="1"/>
  <c r="K38"/>
  <c r="AM38" s="1"/>
  <c r="K32"/>
  <c r="AM32" s="1"/>
  <c r="K45"/>
  <c r="AM45" s="1"/>
  <c r="AE20"/>
  <c r="AK41" s="1"/>
  <c r="AE24"/>
  <c r="AK45" s="1"/>
  <c r="U17"/>
  <c r="AJ38" s="1"/>
  <c r="U24"/>
  <c r="AJ45" s="1"/>
  <c r="AP19"/>
  <c r="AV17"/>
  <c r="AV19"/>
  <c r="U56"/>
  <c r="AJ60" s="1"/>
  <c r="U20"/>
  <c r="AJ41" s="1"/>
  <c r="K24"/>
  <c r="AP60"/>
  <c r="W5"/>
  <c r="AG5" s="1"/>
  <c r="AY7" s="1"/>
  <c r="AI32"/>
  <c r="AY11"/>
  <c r="AL32"/>
  <c r="AL33"/>
  <c r="AY12"/>
  <c r="AV15"/>
  <c r="AY15"/>
  <c r="AL36"/>
  <c r="AI38"/>
  <c r="AL38"/>
  <c r="AY17"/>
  <c r="AI40"/>
  <c r="AL40"/>
  <c r="AY19"/>
  <c r="AT41"/>
  <c r="AT20" s="1"/>
  <c r="AI41"/>
  <c r="AL41"/>
  <c r="AY20"/>
  <c r="AV21"/>
  <c r="AL42"/>
  <c r="AY21"/>
  <c r="AL43"/>
  <c r="AY22"/>
  <c r="AO36"/>
  <c r="BF21"/>
  <c r="K35"/>
  <c r="U35"/>
  <c r="AN35" s="1"/>
  <c r="C26"/>
  <c r="AV13"/>
  <c r="AY13"/>
  <c r="AL34"/>
  <c r="AL35"/>
  <c r="AY14"/>
  <c r="AL37"/>
  <c r="AY16"/>
  <c r="AL39"/>
  <c r="AY18"/>
  <c r="AP23"/>
  <c r="AV23"/>
  <c r="AL44"/>
  <c r="AY23"/>
  <c r="BF23" s="1"/>
  <c r="AI45"/>
  <c r="AT45"/>
  <c r="AT24" s="1"/>
  <c r="AL45"/>
  <c r="AY24"/>
  <c r="AW26"/>
  <c r="AM26"/>
  <c r="AN26" s="1"/>
  <c r="AO26" s="1"/>
  <c r="AF32" s="1"/>
  <c r="BB11" s="1"/>
  <c r="AO34"/>
  <c r="AE32"/>
  <c r="AO40"/>
  <c r="U80"/>
  <c r="W80" s="1"/>
  <c r="AO41"/>
  <c r="I71"/>
  <c r="K71"/>
  <c r="K78"/>
  <c r="I78"/>
  <c r="K86"/>
  <c r="I86"/>
  <c r="O94"/>
  <c r="O96" s="1"/>
  <c r="O93"/>
  <c r="AA92"/>
  <c r="B114"/>
  <c r="B116" s="1"/>
  <c r="B117"/>
  <c r="O131"/>
  <c r="O133" s="1"/>
  <c r="O130"/>
  <c r="AA129"/>
  <c r="B151"/>
  <c r="B153" s="1"/>
  <c r="B154"/>
  <c r="B155" s="1"/>
  <c r="B157" s="1"/>
  <c r="O157"/>
  <c r="O159" s="1"/>
  <c r="O156"/>
  <c r="AA155"/>
  <c r="AA175"/>
  <c r="O177"/>
  <c r="O179" s="1"/>
  <c r="O176"/>
  <c r="B193"/>
  <c r="B194" s="1"/>
  <c r="B196" s="1"/>
  <c r="B190"/>
  <c r="B192" s="1"/>
  <c r="K210"/>
  <c r="I210"/>
  <c r="N210" s="1"/>
  <c r="K214"/>
  <c r="I214"/>
  <c r="N214" s="1"/>
  <c r="K221"/>
  <c r="I221"/>
  <c r="N221" s="1"/>
  <c r="B253"/>
  <c r="B250"/>
  <c r="B252" s="1"/>
  <c r="AX7"/>
  <c r="AE11"/>
  <c r="AK32" s="1"/>
  <c r="L12"/>
  <c r="V12"/>
  <c r="AW12" s="1"/>
  <c r="AF12"/>
  <c r="AX12" s="1"/>
  <c r="K13"/>
  <c r="U13"/>
  <c r="AJ34" s="1"/>
  <c r="AE13"/>
  <c r="AK34" s="1"/>
  <c r="L14"/>
  <c r="V14"/>
  <c r="AW14" s="1"/>
  <c r="AF14"/>
  <c r="AX14" s="1"/>
  <c r="K15"/>
  <c r="U15"/>
  <c r="AJ36" s="1"/>
  <c r="AE15"/>
  <c r="AK36" s="1"/>
  <c r="L16"/>
  <c r="V16"/>
  <c r="AW16" s="1"/>
  <c r="AF16"/>
  <c r="AX16" s="1"/>
  <c r="AE17"/>
  <c r="AK38" s="1"/>
  <c r="L18"/>
  <c r="V18"/>
  <c r="AW18" s="1"/>
  <c r="AF18"/>
  <c r="AX18" s="1"/>
  <c r="AE19"/>
  <c r="AK40" s="1"/>
  <c r="AP20"/>
  <c r="K21"/>
  <c r="U21"/>
  <c r="AJ42" s="1"/>
  <c r="AE21"/>
  <c r="AK42" s="1"/>
  <c r="L22"/>
  <c r="V22"/>
  <c r="AW22" s="1"/>
  <c r="AF22"/>
  <c r="AX22" s="1"/>
  <c r="BF22"/>
  <c r="K23"/>
  <c r="U23"/>
  <c r="AJ44" s="1"/>
  <c r="AE23"/>
  <c r="AK44" s="1"/>
  <c r="AP24"/>
  <c r="BE24" s="1"/>
  <c r="BF24"/>
  <c r="K33"/>
  <c r="AM33" s="1"/>
  <c r="U33"/>
  <c r="AN33" s="1"/>
  <c r="AE33"/>
  <c r="L34"/>
  <c r="AZ13" s="1"/>
  <c r="V34"/>
  <c r="BA13" s="1"/>
  <c r="AE35"/>
  <c r="L36"/>
  <c r="AZ15" s="1"/>
  <c r="V36"/>
  <c r="BA15" s="1"/>
  <c r="K37"/>
  <c r="AM37" s="1"/>
  <c r="U37"/>
  <c r="AN37" s="1"/>
  <c r="U77"/>
  <c r="W77" s="1"/>
  <c r="AO38"/>
  <c r="AO45"/>
  <c r="U83"/>
  <c r="W83" s="1"/>
  <c r="I69"/>
  <c r="C69"/>
  <c r="I73"/>
  <c r="K73"/>
  <c r="K75"/>
  <c r="I75"/>
  <c r="I76"/>
  <c r="K76"/>
  <c r="K77"/>
  <c r="I77"/>
  <c r="I80"/>
  <c r="K80"/>
  <c r="B99"/>
  <c r="B96"/>
  <c r="B98" s="1"/>
  <c r="O120"/>
  <c r="O122" s="1"/>
  <c r="O119"/>
  <c r="AA118"/>
  <c r="B136"/>
  <c r="B137" s="1"/>
  <c r="B139" s="1"/>
  <c r="B133"/>
  <c r="B135" s="1"/>
  <c r="AA147"/>
  <c r="O149"/>
  <c r="O151" s="1"/>
  <c r="O148"/>
  <c r="B174"/>
  <c r="B171"/>
  <c r="B173" s="1"/>
  <c r="O188"/>
  <c r="O190" s="1"/>
  <c r="O187"/>
  <c r="AA186"/>
  <c r="I207"/>
  <c r="N207" s="1"/>
  <c r="K207"/>
  <c r="I209"/>
  <c r="N209" s="1"/>
  <c r="K209"/>
  <c r="K211"/>
  <c r="I211"/>
  <c r="N211" s="1"/>
  <c r="K213"/>
  <c r="I213"/>
  <c r="N213" s="1"/>
  <c r="I216"/>
  <c r="N216" s="1"/>
  <c r="K216"/>
  <c r="Z216" s="1"/>
  <c r="O248"/>
  <c r="O250" s="1"/>
  <c r="O247"/>
  <c r="AA246"/>
  <c r="AR24"/>
  <c r="AE37"/>
  <c r="AK171"/>
  <c r="L39"/>
  <c r="AZ18" s="1"/>
  <c r="V39"/>
  <c r="BA18" s="1"/>
  <c r="AF39"/>
  <c r="BB18" s="1"/>
  <c r="L42"/>
  <c r="AZ21" s="1"/>
  <c r="V42"/>
  <c r="BA21" s="1"/>
  <c r="AF42"/>
  <c r="BB21" s="1"/>
  <c r="K43"/>
  <c r="AM43" s="1"/>
  <c r="U43"/>
  <c r="AN43" s="1"/>
  <c r="AE43"/>
  <c r="K44"/>
  <c r="AM44" s="1"/>
  <c r="U44"/>
  <c r="AN44" s="1"/>
  <c r="AE44"/>
  <c r="AP56"/>
  <c r="I72"/>
  <c r="I74"/>
  <c r="O99"/>
  <c r="O100" s="1"/>
  <c r="O110"/>
  <c r="O136"/>
  <c r="O137" s="1"/>
  <c r="O167"/>
  <c r="O193"/>
  <c r="O194" s="1"/>
  <c r="C204"/>
  <c r="I208"/>
  <c r="N208" s="1"/>
  <c r="K212"/>
  <c r="I217"/>
  <c r="N217" s="1"/>
  <c r="I218"/>
  <c r="N218" s="1"/>
  <c r="AD237"/>
  <c r="AD239" s="1"/>
  <c r="O253"/>
  <c r="O254" s="1"/>
  <c r="AF37" i="31"/>
  <c r="BB16" s="1"/>
  <c r="AF35"/>
  <c r="BB14" s="1"/>
  <c r="AF33"/>
  <c r="BB12" s="1"/>
  <c r="V39"/>
  <c r="BA18" s="1"/>
  <c r="V37"/>
  <c r="BA16" s="1"/>
  <c r="V35"/>
  <c r="BA14" s="1"/>
  <c r="V33"/>
  <c r="BA12" s="1"/>
  <c r="L37"/>
  <c r="AZ16" s="1"/>
  <c r="L35"/>
  <c r="AZ14" s="1"/>
  <c r="L34"/>
  <c r="AZ13" s="1"/>
  <c r="L33"/>
  <c r="AZ12" s="1"/>
  <c r="V23"/>
  <c r="AW23" s="1"/>
  <c r="V21"/>
  <c r="AW21" s="1"/>
  <c r="V15"/>
  <c r="AW15" s="1"/>
  <c r="V13"/>
  <c r="AW13" s="1"/>
  <c r="L23"/>
  <c r="AV23" s="1"/>
  <c r="L22"/>
  <c r="AV22" s="1"/>
  <c r="L15"/>
  <c r="AV15" s="1"/>
  <c r="L13"/>
  <c r="AE45"/>
  <c r="U45"/>
  <c r="AN45" s="1"/>
  <c r="U41"/>
  <c r="AN41" s="1"/>
  <c r="K45"/>
  <c r="AM45" s="1"/>
  <c r="AE11"/>
  <c r="AK32" s="1"/>
  <c r="AF21"/>
  <c r="AX21" s="1"/>
  <c r="AF15"/>
  <c r="AX15" s="1"/>
  <c r="AE17"/>
  <c r="AK38" s="1"/>
  <c r="AE19"/>
  <c r="AK40" s="1"/>
  <c r="U17"/>
  <c r="AJ38" s="1"/>
  <c r="U19"/>
  <c r="AJ40" s="1"/>
  <c r="U11"/>
  <c r="AJ32" s="1"/>
  <c r="K17"/>
  <c r="K11"/>
  <c r="K21"/>
  <c r="AY13"/>
  <c r="AL34"/>
  <c r="AL35"/>
  <c r="AY14"/>
  <c r="AL37"/>
  <c r="AY16"/>
  <c r="AT38"/>
  <c r="AT17" s="1"/>
  <c r="AI38"/>
  <c r="AY17"/>
  <c r="AL38"/>
  <c r="AL39"/>
  <c r="AY18"/>
  <c r="AT40"/>
  <c r="AT19" s="1"/>
  <c r="AI40"/>
  <c r="AL40"/>
  <c r="AY19"/>
  <c r="AI41"/>
  <c r="AL41"/>
  <c r="AY20"/>
  <c r="AL43"/>
  <c r="AY22"/>
  <c r="AP23"/>
  <c r="AR23" s="1"/>
  <c r="AI45"/>
  <c r="AL45"/>
  <c r="AY24"/>
  <c r="U78"/>
  <c r="W78" s="1"/>
  <c r="AO40"/>
  <c r="BF20"/>
  <c r="AE23"/>
  <c r="AK44" s="1"/>
  <c r="AI32"/>
  <c r="AY11"/>
  <c r="AL32"/>
  <c r="AL33"/>
  <c r="AY12"/>
  <c r="AV13"/>
  <c r="AY15"/>
  <c r="AL36"/>
  <c r="AI42"/>
  <c r="AL42"/>
  <c r="AY21"/>
  <c r="AL44"/>
  <c r="AY23"/>
  <c r="BF23" s="1"/>
  <c r="AW26"/>
  <c r="AM26"/>
  <c r="AN26" s="1"/>
  <c r="AO26" s="1"/>
  <c r="AF32" s="1"/>
  <c r="BB11" s="1"/>
  <c r="U77"/>
  <c r="W77" s="1"/>
  <c r="AO38"/>
  <c r="BF11"/>
  <c r="AP17"/>
  <c r="AP19"/>
  <c r="BF21"/>
  <c r="BF22"/>
  <c r="BF24"/>
  <c r="AO41"/>
  <c r="I69"/>
  <c r="C69"/>
  <c r="K72"/>
  <c r="I72"/>
  <c r="I73"/>
  <c r="K73"/>
  <c r="O94"/>
  <c r="O96" s="1"/>
  <c r="O93"/>
  <c r="AA92"/>
  <c r="B114"/>
  <c r="B116" s="1"/>
  <c r="B117"/>
  <c r="B118" s="1"/>
  <c r="B120" s="1"/>
  <c r="B136"/>
  <c r="B133"/>
  <c r="B135" s="1"/>
  <c r="AA137"/>
  <c r="O139"/>
  <c r="O141" s="1"/>
  <c r="O138"/>
  <c r="O157"/>
  <c r="O159" s="1"/>
  <c r="O156"/>
  <c r="AA155"/>
  <c r="B174"/>
  <c r="B171"/>
  <c r="B173" s="1"/>
  <c r="O186"/>
  <c r="O193"/>
  <c r="O194" s="1"/>
  <c r="K211"/>
  <c r="I211"/>
  <c r="N211" s="1"/>
  <c r="K213"/>
  <c r="I213"/>
  <c r="N213" s="1"/>
  <c r="K221"/>
  <c r="I221"/>
  <c r="N221" s="1"/>
  <c r="B253"/>
  <c r="B250"/>
  <c r="B252" s="1"/>
  <c r="AA254"/>
  <c r="O256"/>
  <c r="O258" s="1"/>
  <c r="O255"/>
  <c r="W5"/>
  <c r="AV11"/>
  <c r="L12"/>
  <c r="V12"/>
  <c r="AW12" s="1"/>
  <c r="AF12"/>
  <c r="AX12" s="1"/>
  <c r="K13"/>
  <c r="U13"/>
  <c r="AJ34" s="1"/>
  <c r="AE13"/>
  <c r="AK34" s="1"/>
  <c r="L14"/>
  <c r="V14"/>
  <c r="AW14" s="1"/>
  <c r="AF14"/>
  <c r="AX14" s="1"/>
  <c r="K15"/>
  <c r="U15"/>
  <c r="AJ36" s="1"/>
  <c r="AE15"/>
  <c r="AK36" s="1"/>
  <c r="L16"/>
  <c r="V16"/>
  <c r="AW16" s="1"/>
  <c r="AF16"/>
  <c r="AX16" s="1"/>
  <c r="AV17"/>
  <c r="L18"/>
  <c r="V18"/>
  <c r="AW18" s="1"/>
  <c r="AF18"/>
  <c r="AX18" s="1"/>
  <c r="AV19"/>
  <c r="AF20"/>
  <c r="AX20" s="1"/>
  <c r="U21"/>
  <c r="AJ42" s="1"/>
  <c r="AE21"/>
  <c r="AK42" s="1"/>
  <c r="AV21"/>
  <c r="V22"/>
  <c r="AW22" s="1"/>
  <c r="AF22"/>
  <c r="AX22" s="1"/>
  <c r="K23"/>
  <c r="U23"/>
  <c r="AJ44" s="1"/>
  <c r="BE23"/>
  <c r="AF24"/>
  <c r="AX24" s="1"/>
  <c r="AP24"/>
  <c r="K33"/>
  <c r="AM33" s="1"/>
  <c r="U33"/>
  <c r="AN33" s="1"/>
  <c r="AE33"/>
  <c r="V34"/>
  <c r="BA13" s="1"/>
  <c r="AF34"/>
  <c r="BB13" s="1"/>
  <c r="K35"/>
  <c r="U35"/>
  <c r="AN35" s="1"/>
  <c r="AE35"/>
  <c r="L36"/>
  <c r="AZ15" s="1"/>
  <c r="V36"/>
  <c r="BA15" s="1"/>
  <c r="AF36"/>
  <c r="BB15" s="1"/>
  <c r="K37"/>
  <c r="AM37" s="1"/>
  <c r="U37"/>
  <c r="AN37" s="1"/>
  <c r="AE37"/>
  <c r="K39"/>
  <c r="AM39" s="1"/>
  <c r="AE39"/>
  <c r="AO39" s="1"/>
  <c r="K41"/>
  <c r="AM41" s="1"/>
  <c r="AL110"/>
  <c r="AL109" s="1"/>
  <c r="AO109" s="1"/>
  <c r="AO110" s="1"/>
  <c r="AO45"/>
  <c r="I76"/>
  <c r="K76"/>
  <c r="K78"/>
  <c r="I78"/>
  <c r="K86"/>
  <c r="I86"/>
  <c r="B99"/>
  <c r="B96"/>
  <c r="B98" s="1"/>
  <c r="AA100"/>
  <c r="O102"/>
  <c r="O104" s="1"/>
  <c r="O101"/>
  <c r="O120"/>
  <c r="O122" s="1"/>
  <c r="O119"/>
  <c r="AA118"/>
  <c r="O131"/>
  <c r="O133" s="1"/>
  <c r="O130"/>
  <c r="AA129"/>
  <c r="B151"/>
  <c r="B153" s="1"/>
  <c r="B154"/>
  <c r="AA175"/>
  <c r="O177"/>
  <c r="O179" s="1"/>
  <c r="O176"/>
  <c r="K208"/>
  <c r="I208"/>
  <c r="N208" s="1"/>
  <c r="K210"/>
  <c r="I210"/>
  <c r="N210" s="1"/>
  <c r="K214"/>
  <c r="I214"/>
  <c r="N214" s="1"/>
  <c r="O248"/>
  <c r="O250" s="1"/>
  <c r="O247"/>
  <c r="AA246"/>
  <c r="U39"/>
  <c r="AN39" s="1"/>
  <c r="AD274"/>
  <c r="L42"/>
  <c r="AZ21" s="1"/>
  <c r="V42"/>
  <c r="BA21" s="1"/>
  <c r="AF42"/>
  <c r="BB21" s="1"/>
  <c r="K43"/>
  <c r="AM43" s="1"/>
  <c r="U43"/>
  <c r="AN43" s="1"/>
  <c r="AE43"/>
  <c r="K44"/>
  <c r="AM44" s="1"/>
  <c r="U44"/>
  <c r="AN44" s="1"/>
  <c r="AE44"/>
  <c r="AP56"/>
  <c r="K71"/>
  <c r="I74"/>
  <c r="I75"/>
  <c r="I77"/>
  <c r="K80"/>
  <c r="O110"/>
  <c r="AI111"/>
  <c r="O147"/>
  <c r="O168"/>
  <c r="O169"/>
  <c r="O171" s="1"/>
  <c r="K207"/>
  <c r="K209"/>
  <c r="K212"/>
  <c r="K216"/>
  <c r="Z216" s="1"/>
  <c r="I217"/>
  <c r="N217" s="1"/>
  <c r="AD237"/>
  <c r="AD239" s="1"/>
  <c r="C68"/>
  <c r="B184"/>
  <c r="B185" s="1"/>
  <c r="B186" s="1"/>
  <c r="B188" s="1"/>
  <c r="C205"/>
  <c r="AE18" i="30"/>
  <c r="AK39" s="1"/>
  <c r="V12"/>
  <c r="AW12" s="1"/>
  <c r="L18"/>
  <c r="L16"/>
  <c r="AV16" s="1"/>
  <c r="L14"/>
  <c r="L12"/>
  <c r="AE45"/>
  <c r="U41"/>
  <c r="AN41" s="1"/>
  <c r="U45"/>
  <c r="AN45" s="1"/>
  <c r="K45"/>
  <c r="AM45" s="1"/>
  <c r="U18"/>
  <c r="AJ39" s="1"/>
  <c r="AP20"/>
  <c r="AP24"/>
  <c r="K20"/>
  <c r="K24"/>
  <c r="K15"/>
  <c r="AI36" s="1"/>
  <c r="AX7"/>
  <c r="AG5"/>
  <c r="AY12"/>
  <c r="AL33"/>
  <c r="AY14"/>
  <c r="AL35"/>
  <c r="AL37"/>
  <c r="AY16"/>
  <c r="AV18"/>
  <c r="AI40"/>
  <c r="AL40"/>
  <c r="AY19"/>
  <c r="AL41"/>
  <c r="AY20"/>
  <c r="AL42"/>
  <c r="AY21"/>
  <c r="AP22"/>
  <c r="AV22"/>
  <c r="AL43"/>
  <c r="AY22"/>
  <c r="BE24"/>
  <c r="AR24"/>
  <c r="AL45"/>
  <c r="AY24"/>
  <c r="BF21"/>
  <c r="AL32"/>
  <c r="AY11"/>
  <c r="AV12"/>
  <c r="AL34"/>
  <c r="AY13"/>
  <c r="AV14"/>
  <c r="AV15"/>
  <c r="AL36"/>
  <c r="AY15"/>
  <c r="AI38"/>
  <c r="AL38"/>
  <c r="AY17"/>
  <c r="AL39"/>
  <c r="AY18"/>
  <c r="AI41"/>
  <c r="AL44"/>
  <c r="AY23"/>
  <c r="BF23" s="1"/>
  <c r="AI45"/>
  <c r="AM26"/>
  <c r="AN26" s="1"/>
  <c r="AO26" s="1"/>
  <c r="AF32" s="1"/>
  <c r="BB11" s="1"/>
  <c r="AW26"/>
  <c r="AE12"/>
  <c r="AK33" s="1"/>
  <c r="U14"/>
  <c r="AJ35" s="1"/>
  <c r="AE14"/>
  <c r="AK35" s="1"/>
  <c r="U16"/>
  <c r="AJ37" s="1"/>
  <c r="AE16"/>
  <c r="AK37" s="1"/>
  <c r="BF22"/>
  <c r="BF24"/>
  <c r="AO38"/>
  <c r="AO45"/>
  <c r="I69"/>
  <c r="C69"/>
  <c r="I73"/>
  <c r="K73"/>
  <c r="K75"/>
  <c r="I75"/>
  <c r="I76"/>
  <c r="K76"/>
  <c r="K77"/>
  <c r="I77"/>
  <c r="I80"/>
  <c r="K80"/>
  <c r="O94"/>
  <c r="O96" s="1"/>
  <c r="O93"/>
  <c r="AA92"/>
  <c r="O120"/>
  <c r="O122" s="1"/>
  <c r="O119"/>
  <c r="AA118"/>
  <c r="B136"/>
  <c r="B133"/>
  <c r="B135" s="1"/>
  <c r="AA147"/>
  <c r="O149"/>
  <c r="O151" s="1"/>
  <c r="O148"/>
  <c r="B174"/>
  <c r="B175" s="1"/>
  <c r="B177" s="1"/>
  <c r="B171"/>
  <c r="B173" s="1"/>
  <c r="O188"/>
  <c r="O190" s="1"/>
  <c r="O187"/>
  <c r="AA186"/>
  <c r="I207"/>
  <c r="N207" s="1"/>
  <c r="K207"/>
  <c r="I209"/>
  <c r="N209" s="1"/>
  <c r="K209"/>
  <c r="K211"/>
  <c r="I211"/>
  <c r="N211" s="1"/>
  <c r="K213"/>
  <c r="I213"/>
  <c r="N213" s="1"/>
  <c r="I216"/>
  <c r="N216" s="1"/>
  <c r="K216"/>
  <c r="Z216" s="1"/>
  <c r="K221"/>
  <c r="I221"/>
  <c r="N221" s="1"/>
  <c r="O248"/>
  <c r="O250" s="1"/>
  <c r="O247"/>
  <c r="AA246"/>
  <c r="AW7"/>
  <c r="L11"/>
  <c r="K11" s="1"/>
  <c r="V11"/>
  <c r="AW11" s="1"/>
  <c r="AF11"/>
  <c r="AX11" s="1"/>
  <c r="K12"/>
  <c r="U12"/>
  <c r="AJ33" s="1"/>
  <c r="L13"/>
  <c r="V13"/>
  <c r="AW13" s="1"/>
  <c r="AF13"/>
  <c r="AX13" s="1"/>
  <c r="K14"/>
  <c r="V15"/>
  <c r="AW15" s="1"/>
  <c r="AF15"/>
  <c r="AX15" s="1"/>
  <c r="K16"/>
  <c r="AF17"/>
  <c r="AX17" s="1"/>
  <c r="K18"/>
  <c r="AF19"/>
  <c r="AX19" s="1"/>
  <c r="AE20"/>
  <c r="AK41" s="1"/>
  <c r="AV20"/>
  <c r="L21"/>
  <c r="V21"/>
  <c r="AW21" s="1"/>
  <c r="AF21"/>
  <c r="AX21" s="1"/>
  <c r="K22"/>
  <c r="U22"/>
  <c r="AJ43" s="1"/>
  <c r="AE22"/>
  <c r="AK43" s="1"/>
  <c r="L23"/>
  <c r="V23"/>
  <c r="AW23" s="1"/>
  <c r="AF23"/>
  <c r="AX23" s="1"/>
  <c r="AE24"/>
  <c r="AK45" s="1"/>
  <c r="AV24"/>
  <c r="K32"/>
  <c r="AM32" s="1"/>
  <c r="U32"/>
  <c r="AN32" s="1"/>
  <c r="L33"/>
  <c r="AZ12" s="1"/>
  <c r="V33"/>
  <c r="BA12" s="1"/>
  <c r="AF33"/>
  <c r="BB12" s="1"/>
  <c r="K34"/>
  <c r="AM34" s="1"/>
  <c r="U34"/>
  <c r="AN34" s="1"/>
  <c r="AE34"/>
  <c r="L35"/>
  <c r="AZ14" s="1"/>
  <c r="V35"/>
  <c r="BA14" s="1"/>
  <c r="AF35"/>
  <c r="BB14" s="1"/>
  <c r="K36"/>
  <c r="AM36" s="1"/>
  <c r="U36"/>
  <c r="AN36" s="1"/>
  <c r="AE36"/>
  <c r="K37"/>
  <c r="AM37" s="1"/>
  <c r="V37"/>
  <c r="BA16" s="1"/>
  <c r="AO40"/>
  <c r="U80"/>
  <c r="W80" s="1"/>
  <c r="AO41"/>
  <c r="I71"/>
  <c r="K71"/>
  <c r="K78"/>
  <c r="I78"/>
  <c r="K86"/>
  <c r="I86"/>
  <c r="B99"/>
  <c r="B100" s="1"/>
  <c r="B102" s="1"/>
  <c r="B96"/>
  <c r="B98" s="1"/>
  <c r="B114"/>
  <c r="B116" s="1"/>
  <c r="B117"/>
  <c r="O131"/>
  <c r="O133" s="1"/>
  <c r="O130"/>
  <c r="AA129"/>
  <c r="B151"/>
  <c r="B153" s="1"/>
  <c r="B154"/>
  <c r="B155" s="1"/>
  <c r="B157" s="1"/>
  <c r="O157"/>
  <c r="O159" s="1"/>
  <c r="O156"/>
  <c r="AA155"/>
  <c r="AA175"/>
  <c r="O177"/>
  <c r="O179" s="1"/>
  <c r="O176"/>
  <c r="B193"/>
  <c r="B190"/>
  <c r="B192" s="1"/>
  <c r="K210"/>
  <c r="I210"/>
  <c r="N210" s="1"/>
  <c r="K214"/>
  <c r="I214"/>
  <c r="N214" s="1"/>
  <c r="B253"/>
  <c r="B250"/>
  <c r="B252" s="1"/>
  <c r="AL110"/>
  <c r="AL109" s="1"/>
  <c r="AO109" s="1"/>
  <c r="AO110" s="1"/>
  <c r="AF37"/>
  <c r="BB16" s="1"/>
  <c r="L39"/>
  <c r="AZ18" s="1"/>
  <c r="V39"/>
  <c r="BA18" s="1"/>
  <c r="AF39"/>
  <c r="BB18" s="1"/>
  <c r="L42"/>
  <c r="AZ21" s="1"/>
  <c r="V42"/>
  <c r="BA21" s="1"/>
  <c r="AF42"/>
  <c r="BB21" s="1"/>
  <c r="K43"/>
  <c r="AM43" s="1"/>
  <c r="U43"/>
  <c r="AN43" s="1"/>
  <c r="AE43"/>
  <c r="K44"/>
  <c r="AM44" s="1"/>
  <c r="U44"/>
  <c r="AN44" s="1"/>
  <c r="AE44"/>
  <c r="AP56"/>
  <c r="I72"/>
  <c r="I74"/>
  <c r="O99"/>
  <c r="O100" s="1"/>
  <c r="O110"/>
  <c r="AI111"/>
  <c r="O136"/>
  <c r="O137" s="1"/>
  <c r="O167"/>
  <c r="O193"/>
  <c r="O194" s="1"/>
  <c r="C204"/>
  <c r="I208"/>
  <c r="N208" s="1"/>
  <c r="K212"/>
  <c r="I217"/>
  <c r="N217" s="1"/>
  <c r="AD237"/>
  <c r="AD239" s="1"/>
  <c r="O253"/>
  <c r="O254" s="1"/>
  <c r="AF22" i="29"/>
  <c r="AX22" s="1"/>
  <c r="AE11"/>
  <c r="AK32" s="1"/>
  <c r="U13"/>
  <c r="AJ34" s="1"/>
  <c r="U11"/>
  <c r="AJ32" s="1"/>
  <c r="AE45"/>
  <c r="U41"/>
  <c r="AN41" s="1"/>
  <c r="U45"/>
  <c r="AN45" s="1"/>
  <c r="K43"/>
  <c r="AM43" s="1"/>
  <c r="K45"/>
  <c r="AM45" s="1"/>
  <c r="AE17"/>
  <c r="AK38" s="1"/>
  <c r="AE19"/>
  <c r="AK40" s="1"/>
  <c r="AE23"/>
  <c r="AK44" s="1"/>
  <c r="U17"/>
  <c r="AJ38" s="1"/>
  <c r="U19"/>
  <c r="AJ40" s="1"/>
  <c r="U23"/>
  <c r="AJ44" s="1"/>
  <c r="AP24"/>
  <c r="K13"/>
  <c r="AV20"/>
  <c r="AV24"/>
  <c r="K11"/>
  <c r="K23"/>
  <c r="AI44" s="1"/>
  <c r="AX7"/>
  <c r="AG5"/>
  <c r="AI32"/>
  <c r="AL32"/>
  <c r="AY11"/>
  <c r="AV13"/>
  <c r="AL34"/>
  <c r="AY13"/>
  <c r="AL36"/>
  <c r="AY15"/>
  <c r="AL42"/>
  <c r="AY21"/>
  <c r="AV22"/>
  <c r="AL43"/>
  <c r="AY22"/>
  <c r="AL44"/>
  <c r="AY23"/>
  <c r="K12"/>
  <c r="K14"/>
  <c r="U14"/>
  <c r="AJ35" s="1"/>
  <c r="AV12"/>
  <c r="AY12"/>
  <c r="AL33"/>
  <c r="AI34"/>
  <c r="AV14"/>
  <c r="AY14"/>
  <c r="AL35"/>
  <c r="AV16"/>
  <c r="AL37"/>
  <c r="AY16"/>
  <c r="AT38"/>
  <c r="AT17" s="1"/>
  <c r="AI38"/>
  <c r="AL38"/>
  <c r="AY17"/>
  <c r="AV18"/>
  <c r="AL39"/>
  <c r="AY18"/>
  <c r="AT40"/>
  <c r="AT19" s="1"/>
  <c r="AI40"/>
  <c r="AL40"/>
  <c r="AY19"/>
  <c r="AI41"/>
  <c r="AL41"/>
  <c r="AY20"/>
  <c r="AI45"/>
  <c r="BE24"/>
  <c r="AR24"/>
  <c r="AL45"/>
  <c r="AY24"/>
  <c r="AM26"/>
  <c r="AN26" s="1"/>
  <c r="AO26" s="1"/>
  <c r="AW26"/>
  <c r="BF22"/>
  <c r="BF24"/>
  <c r="U77"/>
  <c r="W77" s="1"/>
  <c r="AO38"/>
  <c r="AO45"/>
  <c r="I69"/>
  <c r="C69"/>
  <c r="I80"/>
  <c r="K80"/>
  <c r="K86"/>
  <c r="I86"/>
  <c r="O94"/>
  <c r="O96" s="1"/>
  <c r="O93"/>
  <c r="AA92"/>
  <c r="B114"/>
  <c r="B116" s="1"/>
  <c r="B117"/>
  <c r="B118" s="1"/>
  <c r="B120" s="1"/>
  <c r="O131"/>
  <c r="O133" s="1"/>
  <c r="O130"/>
  <c r="AA129"/>
  <c r="B151"/>
  <c r="B153" s="1"/>
  <c r="B154"/>
  <c r="O157"/>
  <c r="O159" s="1"/>
  <c r="O156"/>
  <c r="AA155"/>
  <c r="AA175"/>
  <c r="O177"/>
  <c r="O179" s="1"/>
  <c r="O176"/>
  <c r="B193"/>
  <c r="B194" s="1"/>
  <c r="B196" s="1"/>
  <c r="B190"/>
  <c r="B192" s="1"/>
  <c r="K210"/>
  <c r="I210"/>
  <c r="N210" s="1"/>
  <c r="K214"/>
  <c r="I214"/>
  <c r="N214" s="1"/>
  <c r="K221"/>
  <c r="I221"/>
  <c r="N221" s="1"/>
  <c r="O248"/>
  <c r="O250" s="1"/>
  <c r="O247"/>
  <c r="AA246"/>
  <c r="AW7"/>
  <c r="AP11"/>
  <c r="U12"/>
  <c r="AJ33" s="1"/>
  <c r="AE12"/>
  <c r="AK33" s="1"/>
  <c r="AF13"/>
  <c r="AX13" s="1"/>
  <c r="AE14"/>
  <c r="AK35" s="1"/>
  <c r="L15"/>
  <c r="V15"/>
  <c r="AW15" s="1"/>
  <c r="AF15"/>
  <c r="AX15" s="1"/>
  <c r="K16"/>
  <c r="U16"/>
  <c r="AJ37" s="1"/>
  <c r="AE16"/>
  <c r="AK37" s="1"/>
  <c r="AP17"/>
  <c r="K18"/>
  <c r="U18"/>
  <c r="AJ39" s="1"/>
  <c r="AE18"/>
  <c r="AK39" s="1"/>
  <c r="AP19"/>
  <c r="AE20"/>
  <c r="AK41" s="1"/>
  <c r="L21"/>
  <c r="V21"/>
  <c r="AW21" s="1"/>
  <c r="AF21"/>
  <c r="AX21" s="1"/>
  <c r="BF21"/>
  <c r="K22"/>
  <c r="U22"/>
  <c r="AJ43" s="1"/>
  <c r="AE22"/>
  <c r="AK43" s="1"/>
  <c r="AP23"/>
  <c r="BE23" s="1"/>
  <c r="BF23"/>
  <c r="AE24"/>
  <c r="AK45" s="1"/>
  <c r="K32"/>
  <c r="AM32" s="1"/>
  <c r="U32"/>
  <c r="AN32" s="1"/>
  <c r="AE32"/>
  <c r="L33"/>
  <c r="AZ12" s="1"/>
  <c r="V33"/>
  <c r="BA12" s="1"/>
  <c r="AF33"/>
  <c r="BB12" s="1"/>
  <c r="K34"/>
  <c r="AM34" s="1"/>
  <c r="U34"/>
  <c r="AN34" s="1"/>
  <c r="AE34"/>
  <c r="L35"/>
  <c r="AZ14" s="1"/>
  <c r="V35"/>
  <c r="BA14" s="1"/>
  <c r="AF35"/>
  <c r="BB14" s="1"/>
  <c r="K36"/>
  <c r="AM36" s="1"/>
  <c r="U36"/>
  <c r="AN36" s="1"/>
  <c r="AE36"/>
  <c r="U78"/>
  <c r="W78" s="1"/>
  <c r="AO40"/>
  <c r="U80"/>
  <c r="W80" s="1"/>
  <c r="AO41"/>
  <c r="I71"/>
  <c r="K71"/>
  <c r="K72"/>
  <c r="I72"/>
  <c r="I73"/>
  <c r="K73"/>
  <c r="K75"/>
  <c r="I75"/>
  <c r="I76"/>
  <c r="K76"/>
  <c r="K78"/>
  <c r="I78"/>
  <c r="B99"/>
  <c r="B100" s="1"/>
  <c r="B102" s="1"/>
  <c r="B96"/>
  <c r="B98" s="1"/>
  <c r="O120"/>
  <c r="O122" s="1"/>
  <c r="O119"/>
  <c r="AA118"/>
  <c r="B136"/>
  <c r="B133"/>
  <c r="B135" s="1"/>
  <c r="AA147"/>
  <c r="O149"/>
  <c r="O151" s="1"/>
  <c r="O148"/>
  <c r="B174"/>
  <c r="B175" s="1"/>
  <c r="B177" s="1"/>
  <c r="B171"/>
  <c r="B173" s="1"/>
  <c r="O188"/>
  <c r="O190" s="1"/>
  <c r="O187"/>
  <c r="AA186"/>
  <c r="I207"/>
  <c r="N207" s="1"/>
  <c r="K207"/>
  <c r="I209"/>
  <c r="N209" s="1"/>
  <c r="K209"/>
  <c r="K211"/>
  <c r="I211"/>
  <c r="N211" s="1"/>
  <c r="K213"/>
  <c r="I213"/>
  <c r="N213" s="1"/>
  <c r="I216"/>
  <c r="N216" s="1"/>
  <c r="K216"/>
  <c r="Z216" s="1"/>
  <c r="B253"/>
  <c r="B250"/>
  <c r="B252" s="1"/>
  <c r="AK171"/>
  <c r="AD274"/>
  <c r="L37"/>
  <c r="AZ16" s="1"/>
  <c r="V37"/>
  <c r="BA16" s="1"/>
  <c r="AF37"/>
  <c r="BB16" s="1"/>
  <c r="L39"/>
  <c r="AZ18" s="1"/>
  <c r="V39"/>
  <c r="BA18" s="1"/>
  <c r="AF39"/>
  <c r="BB18" s="1"/>
  <c r="L42"/>
  <c r="AZ21" s="1"/>
  <c r="V42"/>
  <c r="BA21" s="1"/>
  <c r="AF42"/>
  <c r="BB21" s="1"/>
  <c r="U43"/>
  <c r="AN43" s="1"/>
  <c r="AE43"/>
  <c r="K44"/>
  <c r="AM44" s="1"/>
  <c r="U44"/>
  <c r="AN44" s="1"/>
  <c r="AE44"/>
  <c r="AP56"/>
  <c r="I74"/>
  <c r="I77"/>
  <c r="O99"/>
  <c r="O100" s="1"/>
  <c r="O110"/>
  <c r="O136"/>
  <c r="O137" s="1"/>
  <c r="O167"/>
  <c r="O193"/>
  <c r="O194" s="1"/>
  <c r="C204"/>
  <c r="I208"/>
  <c r="N208" s="1"/>
  <c r="K212"/>
  <c r="I217"/>
  <c r="N217" s="1"/>
  <c r="AD237"/>
  <c r="AD239" s="1"/>
  <c r="O253"/>
  <c r="O254" s="1"/>
  <c r="L14" i="28"/>
  <c r="AV14" s="1"/>
  <c r="AO18"/>
  <c r="U20"/>
  <c r="AJ41" s="1"/>
  <c r="K24"/>
  <c r="N84"/>
  <c r="N77"/>
  <c r="BD17"/>
  <c r="V12"/>
  <c r="AW12" s="1"/>
  <c r="AO12"/>
  <c r="AL33" s="1"/>
  <c r="L13"/>
  <c r="AV13" s="1"/>
  <c r="V13"/>
  <c r="AW13" s="1"/>
  <c r="V14"/>
  <c r="AW14" s="1"/>
  <c r="AO14"/>
  <c r="AL35" s="1"/>
  <c r="V16"/>
  <c r="AW16" s="1"/>
  <c r="U17"/>
  <c r="AJ38" s="1"/>
  <c r="U19"/>
  <c r="AJ40" s="1"/>
  <c r="BD23"/>
  <c r="AO21"/>
  <c r="AY21" s="1"/>
  <c r="BF21" s="1"/>
  <c r="BD21"/>
  <c r="AO24"/>
  <c r="AL45" s="1"/>
  <c r="K38"/>
  <c r="AM38" s="1"/>
  <c r="AE38"/>
  <c r="AO38" s="1"/>
  <c r="L39"/>
  <c r="AZ18" s="1"/>
  <c r="V39"/>
  <c r="BA18" s="1"/>
  <c r="AF39"/>
  <c r="BB18" s="1"/>
  <c r="U40"/>
  <c r="AN40" s="1"/>
  <c r="U41"/>
  <c r="AN41" s="1"/>
  <c r="K44"/>
  <c r="AM44" s="1"/>
  <c r="AE44"/>
  <c r="E68"/>
  <c r="I68" s="1"/>
  <c r="N68" s="1"/>
  <c r="O136"/>
  <c r="O137" s="1"/>
  <c r="O174"/>
  <c r="O175" s="1"/>
  <c r="AA175" s="1"/>
  <c r="C218"/>
  <c r="E218" s="1"/>
  <c r="I74"/>
  <c r="K74"/>
  <c r="N78"/>
  <c r="BD18"/>
  <c r="AA167"/>
  <c r="O169"/>
  <c r="O171" s="1"/>
  <c r="I212"/>
  <c r="N212" s="1"/>
  <c r="K212"/>
  <c r="N72"/>
  <c r="BD12"/>
  <c r="X272"/>
  <c r="AD274" s="1"/>
  <c r="W5"/>
  <c r="AG5" s="1"/>
  <c r="AO13"/>
  <c r="AY13" s="1"/>
  <c r="K14"/>
  <c r="L15"/>
  <c r="K15" s="1"/>
  <c r="V15"/>
  <c r="AW15" s="1"/>
  <c r="AF15"/>
  <c r="AX15" s="1"/>
  <c r="AO15"/>
  <c r="AO16"/>
  <c r="AY16" s="1"/>
  <c r="K17"/>
  <c r="AP17"/>
  <c r="BE17" s="1"/>
  <c r="AO17"/>
  <c r="AV17"/>
  <c r="K19"/>
  <c r="AP19"/>
  <c r="AO19"/>
  <c r="AV19"/>
  <c r="K20"/>
  <c r="AE20"/>
  <c r="AK41" s="1"/>
  <c r="AO20"/>
  <c r="L23"/>
  <c r="AV23" s="1"/>
  <c r="V23"/>
  <c r="AW23" s="1"/>
  <c r="AF23"/>
  <c r="AX23" s="1"/>
  <c r="AO23"/>
  <c r="AY23" s="1"/>
  <c r="BF23" s="1"/>
  <c r="L22"/>
  <c r="AV22" s="1"/>
  <c r="V22"/>
  <c r="AW22" s="1"/>
  <c r="AF22"/>
  <c r="AX22" s="1"/>
  <c r="AO22"/>
  <c r="U24"/>
  <c r="AJ45" s="1"/>
  <c r="L35"/>
  <c r="AZ14" s="1"/>
  <c r="V35"/>
  <c r="BA14" s="1"/>
  <c r="AF35"/>
  <c r="BB14" s="1"/>
  <c r="K41"/>
  <c r="AM41" s="1"/>
  <c r="AE41"/>
  <c r="U44"/>
  <c r="AN44" s="1"/>
  <c r="U45"/>
  <c r="AN45" s="1"/>
  <c r="U56"/>
  <c r="AJ60" s="1"/>
  <c r="U60"/>
  <c r="AN60" s="1"/>
  <c r="C68"/>
  <c r="I69"/>
  <c r="I76"/>
  <c r="K77"/>
  <c r="I86"/>
  <c r="BD56" s="1"/>
  <c r="O99"/>
  <c r="O100" s="1"/>
  <c r="O147"/>
  <c r="AA147" s="1"/>
  <c r="C204"/>
  <c r="I211"/>
  <c r="N211" s="1"/>
  <c r="I213"/>
  <c r="N213" s="1"/>
  <c r="E217"/>
  <c r="K217" s="1"/>
  <c r="I218"/>
  <c r="N218" s="1"/>
  <c r="X237"/>
  <c r="AD237"/>
  <c r="AD239" s="1"/>
  <c r="AE24"/>
  <c r="AK45" s="1"/>
  <c r="AK171"/>
  <c r="O253"/>
  <c r="O254" s="1"/>
  <c r="AA254" s="1"/>
  <c r="AY15"/>
  <c r="AL36"/>
  <c r="AY11"/>
  <c r="AL32"/>
  <c r="C26"/>
  <c r="AY7"/>
  <c r="AI35"/>
  <c r="AI38"/>
  <c r="AL38"/>
  <c r="AY17"/>
  <c r="BF17" s="1"/>
  <c r="AI40"/>
  <c r="AY19"/>
  <c r="AL40"/>
  <c r="AI41"/>
  <c r="AL41"/>
  <c r="AY20"/>
  <c r="AL44"/>
  <c r="AL43"/>
  <c r="AY22"/>
  <c r="BF22" s="1"/>
  <c r="AO41"/>
  <c r="B99"/>
  <c r="B96"/>
  <c r="B98" s="1"/>
  <c r="AA100"/>
  <c r="O102"/>
  <c r="O104" s="1"/>
  <c r="O101"/>
  <c r="AL39"/>
  <c r="AY18"/>
  <c r="BF18" s="1"/>
  <c r="AL42"/>
  <c r="AI45"/>
  <c r="AY24"/>
  <c r="AW26"/>
  <c r="AM26"/>
  <c r="AN26" s="1"/>
  <c r="AO26" s="1"/>
  <c r="AO44"/>
  <c r="AO45"/>
  <c r="B136"/>
  <c r="B133"/>
  <c r="B135" s="1"/>
  <c r="AA137"/>
  <c r="O139"/>
  <c r="O141" s="1"/>
  <c r="O138"/>
  <c r="B253"/>
  <c r="B250"/>
  <c r="B252" s="1"/>
  <c r="AX7"/>
  <c r="K11"/>
  <c r="AE11"/>
  <c r="AK32" s="1"/>
  <c r="K13"/>
  <c r="AE13"/>
  <c r="AK34" s="1"/>
  <c r="AE15"/>
  <c r="AK36" s="1"/>
  <c r="U11"/>
  <c r="AJ32" s="1"/>
  <c r="AV11"/>
  <c r="L12"/>
  <c r="AF12"/>
  <c r="AX12" s="1"/>
  <c r="AY12"/>
  <c r="BF12" s="1"/>
  <c r="U14"/>
  <c r="AJ35" s="1"/>
  <c r="AF14"/>
  <c r="AX14" s="1"/>
  <c r="AY14"/>
  <c r="U15"/>
  <c r="AJ36" s="1"/>
  <c r="L16"/>
  <c r="K16" s="1"/>
  <c r="AF16"/>
  <c r="AX16" s="1"/>
  <c r="Q218"/>
  <c r="Q215"/>
  <c r="Q213"/>
  <c r="Q86"/>
  <c r="AR60" s="1"/>
  <c r="Q82"/>
  <c r="Q76"/>
  <c r="AR37" s="1"/>
  <c r="Q73"/>
  <c r="AR34" s="1"/>
  <c r="Q69"/>
  <c r="O94"/>
  <c r="O96" s="1"/>
  <c r="O93"/>
  <c r="O131"/>
  <c r="O133" s="1"/>
  <c r="O130"/>
  <c r="B174"/>
  <c r="B171"/>
  <c r="B173" s="1"/>
  <c r="I205"/>
  <c r="N205" s="1"/>
  <c r="C205"/>
  <c r="O120"/>
  <c r="O122" s="1"/>
  <c r="O119"/>
  <c r="O157"/>
  <c r="O159" s="1"/>
  <c r="O156"/>
  <c r="O185"/>
  <c r="B184"/>
  <c r="B185" s="1"/>
  <c r="B186" s="1"/>
  <c r="B188" s="1"/>
  <c r="O248"/>
  <c r="O250" s="1"/>
  <c r="O247"/>
  <c r="AE17"/>
  <c r="AK38" s="1"/>
  <c r="L18"/>
  <c r="V18"/>
  <c r="AW18" s="1"/>
  <c r="AF18"/>
  <c r="AX18" s="1"/>
  <c r="AE19"/>
  <c r="AK40" s="1"/>
  <c r="AP20"/>
  <c r="K23"/>
  <c r="AE23"/>
  <c r="AK44" s="1"/>
  <c r="L21"/>
  <c r="V21"/>
  <c r="AW21" s="1"/>
  <c r="AF21"/>
  <c r="AX21" s="1"/>
  <c r="K22"/>
  <c r="U22"/>
  <c r="AJ43" s="1"/>
  <c r="AE22"/>
  <c r="AK43" s="1"/>
  <c r="BF24"/>
  <c r="L32"/>
  <c r="AZ11" s="1"/>
  <c r="V32"/>
  <c r="BA11" s="1"/>
  <c r="AF32"/>
  <c r="BB11" s="1"/>
  <c r="K33"/>
  <c r="AM33" s="1"/>
  <c r="U33"/>
  <c r="AN33" s="1"/>
  <c r="AE33"/>
  <c r="L34"/>
  <c r="AZ13" s="1"/>
  <c r="V34"/>
  <c r="BA13" s="1"/>
  <c r="AF34"/>
  <c r="BB13" s="1"/>
  <c r="K35"/>
  <c r="AE35"/>
  <c r="L36"/>
  <c r="AZ15" s="1"/>
  <c r="V36"/>
  <c r="BA15" s="1"/>
  <c r="AF36"/>
  <c r="BB15" s="1"/>
  <c r="K37"/>
  <c r="AM37" s="1"/>
  <c r="U37"/>
  <c r="AN37" s="1"/>
  <c r="AE37"/>
  <c r="U39"/>
  <c r="AN39" s="1"/>
  <c r="U43"/>
  <c r="AN43" s="1"/>
  <c r="AE56"/>
  <c r="AK60" s="1"/>
  <c r="AP60" s="1"/>
  <c r="Q72"/>
  <c r="AR33" s="1"/>
  <c r="Q75"/>
  <c r="AR36" s="1"/>
  <c r="Q78"/>
  <c r="AR39" s="1"/>
  <c r="Q83"/>
  <c r="AR45"/>
  <c r="BF56"/>
  <c r="AA92"/>
  <c r="AL110"/>
  <c r="AL109" s="1"/>
  <c r="AO109" s="1"/>
  <c r="AO110" s="1"/>
  <c r="AI111"/>
  <c r="AA129"/>
  <c r="B154"/>
  <c r="B155" s="1"/>
  <c r="B157" s="1"/>
  <c r="O177"/>
  <c r="O179" s="1"/>
  <c r="Q207"/>
  <c r="Q209"/>
  <c r="Q216"/>
  <c r="Q219"/>
  <c r="Q220"/>
  <c r="BD13"/>
  <c r="BD15"/>
  <c r="BD19"/>
  <c r="U38"/>
  <c r="AN38" s="1"/>
  <c r="K39"/>
  <c r="AM39" s="1"/>
  <c r="AE39"/>
  <c r="AO39" s="1"/>
  <c r="K40"/>
  <c r="AM40" s="1"/>
  <c r="AE40"/>
  <c r="L42"/>
  <c r="AZ21" s="1"/>
  <c r="U42"/>
  <c r="AN42" s="1"/>
  <c r="AF42"/>
  <c r="BB21" s="1"/>
  <c r="K43"/>
  <c r="AM43" s="1"/>
  <c r="AE43"/>
  <c r="AP56"/>
  <c r="N69"/>
  <c r="I71"/>
  <c r="K72"/>
  <c r="K75"/>
  <c r="Q77"/>
  <c r="AR38" s="1"/>
  <c r="K78"/>
  <c r="Q79"/>
  <c r="AR40" s="1"/>
  <c r="I80"/>
  <c r="Q81"/>
  <c r="AR44" s="1"/>
  <c r="AR42"/>
  <c r="O110"/>
  <c r="B117"/>
  <c r="B118" s="1"/>
  <c r="B120" s="1"/>
  <c r="AA118"/>
  <c r="O168"/>
  <c r="Q204"/>
  <c r="K207"/>
  <c r="I208"/>
  <c r="N208" s="1"/>
  <c r="K209"/>
  <c r="I210"/>
  <c r="N210" s="1"/>
  <c r="I214"/>
  <c r="N214" s="1"/>
  <c r="K216"/>
  <c r="Z216" s="1"/>
  <c r="I221"/>
  <c r="N221" s="1"/>
  <c r="AA246"/>
  <c r="AF44" i="27"/>
  <c r="BB23" s="1"/>
  <c r="V33"/>
  <c r="BA12" s="1"/>
  <c r="L44"/>
  <c r="AZ23" s="1"/>
  <c r="L35"/>
  <c r="AZ14" s="1"/>
  <c r="L33"/>
  <c r="AZ12" s="1"/>
  <c r="L15"/>
  <c r="AV15" s="1"/>
  <c r="L11"/>
  <c r="AV11" s="1"/>
  <c r="AE38"/>
  <c r="AE45"/>
  <c r="U38"/>
  <c r="AN38" s="1"/>
  <c r="U45"/>
  <c r="AN45" s="1"/>
  <c r="K38"/>
  <c r="AM38" s="1"/>
  <c r="K45"/>
  <c r="AM45" s="1"/>
  <c r="K41"/>
  <c r="AM41" s="1"/>
  <c r="AO21"/>
  <c r="AO24"/>
  <c r="AO12"/>
  <c r="AY12" s="1"/>
  <c r="AO14"/>
  <c r="AY14" s="1"/>
  <c r="BF14" s="1"/>
  <c r="AO16"/>
  <c r="AO22"/>
  <c r="AY22" s="1"/>
  <c r="BF22" s="1"/>
  <c r="AO23"/>
  <c r="AY23" s="1"/>
  <c r="BF23" s="1"/>
  <c r="AE24"/>
  <c r="AK45" s="1"/>
  <c r="AE20"/>
  <c r="AK41" s="1"/>
  <c r="U24"/>
  <c r="AJ45" s="1"/>
  <c r="AV17"/>
  <c r="K24"/>
  <c r="AV19"/>
  <c r="K20"/>
  <c r="W5"/>
  <c r="AG5" s="1"/>
  <c r="C26" s="1"/>
  <c r="AY7"/>
  <c r="AY11"/>
  <c r="AL32"/>
  <c r="AL33"/>
  <c r="AL35"/>
  <c r="AI38"/>
  <c r="AY17"/>
  <c r="AL38"/>
  <c r="AL43"/>
  <c r="AP23"/>
  <c r="AV23"/>
  <c r="AL44"/>
  <c r="AT45"/>
  <c r="AT24" s="1"/>
  <c r="AI45"/>
  <c r="AL45"/>
  <c r="AY24"/>
  <c r="AW26"/>
  <c r="AM26"/>
  <c r="AN26" s="1"/>
  <c r="AO26" s="1"/>
  <c r="AO38"/>
  <c r="AV13"/>
  <c r="AY13"/>
  <c r="AL34"/>
  <c r="AY15"/>
  <c r="AL36"/>
  <c r="AL37"/>
  <c r="AY16"/>
  <c r="AL39"/>
  <c r="AY18"/>
  <c r="AI40"/>
  <c r="AL40"/>
  <c r="AY19"/>
  <c r="AT41"/>
  <c r="AT20" s="1"/>
  <c r="AI41"/>
  <c r="AL41"/>
  <c r="AY20"/>
  <c r="AP21"/>
  <c r="AV21"/>
  <c r="AL42"/>
  <c r="AY21"/>
  <c r="BF21" s="1"/>
  <c r="U83"/>
  <c r="W83" s="1"/>
  <c r="AO45"/>
  <c r="K71"/>
  <c r="I71"/>
  <c r="I72"/>
  <c r="K72"/>
  <c r="K73"/>
  <c r="I73"/>
  <c r="I75"/>
  <c r="K75"/>
  <c r="K76"/>
  <c r="I76"/>
  <c r="I77"/>
  <c r="K77"/>
  <c r="K80"/>
  <c r="I80"/>
  <c r="B98"/>
  <c r="B99" s="1"/>
  <c r="B101" s="1"/>
  <c r="B95"/>
  <c r="B97" s="1"/>
  <c r="O119"/>
  <c r="O121" s="1"/>
  <c r="O118"/>
  <c r="AA117"/>
  <c r="B135"/>
  <c r="B132"/>
  <c r="B134" s="1"/>
  <c r="AA146"/>
  <c r="O148"/>
  <c r="O150" s="1"/>
  <c r="O147"/>
  <c r="B173"/>
  <c r="B174" s="1"/>
  <c r="B176" s="1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I215"/>
  <c r="N215" s="1"/>
  <c r="K215"/>
  <c r="Z215" s="1"/>
  <c r="B252"/>
  <c r="B249"/>
  <c r="B251" s="1"/>
  <c r="AX7"/>
  <c r="U11"/>
  <c r="AJ32" s="1"/>
  <c r="AE11"/>
  <c r="AK32" s="1"/>
  <c r="L12"/>
  <c r="V12"/>
  <c r="AW12" s="1"/>
  <c r="AF12"/>
  <c r="AX12" s="1"/>
  <c r="K13"/>
  <c r="U13"/>
  <c r="AJ34" s="1"/>
  <c r="AE13"/>
  <c r="AK34" s="1"/>
  <c r="L14"/>
  <c r="V14"/>
  <c r="AW14" s="1"/>
  <c r="AF14"/>
  <c r="AX14" s="1"/>
  <c r="U15"/>
  <c r="AJ36" s="1"/>
  <c r="AE15"/>
  <c r="AK36" s="1"/>
  <c r="L16"/>
  <c r="V16"/>
  <c r="AW16" s="1"/>
  <c r="AF16"/>
  <c r="AX16" s="1"/>
  <c r="AE17"/>
  <c r="AK38" s="1"/>
  <c r="L18"/>
  <c r="V18"/>
  <c r="AW18" s="1"/>
  <c r="AF18"/>
  <c r="AX18" s="1"/>
  <c r="AE19"/>
  <c r="AK40" s="1"/>
  <c r="AP20"/>
  <c r="K21"/>
  <c r="U21"/>
  <c r="AJ42" s="1"/>
  <c r="AE21"/>
  <c r="AK42" s="1"/>
  <c r="L22"/>
  <c r="V22"/>
  <c r="AW22" s="1"/>
  <c r="AF22"/>
  <c r="AX22" s="1"/>
  <c r="K23"/>
  <c r="U23"/>
  <c r="AJ44" s="1"/>
  <c r="AE23"/>
  <c r="AK44" s="1"/>
  <c r="AP24"/>
  <c r="BE24" s="1"/>
  <c r="BF24"/>
  <c r="L32"/>
  <c r="AZ11" s="1"/>
  <c r="V32"/>
  <c r="BA11" s="1"/>
  <c r="AF32"/>
  <c r="BB11" s="1"/>
  <c r="K33"/>
  <c r="AM33" s="1"/>
  <c r="U33"/>
  <c r="AN33" s="1"/>
  <c r="AE33"/>
  <c r="L34"/>
  <c r="AZ13" s="1"/>
  <c r="V34"/>
  <c r="BA13" s="1"/>
  <c r="AF34"/>
  <c r="BB13" s="1"/>
  <c r="K35"/>
  <c r="U35"/>
  <c r="AN35" s="1"/>
  <c r="AE35"/>
  <c r="L36"/>
  <c r="AZ15" s="1"/>
  <c r="V36"/>
  <c r="BA15" s="1"/>
  <c r="AF36"/>
  <c r="BB15" s="1"/>
  <c r="K37"/>
  <c r="AM37" s="1"/>
  <c r="U37"/>
  <c r="AN37" s="1"/>
  <c r="AE37"/>
  <c r="AK170"/>
  <c r="U78"/>
  <c r="W78" s="1"/>
  <c r="AO40"/>
  <c r="U80"/>
  <c r="W80" s="1"/>
  <c r="AO41"/>
  <c r="I69"/>
  <c r="C69"/>
  <c r="I78"/>
  <c r="K78"/>
  <c r="O93"/>
  <c r="O95" s="1"/>
  <c r="O92"/>
  <c r="AA91"/>
  <c r="B113"/>
  <c r="B115" s="1"/>
  <c r="B116"/>
  <c r="B117" s="1"/>
  <c r="B119" s="1"/>
  <c r="O130"/>
  <c r="O132" s="1"/>
  <c r="O129"/>
  <c r="AA128"/>
  <c r="B150"/>
  <c r="B152" s="1"/>
  <c r="B153"/>
  <c r="O156"/>
  <c r="O158" s="1"/>
  <c r="O155"/>
  <c r="AA154"/>
  <c r="AA174"/>
  <c r="O176"/>
  <c r="O178" s="1"/>
  <c r="O175"/>
  <c r="B192"/>
  <c r="B193" s="1"/>
  <c r="B195" s="1"/>
  <c r="B189"/>
  <c r="B191" s="1"/>
  <c r="K209"/>
  <c r="I209"/>
  <c r="N209" s="1"/>
  <c r="K213"/>
  <c r="I213"/>
  <c r="N213" s="1"/>
  <c r="K220"/>
  <c r="I220"/>
  <c r="N220" s="1"/>
  <c r="O247"/>
  <c r="O249" s="1"/>
  <c r="O246"/>
  <c r="AA245"/>
  <c r="AR24"/>
  <c r="L39"/>
  <c r="AZ18" s="1"/>
  <c r="U39"/>
  <c r="AN39" s="1"/>
  <c r="AF39"/>
  <c r="BB18" s="1"/>
  <c r="K42"/>
  <c r="AM42" s="1"/>
  <c r="U42"/>
  <c r="AN42" s="1"/>
  <c r="AE42"/>
  <c r="L43"/>
  <c r="AZ22" s="1"/>
  <c r="V43"/>
  <c r="BA22" s="1"/>
  <c r="AF43"/>
  <c r="BB22" s="1"/>
  <c r="K44"/>
  <c r="AM44" s="1"/>
  <c r="U44"/>
  <c r="AN44" s="1"/>
  <c r="AE44"/>
  <c r="AV56"/>
  <c r="K74"/>
  <c r="I85"/>
  <c r="O98"/>
  <c r="O99" s="1"/>
  <c r="O109"/>
  <c r="O135"/>
  <c r="O136" s="1"/>
  <c r="O166"/>
  <c r="O192"/>
  <c r="O193" s="1"/>
  <c r="C203"/>
  <c r="I207"/>
  <c r="N207" s="1"/>
  <c r="K211"/>
  <c r="I216"/>
  <c r="N216" s="1"/>
  <c r="I217"/>
  <c r="N217" s="1"/>
  <c r="AD236"/>
  <c r="AD238" s="1"/>
  <c r="O252"/>
  <c r="O253" s="1"/>
  <c r="AF44" i="26"/>
  <c r="BB23" s="1"/>
  <c r="AF42"/>
  <c r="BB21" s="1"/>
  <c r="AF39"/>
  <c r="BB18" s="1"/>
  <c r="V44"/>
  <c r="BA23" s="1"/>
  <c r="V39"/>
  <c r="BA18" s="1"/>
  <c r="L44"/>
  <c r="AZ23" s="1"/>
  <c r="L42"/>
  <c r="AZ21" s="1"/>
  <c r="L39"/>
  <c r="AZ18" s="1"/>
  <c r="L34"/>
  <c r="AZ13" s="1"/>
  <c r="AO14"/>
  <c r="AO12"/>
  <c r="AY12" s="1"/>
  <c r="BF12" s="1"/>
  <c r="U21"/>
  <c r="AJ42" s="1"/>
  <c r="K21"/>
  <c r="AE45"/>
  <c r="U45"/>
  <c r="AN45" s="1"/>
  <c r="K45"/>
  <c r="AM45" s="1"/>
  <c r="K41"/>
  <c r="AM41" s="1"/>
  <c r="AE11"/>
  <c r="AK32" s="1"/>
  <c r="AE19"/>
  <c r="AK40" s="1"/>
  <c r="AE17"/>
  <c r="AK38" s="1"/>
  <c r="AE21"/>
  <c r="AK42" s="1"/>
  <c r="U20"/>
  <c r="AJ41" s="1"/>
  <c r="U17"/>
  <c r="AJ38" s="1"/>
  <c r="U19"/>
  <c r="AJ40" s="1"/>
  <c r="AP24"/>
  <c r="AV20"/>
  <c r="AV24"/>
  <c r="K17"/>
  <c r="AI38" s="1"/>
  <c r="AV12"/>
  <c r="AL33"/>
  <c r="AL34"/>
  <c r="AY13"/>
  <c r="AV14"/>
  <c r="AY14"/>
  <c r="AL35"/>
  <c r="AL36"/>
  <c r="AY15"/>
  <c r="AT38"/>
  <c r="AT17" s="1"/>
  <c r="AL38"/>
  <c r="AY17"/>
  <c r="AP18"/>
  <c r="AV18"/>
  <c r="AL39"/>
  <c r="AY18"/>
  <c r="AV22"/>
  <c r="AL43"/>
  <c r="AY22"/>
  <c r="AL44"/>
  <c r="AY23"/>
  <c r="BF14"/>
  <c r="BF22"/>
  <c r="AX7"/>
  <c r="AG5"/>
  <c r="AL32"/>
  <c r="AY11"/>
  <c r="AV16"/>
  <c r="AL37"/>
  <c r="AY16"/>
  <c r="AI40"/>
  <c r="AT40"/>
  <c r="AT19" s="1"/>
  <c r="AL40"/>
  <c r="AY19"/>
  <c r="AI41"/>
  <c r="AL41"/>
  <c r="AY20"/>
  <c r="AI42"/>
  <c r="AL42"/>
  <c r="AY21"/>
  <c r="AI45"/>
  <c r="BE24"/>
  <c r="AR24"/>
  <c r="AL45"/>
  <c r="AY24"/>
  <c r="BF24" s="1"/>
  <c r="AM26"/>
  <c r="AN26" s="1"/>
  <c r="AO26" s="1"/>
  <c r="AW26"/>
  <c r="AO38"/>
  <c r="U77"/>
  <c r="W77" s="1"/>
  <c r="AO45"/>
  <c r="K71"/>
  <c r="I71"/>
  <c r="I78"/>
  <c r="K78"/>
  <c r="K85"/>
  <c r="I85"/>
  <c r="O93"/>
  <c r="O95" s="1"/>
  <c r="O92"/>
  <c r="AA91"/>
  <c r="O119"/>
  <c r="O121" s="1"/>
  <c r="O118"/>
  <c r="AA117"/>
  <c r="B135"/>
  <c r="B136" s="1"/>
  <c r="B138" s="1"/>
  <c r="B132"/>
  <c r="B134" s="1"/>
  <c r="AA146"/>
  <c r="O148"/>
  <c r="O150" s="1"/>
  <c r="O147"/>
  <c r="B173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K220"/>
  <c r="I220"/>
  <c r="N220" s="1"/>
  <c r="B252"/>
  <c r="B253" s="1"/>
  <c r="B255" s="1"/>
  <c r="B249"/>
  <c r="B251" s="1"/>
  <c r="AA253"/>
  <c r="O255"/>
  <c r="O257" s="1"/>
  <c r="O254"/>
  <c r="AW7"/>
  <c r="K12"/>
  <c r="U12"/>
  <c r="AJ33" s="1"/>
  <c r="L13"/>
  <c r="V13"/>
  <c r="AW13" s="1"/>
  <c r="AF13"/>
  <c r="AX13" s="1"/>
  <c r="K14"/>
  <c r="U14"/>
  <c r="AJ35" s="1"/>
  <c r="AE14"/>
  <c r="AK35" s="1"/>
  <c r="L15"/>
  <c r="V15"/>
  <c r="AW15" s="1"/>
  <c r="AF15"/>
  <c r="AX15" s="1"/>
  <c r="K16"/>
  <c r="U16"/>
  <c r="AJ37" s="1"/>
  <c r="AE16"/>
  <c r="AK37" s="1"/>
  <c r="AP17"/>
  <c r="K18"/>
  <c r="U18"/>
  <c r="AJ39" s="1"/>
  <c r="AE18"/>
  <c r="AK39" s="1"/>
  <c r="AP19"/>
  <c r="AE20"/>
  <c r="AK41" s="1"/>
  <c r="AP21"/>
  <c r="BE21" s="1"/>
  <c r="BF21"/>
  <c r="K22"/>
  <c r="U22"/>
  <c r="AJ43" s="1"/>
  <c r="AE22"/>
  <c r="AK43" s="1"/>
  <c r="L23"/>
  <c r="K23" s="1"/>
  <c r="V23"/>
  <c r="AW23" s="1"/>
  <c r="AF23"/>
  <c r="AX23" s="1"/>
  <c r="BF23"/>
  <c r="AE24"/>
  <c r="AK45" s="1"/>
  <c r="K32"/>
  <c r="AM32" s="1"/>
  <c r="U32"/>
  <c r="AN32" s="1"/>
  <c r="AE32"/>
  <c r="L33"/>
  <c r="AZ12" s="1"/>
  <c r="V33"/>
  <c r="BA12" s="1"/>
  <c r="AF33"/>
  <c r="BB12" s="1"/>
  <c r="U34"/>
  <c r="AN34" s="1"/>
  <c r="AE34"/>
  <c r="L35"/>
  <c r="AZ14" s="1"/>
  <c r="V35"/>
  <c r="BA14" s="1"/>
  <c r="AF35"/>
  <c r="BB14" s="1"/>
  <c r="K36"/>
  <c r="AM36" s="1"/>
  <c r="U36"/>
  <c r="AN36" s="1"/>
  <c r="AE36"/>
  <c r="AF37"/>
  <c r="BB16" s="1"/>
  <c r="U78"/>
  <c r="W78" s="1"/>
  <c r="AO40"/>
  <c r="U80"/>
  <c r="W80" s="1"/>
  <c r="AO41"/>
  <c r="I69"/>
  <c r="C69"/>
  <c r="K73"/>
  <c r="I73"/>
  <c r="I75"/>
  <c r="K75"/>
  <c r="K76"/>
  <c r="I76"/>
  <c r="I77"/>
  <c r="K77"/>
  <c r="K80"/>
  <c r="I80"/>
  <c r="B98"/>
  <c r="B95"/>
  <c r="B97" s="1"/>
  <c r="B113"/>
  <c r="B115" s="1"/>
  <c r="B116"/>
  <c r="B117" s="1"/>
  <c r="B119" s="1"/>
  <c r="O130"/>
  <c r="O132" s="1"/>
  <c r="O129"/>
  <c r="AA128"/>
  <c r="B150"/>
  <c r="B152" s="1"/>
  <c r="B153"/>
  <c r="O156"/>
  <c r="O158" s="1"/>
  <c r="O155"/>
  <c r="AA154"/>
  <c r="AA174"/>
  <c r="O176"/>
  <c r="O178" s="1"/>
  <c r="O175"/>
  <c r="B192"/>
  <c r="B193" s="1"/>
  <c r="B195" s="1"/>
  <c r="B189"/>
  <c r="B191" s="1"/>
  <c r="K209"/>
  <c r="I209"/>
  <c r="N209" s="1"/>
  <c r="K213"/>
  <c r="I213"/>
  <c r="N213" s="1"/>
  <c r="O247"/>
  <c r="O249" s="1"/>
  <c r="O246"/>
  <c r="AA245"/>
  <c r="L11"/>
  <c r="V11"/>
  <c r="AW11" s="1"/>
  <c r="AE12"/>
  <c r="AK33" s="1"/>
  <c r="AR21"/>
  <c r="K37"/>
  <c r="AM37" s="1"/>
  <c r="V37"/>
  <c r="BA16" s="1"/>
  <c r="K39"/>
  <c r="AM39" s="1"/>
  <c r="U39"/>
  <c r="AN39" s="1"/>
  <c r="AE39"/>
  <c r="AO39" s="1"/>
  <c r="K42"/>
  <c r="AM42" s="1"/>
  <c r="U42"/>
  <c r="AN42" s="1"/>
  <c r="AE42"/>
  <c r="L43"/>
  <c r="AZ22" s="1"/>
  <c r="V43"/>
  <c r="BA22" s="1"/>
  <c r="AF43"/>
  <c r="BB22" s="1"/>
  <c r="K44"/>
  <c r="AM44" s="1"/>
  <c r="U44"/>
  <c r="AN44" s="1"/>
  <c r="AE44"/>
  <c r="AV56"/>
  <c r="K72"/>
  <c r="K74"/>
  <c r="K84"/>
  <c r="O98"/>
  <c r="O99" s="1"/>
  <c r="O109"/>
  <c r="AI110"/>
  <c r="AL109" s="1"/>
  <c r="AL108" s="1"/>
  <c r="AO108" s="1"/>
  <c r="AO109" s="1"/>
  <c r="O135"/>
  <c r="O136" s="1"/>
  <c r="O166"/>
  <c r="O192"/>
  <c r="O193" s="1"/>
  <c r="C203"/>
  <c r="I207"/>
  <c r="N207" s="1"/>
  <c r="K211"/>
  <c r="K215"/>
  <c r="Z215" s="1"/>
  <c r="I216"/>
  <c r="N216" s="1"/>
  <c r="AD236"/>
  <c r="AD238" s="1"/>
  <c r="C84" i="25"/>
  <c r="E84" s="1"/>
  <c r="K84"/>
  <c r="AT46" i="34" l="1"/>
  <c r="AT11"/>
  <c r="W26"/>
  <c r="BA7"/>
  <c r="BF25"/>
  <c r="BE25"/>
  <c r="AR1"/>
  <c r="U74" i="33"/>
  <c r="W74" s="1"/>
  <c r="AZ27"/>
  <c r="BD29" s="1"/>
  <c r="W26"/>
  <c r="BA7"/>
  <c r="BF13"/>
  <c r="BE13"/>
  <c r="AR13"/>
  <c r="BE20"/>
  <c r="AR20"/>
  <c r="BF20"/>
  <c r="BE12"/>
  <c r="AR12"/>
  <c r="BF12"/>
  <c r="BF15"/>
  <c r="BE15"/>
  <c r="AR15"/>
  <c r="AT36"/>
  <c r="AT15" s="1"/>
  <c r="AP35"/>
  <c r="AT39"/>
  <c r="AT18" s="1"/>
  <c r="AI37"/>
  <c r="AP37" s="1"/>
  <c r="AT37"/>
  <c r="AT16" s="1"/>
  <c r="AN34"/>
  <c r="AP34" s="1"/>
  <c r="U73"/>
  <c r="W73" s="1"/>
  <c r="U75"/>
  <c r="W75" s="1"/>
  <c r="AO36"/>
  <c r="BE18"/>
  <c r="AR18"/>
  <c r="BF18"/>
  <c r="BE14"/>
  <c r="AR14"/>
  <c r="BF14"/>
  <c r="BF17"/>
  <c r="BE17"/>
  <c r="AR17"/>
  <c r="AK33"/>
  <c r="AP33" s="1"/>
  <c r="AT33"/>
  <c r="AT12" s="1"/>
  <c r="AT22"/>
  <c r="AI43"/>
  <c r="AP43" s="1"/>
  <c r="AT41"/>
  <c r="AT20" s="1"/>
  <c r="AI41"/>
  <c r="AP41" s="1"/>
  <c r="U71"/>
  <c r="W71" s="1"/>
  <c r="AO32"/>
  <c r="AP32" s="1"/>
  <c r="BF19"/>
  <c r="BE19"/>
  <c r="AR19"/>
  <c r="BE56"/>
  <c r="AR56"/>
  <c r="BF56"/>
  <c r="BE24"/>
  <c r="AR24"/>
  <c r="BE21"/>
  <c r="AR21"/>
  <c r="BF11"/>
  <c r="BF25" s="1"/>
  <c r="BE11"/>
  <c r="AR11"/>
  <c r="BE16"/>
  <c r="AR16"/>
  <c r="BF16"/>
  <c r="BE22"/>
  <c r="AR22"/>
  <c r="AP42"/>
  <c r="U79"/>
  <c r="W79" s="1"/>
  <c r="AR46"/>
  <c r="AT32"/>
  <c r="AT21"/>
  <c r="U82"/>
  <c r="W82" s="1"/>
  <c r="U80"/>
  <c r="W80" s="1"/>
  <c r="AT34"/>
  <c r="AT13" s="1"/>
  <c r="AP36"/>
  <c r="AP44"/>
  <c r="U76"/>
  <c r="W76" s="1"/>
  <c r="AT35"/>
  <c r="AT14" s="1"/>
  <c r="AP39"/>
  <c r="AE39" i="32"/>
  <c r="AO39" s="1"/>
  <c r="U42"/>
  <c r="AN42" s="1"/>
  <c r="K39"/>
  <c r="AM39" s="1"/>
  <c r="N77"/>
  <c r="BD17"/>
  <c r="N75"/>
  <c r="BD15"/>
  <c r="AO35"/>
  <c r="AT23"/>
  <c r="AI44"/>
  <c r="AV22"/>
  <c r="AP22"/>
  <c r="AV18"/>
  <c r="AP18"/>
  <c r="AV16"/>
  <c r="AP16"/>
  <c r="AV14"/>
  <c r="AP14"/>
  <c r="AV12"/>
  <c r="AZ27" s="1"/>
  <c r="BD29" s="1"/>
  <c r="AP12"/>
  <c r="N71"/>
  <c r="BD11"/>
  <c r="BE23"/>
  <c r="AR23"/>
  <c r="C58"/>
  <c r="M58" s="1"/>
  <c r="W58" s="1"/>
  <c r="M26"/>
  <c r="AZ7"/>
  <c r="AT60"/>
  <c r="AT56" s="1"/>
  <c r="AM35"/>
  <c r="B254"/>
  <c r="B256" s="1"/>
  <c r="B118"/>
  <c r="B120" s="1"/>
  <c r="U78"/>
  <c r="W78" s="1"/>
  <c r="K34"/>
  <c r="AM34" s="1"/>
  <c r="U22"/>
  <c r="AJ43" s="1"/>
  <c r="AE12"/>
  <c r="AK33" s="1"/>
  <c r="K12"/>
  <c r="AP45"/>
  <c r="AP13"/>
  <c r="K36"/>
  <c r="AM36" s="1"/>
  <c r="AE18"/>
  <c r="AK39" s="1"/>
  <c r="K18"/>
  <c r="U16"/>
  <c r="AJ37" s="1"/>
  <c r="AE14"/>
  <c r="AK35" s="1"/>
  <c r="K14"/>
  <c r="AP11"/>
  <c r="AP21"/>
  <c r="AT40"/>
  <c r="AT19" s="1"/>
  <c r="AT38"/>
  <c r="AT17" s="1"/>
  <c r="AP15"/>
  <c r="AA194"/>
  <c r="O196"/>
  <c r="O198" s="1"/>
  <c r="O195"/>
  <c r="AA137"/>
  <c r="O139"/>
  <c r="O141" s="1"/>
  <c r="O138"/>
  <c r="AA100"/>
  <c r="O102"/>
  <c r="O104" s="1"/>
  <c r="O101"/>
  <c r="N72"/>
  <c r="BD12"/>
  <c r="U81"/>
  <c r="W81" s="1"/>
  <c r="AO44"/>
  <c r="AA254"/>
  <c r="O256"/>
  <c r="O258" s="1"/>
  <c r="O255"/>
  <c r="AA167"/>
  <c r="O169"/>
  <c r="O171" s="1"/>
  <c r="O168"/>
  <c r="O111"/>
  <c r="AA110"/>
  <c r="O112"/>
  <c r="O114" s="1"/>
  <c r="N74"/>
  <c r="BD14"/>
  <c r="AO43"/>
  <c r="AO37"/>
  <c r="N80"/>
  <c r="BD20"/>
  <c r="N76"/>
  <c r="BD16"/>
  <c r="N73"/>
  <c r="BD13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AO33"/>
  <c r="AI42"/>
  <c r="AI36"/>
  <c r="AI34"/>
  <c r="AT34"/>
  <c r="AT13" s="1"/>
  <c r="N86"/>
  <c r="BD56"/>
  <c r="N78"/>
  <c r="BD19"/>
  <c r="BD18"/>
  <c r="U71"/>
  <c r="W71" s="1"/>
  <c r="AO32"/>
  <c r="AP32" s="1"/>
  <c r="AE42"/>
  <c r="AO42" s="1"/>
  <c r="K42"/>
  <c r="AM42" s="1"/>
  <c r="U39"/>
  <c r="AN39" s="1"/>
  <c r="B175"/>
  <c r="B177" s="1"/>
  <c r="B100"/>
  <c r="B102" s="1"/>
  <c r="U34"/>
  <c r="AE22"/>
  <c r="AK43" s="1"/>
  <c r="K22"/>
  <c r="U12"/>
  <c r="AJ33" s="1"/>
  <c r="U36"/>
  <c r="U18"/>
  <c r="AJ39" s="1"/>
  <c r="AE16"/>
  <c r="AK37" s="1"/>
  <c r="K16"/>
  <c r="U14"/>
  <c r="AJ35" s="1"/>
  <c r="AP41"/>
  <c r="AP40"/>
  <c r="AP38"/>
  <c r="AT32"/>
  <c r="K34" i="31"/>
  <c r="AM34" s="1"/>
  <c r="K22"/>
  <c r="AI43" s="1"/>
  <c r="AE34"/>
  <c r="AE24"/>
  <c r="U12"/>
  <c r="AJ33" s="1"/>
  <c r="U22"/>
  <c r="AJ43" s="1"/>
  <c r="U18"/>
  <c r="AJ39" s="1"/>
  <c r="U14"/>
  <c r="AJ35" s="1"/>
  <c r="AP11"/>
  <c r="O111"/>
  <c r="AA110"/>
  <c r="O112"/>
  <c r="O114" s="1"/>
  <c r="AP15"/>
  <c r="B193"/>
  <c r="B190"/>
  <c r="B192" s="1"/>
  <c r="AA147"/>
  <c r="O149"/>
  <c r="O151" s="1"/>
  <c r="O148"/>
  <c r="N77"/>
  <c r="BD17"/>
  <c r="N74"/>
  <c r="BD14"/>
  <c r="AO43"/>
  <c r="N86"/>
  <c r="BD56"/>
  <c r="N78"/>
  <c r="BD19"/>
  <c r="BD18"/>
  <c r="AO37"/>
  <c r="AO35"/>
  <c r="AT60" s="1"/>
  <c r="AT56" s="1"/>
  <c r="AM35"/>
  <c r="BE24"/>
  <c r="AR24"/>
  <c r="AT44"/>
  <c r="AT23" s="1"/>
  <c r="AI44"/>
  <c r="AV18"/>
  <c r="AP18"/>
  <c r="AV16"/>
  <c r="AP16"/>
  <c r="AV14"/>
  <c r="AP14"/>
  <c r="AV12"/>
  <c r="AP12"/>
  <c r="AG5"/>
  <c r="AX7"/>
  <c r="AA194"/>
  <c r="O196"/>
  <c r="O198" s="1"/>
  <c r="O195"/>
  <c r="N73"/>
  <c r="BD13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AO34"/>
  <c r="N75"/>
  <c r="BD15"/>
  <c r="U81"/>
  <c r="W81" s="1"/>
  <c r="AO44"/>
  <c r="N76"/>
  <c r="BD16"/>
  <c r="AO33"/>
  <c r="AI36"/>
  <c r="AI34"/>
  <c r="O188"/>
  <c r="O190" s="1"/>
  <c r="O187"/>
  <c r="AA186"/>
  <c r="N72"/>
  <c r="BD12"/>
  <c r="U42"/>
  <c r="AN42" s="1"/>
  <c r="AZ27"/>
  <c r="BD29" s="1"/>
  <c r="U36"/>
  <c r="AN36" s="1"/>
  <c r="AP13"/>
  <c r="AP20"/>
  <c r="AE16"/>
  <c r="AK37" s="1"/>
  <c r="K16"/>
  <c r="AE42"/>
  <c r="AO42" s="1"/>
  <c r="K42"/>
  <c r="AM42" s="1"/>
  <c r="B155"/>
  <c r="B157" s="1"/>
  <c r="B100"/>
  <c r="B102" s="1"/>
  <c r="AP22"/>
  <c r="BE11"/>
  <c r="AR11"/>
  <c r="B254"/>
  <c r="B256" s="1"/>
  <c r="B175"/>
  <c r="B177" s="1"/>
  <c r="B137"/>
  <c r="B139" s="1"/>
  <c r="AE36"/>
  <c r="K36"/>
  <c r="AM36" s="1"/>
  <c r="U34"/>
  <c r="AN34" s="1"/>
  <c r="AE12"/>
  <c r="AK33" s="1"/>
  <c r="K12"/>
  <c r="AE32"/>
  <c r="AE22"/>
  <c r="AP21"/>
  <c r="AE20"/>
  <c r="AE18"/>
  <c r="AK39" s="1"/>
  <c r="K18"/>
  <c r="U16"/>
  <c r="AJ37" s="1"/>
  <c r="AE14"/>
  <c r="AK35" s="1"/>
  <c r="K14"/>
  <c r="AT45"/>
  <c r="AT24" s="1"/>
  <c r="AP40"/>
  <c r="AP38"/>
  <c r="U37" i="30"/>
  <c r="AN37" s="1"/>
  <c r="AE35"/>
  <c r="AP16"/>
  <c r="K35"/>
  <c r="AE15"/>
  <c r="AK36" s="1"/>
  <c r="AE11"/>
  <c r="AK32" s="1"/>
  <c r="AP17"/>
  <c r="U83"/>
  <c r="W83" s="1"/>
  <c r="AP45"/>
  <c r="U23"/>
  <c r="AJ44" s="1"/>
  <c r="AA254"/>
  <c r="O256"/>
  <c r="O258" s="1"/>
  <c r="O255"/>
  <c r="AA194"/>
  <c r="O196"/>
  <c r="O198" s="1"/>
  <c r="O195"/>
  <c r="AA137"/>
  <c r="O139"/>
  <c r="O141" s="1"/>
  <c r="O138"/>
  <c r="O111"/>
  <c r="AA110"/>
  <c r="O112"/>
  <c r="O114" s="1"/>
  <c r="N74"/>
  <c r="BD14"/>
  <c r="U82"/>
  <c r="W82" s="1"/>
  <c r="U79"/>
  <c r="W79" s="1"/>
  <c r="AO43"/>
  <c r="N71"/>
  <c r="BD11"/>
  <c r="AO36"/>
  <c r="AO34"/>
  <c r="AV23"/>
  <c r="AP23"/>
  <c r="AV21"/>
  <c r="AP21"/>
  <c r="AI37"/>
  <c r="AV13"/>
  <c r="AP13"/>
  <c r="AI33"/>
  <c r="N77"/>
  <c r="BD17"/>
  <c r="N75"/>
  <c r="BD15"/>
  <c r="AO35"/>
  <c r="AM35"/>
  <c r="AI32"/>
  <c r="AA167"/>
  <c r="O169"/>
  <c r="O171" s="1"/>
  <c r="O168"/>
  <c r="AA100"/>
  <c r="O102"/>
  <c r="O104" s="1"/>
  <c r="O101"/>
  <c r="N72"/>
  <c r="BD12"/>
  <c r="AO44"/>
  <c r="N86"/>
  <c r="BD56"/>
  <c r="N78"/>
  <c r="BD18"/>
  <c r="BD19"/>
  <c r="AT43"/>
  <c r="AT22" s="1"/>
  <c r="AI43"/>
  <c r="AP43" s="1"/>
  <c r="AI39"/>
  <c r="AI35"/>
  <c r="AV11"/>
  <c r="AZ27" s="1"/>
  <c r="BD29" s="1"/>
  <c r="AP11"/>
  <c r="N80"/>
  <c r="BD20"/>
  <c r="N76"/>
  <c r="BD16"/>
  <c r="N73"/>
  <c r="BD13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BE22"/>
  <c r="AR22"/>
  <c r="U42"/>
  <c r="AN42" s="1"/>
  <c r="AE39"/>
  <c r="AO39" s="1"/>
  <c r="K39"/>
  <c r="AM39" s="1"/>
  <c r="U33"/>
  <c r="AN33" s="1"/>
  <c r="AE13"/>
  <c r="AK34" s="1"/>
  <c r="K13"/>
  <c r="AT41"/>
  <c r="AT20" s="1"/>
  <c r="AP14"/>
  <c r="AP12"/>
  <c r="AE21"/>
  <c r="AK42" s="1"/>
  <c r="K21"/>
  <c r="AE37"/>
  <c r="B254"/>
  <c r="B256" s="1"/>
  <c r="B194"/>
  <c r="B196" s="1"/>
  <c r="B118"/>
  <c r="B120" s="1"/>
  <c r="AE42"/>
  <c r="AO42" s="1"/>
  <c r="K42"/>
  <c r="AM42" s="1"/>
  <c r="U39"/>
  <c r="AN39" s="1"/>
  <c r="AP19"/>
  <c r="B137"/>
  <c r="B139" s="1"/>
  <c r="U35"/>
  <c r="AN35" s="1"/>
  <c r="AE33"/>
  <c r="K33"/>
  <c r="AM33" s="1"/>
  <c r="AE23"/>
  <c r="AK44" s="1"/>
  <c r="K23"/>
  <c r="AE17"/>
  <c r="U15"/>
  <c r="U13"/>
  <c r="AJ34" s="1"/>
  <c r="U11"/>
  <c r="AJ32" s="1"/>
  <c r="AT45"/>
  <c r="AT24" s="1"/>
  <c r="AP41"/>
  <c r="AP15"/>
  <c r="AE32"/>
  <c r="U21"/>
  <c r="AJ42" s="1"/>
  <c r="AE19"/>
  <c r="AP18"/>
  <c r="C26"/>
  <c r="AY7"/>
  <c r="AP22" i="29"/>
  <c r="AR22" s="1"/>
  <c r="U37"/>
  <c r="AN37" s="1"/>
  <c r="AR23"/>
  <c r="AA254"/>
  <c r="O256"/>
  <c r="O258" s="1"/>
  <c r="O255"/>
  <c r="AA194"/>
  <c r="O196"/>
  <c r="O198" s="1"/>
  <c r="O195"/>
  <c r="AA137"/>
  <c r="O139"/>
  <c r="O141" s="1"/>
  <c r="O138"/>
  <c r="AA100"/>
  <c r="O102"/>
  <c r="O104" s="1"/>
  <c r="O101"/>
  <c r="N74"/>
  <c r="BD14"/>
  <c r="U81"/>
  <c r="W81" s="1"/>
  <c r="AO44"/>
  <c r="N78"/>
  <c r="BD18"/>
  <c r="BD19"/>
  <c r="N75"/>
  <c r="BD15"/>
  <c r="N72"/>
  <c r="BD12"/>
  <c r="AO36"/>
  <c r="AO34"/>
  <c r="U71"/>
  <c r="W71" s="1"/>
  <c r="AO32"/>
  <c r="AT43"/>
  <c r="AT22" s="1"/>
  <c r="AI43"/>
  <c r="AV21"/>
  <c r="AP21"/>
  <c r="AV15"/>
  <c r="AZ27" s="1"/>
  <c r="BD29" s="1"/>
  <c r="AP15"/>
  <c r="N86"/>
  <c r="BD56"/>
  <c r="AI35"/>
  <c r="AI33"/>
  <c r="BE22"/>
  <c r="AE37"/>
  <c r="K37"/>
  <c r="AM37" s="1"/>
  <c r="B254"/>
  <c r="B256" s="1"/>
  <c r="B137"/>
  <c r="B139" s="1"/>
  <c r="AE42"/>
  <c r="AO42" s="1"/>
  <c r="K42"/>
  <c r="AM42" s="1"/>
  <c r="U39"/>
  <c r="AN39" s="1"/>
  <c r="B155"/>
  <c r="B157" s="1"/>
  <c r="U83"/>
  <c r="W83" s="1"/>
  <c r="AE35"/>
  <c r="K35"/>
  <c r="U33"/>
  <c r="AN33" s="1"/>
  <c r="U21"/>
  <c r="AJ42" s="1"/>
  <c r="AE15"/>
  <c r="AK36" s="1"/>
  <c r="K15"/>
  <c r="AT45"/>
  <c r="AT24" s="1"/>
  <c r="AP41"/>
  <c r="AP40"/>
  <c r="AP38"/>
  <c r="AT44"/>
  <c r="AT23" s="1"/>
  <c r="AT32"/>
  <c r="AA167"/>
  <c r="O169"/>
  <c r="O171" s="1"/>
  <c r="O168"/>
  <c r="O111"/>
  <c r="AA110"/>
  <c r="O112"/>
  <c r="O114" s="1"/>
  <c r="N77"/>
  <c r="BD17"/>
  <c r="U82"/>
  <c r="W82" s="1"/>
  <c r="U79"/>
  <c r="W79" s="1"/>
  <c r="AO43"/>
  <c r="N76"/>
  <c r="BD16"/>
  <c r="N73"/>
  <c r="BD13"/>
  <c r="N71"/>
  <c r="BD11"/>
  <c r="AI39"/>
  <c r="AI37"/>
  <c r="AT37"/>
  <c r="AT16" s="1"/>
  <c r="N80"/>
  <c r="BD20"/>
  <c r="Q221"/>
  <c r="Q218"/>
  <c r="Q217"/>
  <c r="Q215"/>
  <c r="Q214"/>
  <c r="Q213"/>
  <c r="Q211"/>
  <c r="Q210"/>
  <c r="Q208"/>
  <c r="Q86"/>
  <c r="AR60" s="1"/>
  <c r="Q83"/>
  <c r="Q81"/>
  <c r="AR44" s="1"/>
  <c r="Q79"/>
  <c r="AR40" s="1"/>
  <c r="Q78"/>
  <c r="AR39" s="1"/>
  <c r="Q77"/>
  <c r="AR38" s="1"/>
  <c r="Q75"/>
  <c r="AR36" s="1"/>
  <c r="Q74"/>
  <c r="AR35" s="1"/>
  <c r="Q72"/>
  <c r="AR33" s="1"/>
  <c r="N69"/>
  <c r="Q220"/>
  <c r="Q219"/>
  <c r="Q216"/>
  <c r="Q212"/>
  <c r="Q209"/>
  <c r="Q207"/>
  <c r="Q205"/>
  <c r="Q204"/>
  <c r="Q84"/>
  <c r="AR45" s="1"/>
  <c r="Q82"/>
  <c r="AR42" s="1"/>
  <c r="Q80"/>
  <c r="Q76"/>
  <c r="AR37" s="1"/>
  <c r="Q73"/>
  <c r="AR34" s="1"/>
  <c r="Q71"/>
  <c r="AR32" s="1"/>
  <c r="Q69"/>
  <c r="Q68"/>
  <c r="C26"/>
  <c r="AY7"/>
  <c r="U42"/>
  <c r="AN42" s="1"/>
  <c r="AE39"/>
  <c r="AO39" s="1"/>
  <c r="K39"/>
  <c r="AM39" s="1"/>
  <c r="U35"/>
  <c r="AN35" s="1"/>
  <c r="AE33"/>
  <c r="K33"/>
  <c r="AM33" s="1"/>
  <c r="AE21"/>
  <c r="AK42" s="1"/>
  <c r="K21"/>
  <c r="U15"/>
  <c r="AJ36" s="1"/>
  <c r="AP45"/>
  <c r="AT41"/>
  <c r="AT20" s="1"/>
  <c r="AP18"/>
  <c r="AP16"/>
  <c r="AP14"/>
  <c r="AP12"/>
  <c r="AE13"/>
  <c r="AP44"/>
  <c r="AP13"/>
  <c r="AP32"/>
  <c r="AP22" i="28"/>
  <c r="AR22" s="1"/>
  <c r="U13"/>
  <c r="AJ34" s="1"/>
  <c r="AE34"/>
  <c r="AO34" s="1"/>
  <c r="U83"/>
  <c r="W83" s="1"/>
  <c r="U23"/>
  <c r="AJ44" s="1"/>
  <c r="I217"/>
  <c r="N217" s="1"/>
  <c r="O176"/>
  <c r="O256"/>
  <c r="O258" s="1"/>
  <c r="Q205"/>
  <c r="AP24"/>
  <c r="Q68"/>
  <c r="U16"/>
  <c r="AJ37" s="1"/>
  <c r="U12"/>
  <c r="AJ33" s="1"/>
  <c r="AE36"/>
  <c r="B100"/>
  <c r="B102" s="1"/>
  <c r="U80"/>
  <c r="W80" s="1"/>
  <c r="AP23"/>
  <c r="BE23" s="1"/>
  <c r="AT41"/>
  <c r="AT20" s="1"/>
  <c r="AR17"/>
  <c r="AL37"/>
  <c r="AL34"/>
  <c r="N76"/>
  <c r="BD16"/>
  <c r="BF16" s="1"/>
  <c r="N74"/>
  <c r="BD14"/>
  <c r="K42"/>
  <c r="AM42" s="1"/>
  <c r="U21"/>
  <c r="AJ42" s="1"/>
  <c r="AP14"/>
  <c r="BE14" s="1"/>
  <c r="O255"/>
  <c r="Q212"/>
  <c r="O148"/>
  <c r="N86"/>
  <c r="Q74"/>
  <c r="AR35" s="1"/>
  <c r="O149"/>
  <c r="O151" s="1"/>
  <c r="U35"/>
  <c r="AN35" s="1"/>
  <c r="Q211"/>
  <c r="Q221"/>
  <c r="K34"/>
  <c r="AM34" s="1"/>
  <c r="AV15"/>
  <c r="BF14"/>
  <c r="K36"/>
  <c r="AM36" s="1"/>
  <c r="B254"/>
  <c r="B256" s="1"/>
  <c r="AT45"/>
  <c r="AT24" s="1"/>
  <c r="O111"/>
  <c r="AA110"/>
  <c r="O112"/>
  <c r="O114" s="1"/>
  <c r="N80"/>
  <c r="BD20"/>
  <c r="BD11"/>
  <c r="N71"/>
  <c r="BE56"/>
  <c r="AR56"/>
  <c r="U78"/>
  <c r="W78" s="1"/>
  <c r="AO40"/>
  <c r="AP40" s="1"/>
  <c r="BF15"/>
  <c r="AO37"/>
  <c r="AO35"/>
  <c r="AT60" s="1"/>
  <c r="AT56" s="1"/>
  <c r="AM35"/>
  <c r="AO33"/>
  <c r="AT43"/>
  <c r="AT22" s="1"/>
  <c r="AI43"/>
  <c r="AV21"/>
  <c r="AP21"/>
  <c r="B193"/>
  <c r="B194" s="1"/>
  <c r="B196" s="1"/>
  <c r="B190"/>
  <c r="B192" s="1"/>
  <c r="AV12"/>
  <c r="AP12"/>
  <c r="AO36"/>
  <c r="AI37"/>
  <c r="AI36"/>
  <c r="AI32"/>
  <c r="BE22"/>
  <c r="C58"/>
  <c r="M58" s="1"/>
  <c r="W58" s="1"/>
  <c r="M26"/>
  <c r="AZ7"/>
  <c r="U79"/>
  <c r="W79" s="1"/>
  <c r="AO43"/>
  <c r="U82"/>
  <c r="W82" s="1"/>
  <c r="BF19"/>
  <c r="BE19"/>
  <c r="AR19"/>
  <c r="BF13"/>
  <c r="AT44"/>
  <c r="AT23" s="1"/>
  <c r="AI44"/>
  <c r="AP44" s="1"/>
  <c r="AV18"/>
  <c r="AP18"/>
  <c r="O186"/>
  <c r="O193"/>
  <c r="O194" s="1"/>
  <c r="AV16"/>
  <c r="AZ27" s="1"/>
  <c r="BD29" s="1"/>
  <c r="AP16"/>
  <c r="AI34"/>
  <c r="Q71"/>
  <c r="AR32" s="1"/>
  <c r="Q208"/>
  <c r="Q214"/>
  <c r="Q217"/>
  <c r="U32"/>
  <c r="AN32" s="1"/>
  <c r="U18"/>
  <c r="AJ39" s="1"/>
  <c r="AP13"/>
  <c r="BE13" s="1"/>
  <c r="K12"/>
  <c r="AP45"/>
  <c r="AP38"/>
  <c r="U77"/>
  <c r="W77" s="1"/>
  <c r="AE42"/>
  <c r="AO42" s="1"/>
  <c r="B175"/>
  <c r="B177" s="1"/>
  <c r="Q80"/>
  <c r="Q210"/>
  <c r="U34"/>
  <c r="AN34" s="1"/>
  <c r="U36"/>
  <c r="AN36" s="1"/>
  <c r="AE32"/>
  <c r="K32"/>
  <c r="AM32" s="1"/>
  <c r="AE21"/>
  <c r="AK42" s="1"/>
  <c r="K21"/>
  <c r="AE18"/>
  <c r="AK39" s="1"/>
  <c r="K18"/>
  <c r="AE16"/>
  <c r="AK37" s="1"/>
  <c r="AP15"/>
  <c r="AR15" s="1"/>
  <c r="AE14"/>
  <c r="AK35" s="1"/>
  <c r="AE12"/>
  <c r="AK33" s="1"/>
  <c r="AP11"/>
  <c r="B137"/>
  <c r="B139" s="1"/>
  <c r="U81"/>
  <c r="W81" s="1"/>
  <c r="AP41"/>
  <c r="AT40"/>
  <c r="AT19" s="1"/>
  <c r="AT38"/>
  <c r="AT17" s="1"/>
  <c r="K15" i="27"/>
  <c r="AI36" s="1"/>
  <c r="K11"/>
  <c r="AI32" s="1"/>
  <c r="AA253"/>
  <c r="O255"/>
  <c r="O257" s="1"/>
  <c r="O254"/>
  <c r="AA166"/>
  <c r="O168"/>
  <c r="O170" s="1"/>
  <c r="O167"/>
  <c r="O110"/>
  <c r="AA109"/>
  <c r="O111"/>
  <c r="O113" s="1"/>
  <c r="BD56"/>
  <c r="N85"/>
  <c r="AA193"/>
  <c r="O195"/>
  <c r="O197" s="1"/>
  <c r="O194"/>
  <c r="AA136"/>
  <c r="O138"/>
  <c r="O140" s="1"/>
  <c r="O137"/>
  <c r="AA99"/>
  <c r="O101"/>
  <c r="O103" s="1"/>
  <c r="O100"/>
  <c r="U84"/>
  <c r="W84" s="1"/>
  <c r="U79"/>
  <c r="W79" s="1"/>
  <c r="U82"/>
  <c r="W82" s="1"/>
  <c r="AO44"/>
  <c r="U81"/>
  <c r="W81" s="1"/>
  <c r="AO42"/>
  <c r="N78"/>
  <c r="BD19"/>
  <c r="BD18"/>
  <c r="Q220"/>
  <c r="Q217"/>
  <c r="Q216"/>
  <c r="Q214"/>
  <c r="Q213"/>
  <c r="Q212"/>
  <c r="Q210"/>
  <c r="Q209"/>
  <c r="Q207"/>
  <c r="Q85"/>
  <c r="AR60" s="1"/>
  <c r="Q82"/>
  <c r="AR43" s="1"/>
  <c r="Q80"/>
  <c r="Q76"/>
  <c r="AR37" s="1"/>
  <c r="Q73"/>
  <c r="AR34" s="1"/>
  <c r="Q71"/>
  <c r="AR32" s="1"/>
  <c r="Q69"/>
  <c r="Q68"/>
  <c r="Q219"/>
  <c r="Q218"/>
  <c r="Q215"/>
  <c r="Q211"/>
  <c r="Q208"/>
  <c r="Q206"/>
  <c r="Q204"/>
  <c r="Q203"/>
  <c r="Q84"/>
  <c r="AR45" s="1"/>
  <c r="Q83"/>
  <c r="Q81"/>
  <c r="AR42" s="1"/>
  <c r="Q79"/>
  <c r="AR40" s="1"/>
  <c r="Q78"/>
  <c r="AR39" s="1"/>
  <c r="Q77"/>
  <c r="AR38" s="1"/>
  <c r="Q75"/>
  <c r="AR36" s="1"/>
  <c r="Q74"/>
  <c r="AR35" s="1"/>
  <c r="Q72"/>
  <c r="AR33" s="1"/>
  <c r="N69"/>
  <c r="AO37"/>
  <c r="AO35"/>
  <c r="AT60" s="1"/>
  <c r="AT56" s="1"/>
  <c r="AM35"/>
  <c r="AO33"/>
  <c r="AT44"/>
  <c r="AT23" s="1"/>
  <c r="AI44"/>
  <c r="AP44" s="1"/>
  <c r="AV22"/>
  <c r="AP22"/>
  <c r="AV18"/>
  <c r="AP18"/>
  <c r="AV16"/>
  <c r="AP16"/>
  <c r="AV14"/>
  <c r="AP14"/>
  <c r="AV12"/>
  <c r="AZ27" s="1"/>
  <c r="BD29" s="1"/>
  <c r="AP12"/>
  <c r="N77"/>
  <c r="BD17"/>
  <c r="N75"/>
  <c r="BD15"/>
  <c r="N72"/>
  <c r="BD12"/>
  <c r="BE21"/>
  <c r="AR21"/>
  <c r="BE23"/>
  <c r="AR23"/>
  <c r="C58"/>
  <c r="M58" s="1"/>
  <c r="W58" s="1"/>
  <c r="M26"/>
  <c r="AZ7"/>
  <c r="AE43"/>
  <c r="AO43" s="1"/>
  <c r="K43"/>
  <c r="AM43" s="1"/>
  <c r="U43"/>
  <c r="AN43" s="1"/>
  <c r="AE39"/>
  <c r="AO39" s="1"/>
  <c r="U22"/>
  <c r="AJ43" s="1"/>
  <c r="AE14"/>
  <c r="AK35" s="1"/>
  <c r="K14"/>
  <c r="U12"/>
  <c r="AJ33" s="1"/>
  <c r="AP11"/>
  <c r="AP40"/>
  <c r="AP13"/>
  <c r="U36"/>
  <c r="AN36" s="1"/>
  <c r="AE34"/>
  <c r="K34"/>
  <c r="AM34" s="1"/>
  <c r="U32"/>
  <c r="AN32" s="1"/>
  <c r="AE18"/>
  <c r="AK39" s="1"/>
  <c r="K18"/>
  <c r="U16"/>
  <c r="AJ37" s="1"/>
  <c r="AP15"/>
  <c r="U77"/>
  <c r="W77" s="1"/>
  <c r="AT38"/>
  <c r="AT17" s="1"/>
  <c r="AT42"/>
  <c r="AT21" s="1"/>
  <c r="AI42"/>
  <c r="AP42" s="1"/>
  <c r="AI34"/>
  <c r="N80"/>
  <c r="BD20"/>
  <c r="N76"/>
  <c r="BD16"/>
  <c r="N73"/>
  <c r="BD13"/>
  <c r="N71"/>
  <c r="BD11"/>
  <c r="B154"/>
  <c r="B156" s="1"/>
  <c r="K39"/>
  <c r="AM39" s="1"/>
  <c r="B253"/>
  <c r="B255" s="1"/>
  <c r="B136"/>
  <c r="B138" s="1"/>
  <c r="AE22"/>
  <c r="AK43" s="1"/>
  <c r="K22"/>
  <c r="U14"/>
  <c r="AJ35" s="1"/>
  <c r="AE12"/>
  <c r="AK33" s="1"/>
  <c r="K12"/>
  <c r="AP41"/>
  <c r="AT40"/>
  <c r="AT19" s="1"/>
  <c r="AE36"/>
  <c r="K36"/>
  <c r="AM36" s="1"/>
  <c r="U34"/>
  <c r="AN34" s="1"/>
  <c r="AE32"/>
  <c r="K32"/>
  <c r="AM32" s="1"/>
  <c r="U18"/>
  <c r="AJ39" s="1"/>
  <c r="AE16"/>
  <c r="AK37" s="1"/>
  <c r="K16"/>
  <c r="AP45"/>
  <c r="AP38"/>
  <c r="K34" i="26"/>
  <c r="AM34" s="1"/>
  <c r="AE37"/>
  <c r="U37"/>
  <c r="AN37" s="1"/>
  <c r="U83"/>
  <c r="W83" s="1"/>
  <c r="AE23"/>
  <c r="AK44" s="1"/>
  <c r="U15"/>
  <c r="AJ36" s="1"/>
  <c r="AA99"/>
  <c r="O101"/>
  <c r="O103" s="1"/>
  <c r="O100"/>
  <c r="N80"/>
  <c r="BD20"/>
  <c r="N76"/>
  <c r="BD16"/>
  <c r="N73"/>
  <c r="BD13"/>
  <c r="AO37"/>
  <c r="AO32"/>
  <c r="AI43"/>
  <c r="AV15"/>
  <c r="AP15"/>
  <c r="AV13"/>
  <c r="AP13"/>
  <c r="AI33"/>
  <c r="N78"/>
  <c r="BD18"/>
  <c r="BD19"/>
  <c r="AI44"/>
  <c r="AA193"/>
  <c r="O195"/>
  <c r="O197" s="1"/>
  <c r="O194"/>
  <c r="AA136"/>
  <c r="O138"/>
  <c r="O140" s="1"/>
  <c r="O137"/>
  <c r="O110"/>
  <c r="AA109"/>
  <c r="O111"/>
  <c r="O113" s="1"/>
  <c r="AO44"/>
  <c r="U81"/>
  <c r="W81" s="1"/>
  <c r="AO42"/>
  <c r="AV11"/>
  <c r="AP11"/>
  <c r="N77"/>
  <c r="BD17"/>
  <c r="N75"/>
  <c r="BD15"/>
  <c r="Q220"/>
  <c r="Q217"/>
  <c r="Q216"/>
  <c r="Q214"/>
  <c r="Q213"/>
  <c r="Q212"/>
  <c r="Q210"/>
  <c r="Q209"/>
  <c r="Q207"/>
  <c r="Q85"/>
  <c r="AR60" s="1"/>
  <c r="Q82"/>
  <c r="AR43" s="1"/>
  <c r="Q80"/>
  <c r="Q76"/>
  <c r="AR37" s="1"/>
  <c r="Q73"/>
  <c r="AR34" s="1"/>
  <c r="Q71"/>
  <c r="AR32" s="1"/>
  <c r="Q69"/>
  <c r="Q68"/>
  <c r="Q219"/>
  <c r="Q218"/>
  <c r="Q215"/>
  <c r="Q211"/>
  <c r="Q208"/>
  <c r="Q206"/>
  <c r="Q204"/>
  <c r="Q203"/>
  <c r="Q84"/>
  <c r="AR45" s="1"/>
  <c r="Q83"/>
  <c r="Q81"/>
  <c r="AR42" s="1"/>
  <c r="Q79"/>
  <c r="AR40" s="1"/>
  <c r="Q78"/>
  <c r="AR39" s="1"/>
  <c r="Q77"/>
  <c r="AR38" s="1"/>
  <c r="Q75"/>
  <c r="AR36" s="1"/>
  <c r="Q74"/>
  <c r="AR35" s="1"/>
  <c r="Q72"/>
  <c r="AR33" s="1"/>
  <c r="N69"/>
  <c r="AO36"/>
  <c r="AO34"/>
  <c r="AV23"/>
  <c r="AP23"/>
  <c r="AT39"/>
  <c r="AT18" s="1"/>
  <c r="AI39"/>
  <c r="AP39" s="1"/>
  <c r="AT37"/>
  <c r="AT16" s="1"/>
  <c r="AI37"/>
  <c r="AP37" s="1"/>
  <c r="AI35"/>
  <c r="BD56"/>
  <c r="N85"/>
  <c r="N71"/>
  <c r="BD11"/>
  <c r="K43"/>
  <c r="AM43" s="1"/>
  <c r="U33"/>
  <c r="AN33" s="1"/>
  <c r="AE13"/>
  <c r="AK34" s="1"/>
  <c r="U43"/>
  <c r="AN43" s="1"/>
  <c r="B154"/>
  <c r="B156" s="1"/>
  <c r="B99"/>
  <c r="B101" s="1"/>
  <c r="B174"/>
  <c r="B176" s="1"/>
  <c r="AE33"/>
  <c r="K33"/>
  <c r="AM33" s="1"/>
  <c r="U23"/>
  <c r="AJ44" s="1"/>
  <c r="AE15"/>
  <c r="AK36" s="1"/>
  <c r="K15"/>
  <c r="U13"/>
  <c r="AJ34" s="1"/>
  <c r="AT45"/>
  <c r="AT24" s="1"/>
  <c r="AT42"/>
  <c r="AT21" s="1"/>
  <c r="AT41"/>
  <c r="AT20" s="1"/>
  <c r="AP40"/>
  <c r="AP16"/>
  <c r="U35"/>
  <c r="AN35" s="1"/>
  <c r="K13"/>
  <c r="K11"/>
  <c r="AP22"/>
  <c r="AP38"/>
  <c r="AP14"/>
  <c r="AP12"/>
  <c r="AA166"/>
  <c r="O168"/>
  <c r="O170" s="1"/>
  <c r="O167"/>
  <c r="C26"/>
  <c r="AY7"/>
  <c r="AE43"/>
  <c r="AO43" s="1"/>
  <c r="AP45"/>
  <c r="AP42"/>
  <c r="AP41"/>
  <c r="AE35"/>
  <c r="K35"/>
  <c r="U11"/>
  <c r="AJ32" s="1"/>
  <c r="I81" i="25"/>
  <c r="C81"/>
  <c r="E81" s="1"/>
  <c r="AD270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U265"/>
  <c r="X265" s="1"/>
  <c r="R265"/>
  <c r="AD264"/>
  <c r="U264"/>
  <c r="X264" s="1"/>
  <c r="X271" s="1"/>
  <c r="R264"/>
  <c r="O252"/>
  <c r="O253" s="1"/>
  <c r="O244"/>
  <c r="O245" s="1"/>
  <c r="B244"/>
  <c r="B245" s="1"/>
  <c r="B247" s="1"/>
  <c r="B243"/>
  <c r="M238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U229"/>
  <c r="X229" s="1"/>
  <c r="R229"/>
  <c r="AI228"/>
  <c r="AD228"/>
  <c r="U228"/>
  <c r="X228" s="1"/>
  <c r="R228"/>
  <c r="AD227"/>
  <c r="AI227" s="1"/>
  <c r="U227"/>
  <c r="X227" s="1"/>
  <c r="R227"/>
  <c r="X220"/>
  <c r="U220"/>
  <c r="W220" s="1"/>
  <c r="C220"/>
  <c r="E220" s="1"/>
  <c r="K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G217"/>
  <c r="K217" s="1"/>
  <c r="X216"/>
  <c r="U216"/>
  <c r="W216" s="1"/>
  <c r="C216"/>
  <c r="G216" s="1"/>
  <c r="X215"/>
  <c r="U215"/>
  <c r="W215" s="1"/>
  <c r="C215"/>
  <c r="E215" s="1"/>
  <c r="I215" s="1"/>
  <c r="N215" s="1"/>
  <c r="X214"/>
  <c r="U214"/>
  <c r="W214" s="1"/>
  <c r="N214"/>
  <c r="K214"/>
  <c r="X213"/>
  <c r="U213"/>
  <c r="W213" s="1"/>
  <c r="C213"/>
  <c r="E213" s="1"/>
  <c r="K213" s="1"/>
  <c r="X212"/>
  <c r="U212"/>
  <c r="W212" s="1"/>
  <c r="S212"/>
  <c r="C212"/>
  <c r="E212" s="1"/>
  <c r="K212" s="1"/>
  <c r="X211"/>
  <c r="W211"/>
  <c r="U211"/>
  <c r="E211"/>
  <c r="I211" s="1"/>
  <c r="N211" s="1"/>
  <c r="C211"/>
  <c r="X210"/>
  <c r="U210"/>
  <c r="W210" s="1"/>
  <c r="C210"/>
  <c r="E210" s="1"/>
  <c r="K210" s="1"/>
  <c r="X209"/>
  <c r="W209"/>
  <c r="U209"/>
  <c r="S209"/>
  <c r="C209"/>
  <c r="E209" s="1"/>
  <c r="K209" s="1"/>
  <c r="X208"/>
  <c r="U208"/>
  <c r="W208" s="1"/>
  <c r="E208"/>
  <c r="I208" s="1"/>
  <c r="N208" s="1"/>
  <c r="C208"/>
  <c r="X207"/>
  <c r="U207"/>
  <c r="W207" s="1"/>
  <c r="I207"/>
  <c r="N207" s="1"/>
  <c r="C207"/>
  <c r="E207" s="1"/>
  <c r="K207" s="1"/>
  <c r="X206"/>
  <c r="U206"/>
  <c r="W206" s="1"/>
  <c r="E206"/>
  <c r="I206" s="1"/>
  <c r="N206" s="1"/>
  <c r="C206"/>
  <c r="K204"/>
  <c r="E204" s="1"/>
  <c r="E203"/>
  <c r="I203" s="1"/>
  <c r="N203" s="1"/>
  <c r="B182"/>
  <c r="AG169"/>
  <c r="AJ169" s="1"/>
  <c r="AG168"/>
  <c r="AJ168" s="1"/>
  <c r="AG167"/>
  <c r="AJ167" s="1"/>
  <c r="AG166"/>
  <c r="AJ166" s="1"/>
  <c r="AJ165"/>
  <c r="O165"/>
  <c r="O173" s="1"/>
  <c r="O174" s="1"/>
  <c r="B164"/>
  <c r="B165" s="1"/>
  <c r="B166" s="1"/>
  <c r="B168" s="1"/>
  <c r="O145"/>
  <c r="O153" s="1"/>
  <c r="O154" s="1"/>
  <c r="AA154" s="1"/>
  <c r="B144"/>
  <c r="B145" s="1"/>
  <c r="B146" s="1"/>
  <c r="B148" s="1"/>
  <c r="B150" s="1"/>
  <c r="B152" s="1"/>
  <c r="O127"/>
  <c r="O128" s="1"/>
  <c r="B126"/>
  <c r="B127" s="1"/>
  <c r="B128" s="1"/>
  <c r="B130" s="1"/>
  <c r="AI113"/>
  <c r="AE113"/>
  <c r="AI109"/>
  <c r="O108"/>
  <c r="O116" s="1"/>
  <c r="O117" s="1"/>
  <c r="B107"/>
  <c r="B108" s="1"/>
  <c r="B109" s="1"/>
  <c r="B111" s="1"/>
  <c r="B113" s="1"/>
  <c r="B115" s="1"/>
  <c r="O90"/>
  <c r="O91" s="1"/>
  <c r="B89"/>
  <c r="B90" s="1"/>
  <c r="B91" s="1"/>
  <c r="B93" s="1"/>
  <c r="X85"/>
  <c r="U85"/>
  <c r="W85" s="1"/>
  <c r="C85"/>
  <c r="E85" s="1"/>
  <c r="K85" s="1"/>
  <c r="X84"/>
  <c r="N84"/>
  <c r="X83"/>
  <c r="I83"/>
  <c r="N83" s="1"/>
  <c r="X82"/>
  <c r="I82"/>
  <c r="N82" s="1"/>
  <c r="X81"/>
  <c r="X80"/>
  <c r="C80"/>
  <c r="E80" s="1"/>
  <c r="K80" s="1"/>
  <c r="X79"/>
  <c r="N79"/>
  <c r="K79"/>
  <c r="X78"/>
  <c r="E78"/>
  <c r="I78" s="1"/>
  <c r="N78" s="1"/>
  <c r="X77"/>
  <c r="S77"/>
  <c r="C77"/>
  <c r="E77" s="1"/>
  <c r="X76"/>
  <c r="C76"/>
  <c r="E76" s="1"/>
  <c r="K76" s="1"/>
  <c r="X75"/>
  <c r="C75"/>
  <c r="E75" s="1"/>
  <c r="I75" s="1"/>
  <c r="X74"/>
  <c r="S74"/>
  <c r="C74"/>
  <c r="E74" s="1"/>
  <c r="I74" s="1"/>
  <c r="X73"/>
  <c r="C73"/>
  <c r="E73" s="1"/>
  <c r="K73" s="1"/>
  <c r="X72"/>
  <c r="C72"/>
  <c r="E72" s="1"/>
  <c r="I72" s="1"/>
  <c r="N72" s="1"/>
  <c r="X71"/>
  <c r="C71"/>
  <c r="E71" s="1"/>
  <c r="K71" s="1"/>
  <c r="K68"/>
  <c r="K69" s="1"/>
  <c r="E69" s="1"/>
  <c r="C69" s="1"/>
  <c r="E68"/>
  <c r="I68" s="1"/>
  <c r="N68" s="1"/>
  <c r="AF60"/>
  <c r="BB56" s="1"/>
  <c r="AC60"/>
  <c r="Z60"/>
  <c r="V60"/>
  <c r="S60"/>
  <c r="P60"/>
  <c r="L60"/>
  <c r="AZ56" s="1"/>
  <c r="I60"/>
  <c r="F60"/>
  <c r="BA56"/>
  <c r="AM56"/>
  <c r="AL60" s="1"/>
  <c r="AJ56"/>
  <c r="AC56"/>
  <c r="Z56"/>
  <c r="AF56" s="1"/>
  <c r="AX56" s="1"/>
  <c r="V56"/>
  <c r="AW56" s="1"/>
  <c r="S56"/>
  <c r="P56"/>
  <c r="L56"/>
  <c r="AV56" s="1"/>
  <c r="I56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C44"/>
  <c r="Z44"/>
  <c r="S44"/>
  <c r="P44"/>
  <c r="I44"/>
  <c r="F44"/>
  <c r="AC43"/>
  <c r="Z43"/>
  <c r="S43"/>
  <c r="P43"/>
  <c r="I43"/>
  <c r="F43"/>
  <c r="AC42"/>
  <c r="Z42"/>
  <c r="S42"/>
  <c r="P42"/>
  <c r="I42"/>
  <c r="F42"/>
  <c r="AF41"/>
  <c r="AC41"/>
  <c r="Z41"/>
  <c r="V41"/>
  <c r="S41"/>
  <c r="P41"/>
  <c r="L41"/>
  <c r="I41"/>
  <c r="F41"/>
  <c r="AF40"/>
  <c r="AC40"/>
  <c r="Z40"/>
  <c r="V40"/>
  <c r="S40"/>
  <c r="P40"/>
  <c r="L40"/>
  <c r="I40"/>
  <c r="F40"/>
  <c r="AC39"/>
  <c r="Z39"/>
  <c r="S39"/>
  <c r="P39"/>
  <c r="I39"/>
  <c r="F39"/>
  <c r="AF38"/>
  <c r="AC38"/>
  <c r="Z38"/>
  <c r="V38"/>
  <c r="BA17" s="1"/>
  <c r="S38"/>
  <c r="P38"/>
  <c r="L38"/>
  <c r="I38"/>
  <c r="F38"/>
  <c r="AC37"/>
  <c r="Z37"/>
  <c r="S37"/>
  <c r="P37"/>
  <c r="I37"/>
  <c r="L37" s="1"/>
  <c r="AZ16" s="1"/>
  <c r="F37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S33"/>
  <c r="P33"/>
  <c r="I33"/>
  <c r="F33"/>
  <c r="AC32"/>
  <c r="Z32"/>
  <c r="S32"/>
  <c r="P32"/>
  <c r="I32"/>
  <c r="F32"/>
  <c r="AI26"/>
  <c r="AJ26" s="1"/>
  <c r="AK26" s="1"/>
  <c r="AL26" s="1"/>
  <c r="AM26" s="1"/>
  <c r="AN26" s="1"/>
  <c r="AO26" s="1"/>
  <c r="BD24"/>
  <c r="BB24"/>
  <c r="BA24"/>
  <c r="AZ24"/>
  <c r="AM24"/>
  <c r="AJ24"/>
  <c r="AC24"/>
  <c r="Z24"/>
  <c r="AF24" s="1"/>
  <c r="AX24" s="1"/>
  <c r="V24"/>
  <c r="AW24" s="1"/>
  <c r="S24"/>
  <c r="P24"/>
  <c r="L24"/>
  <c r="AV24" s="1"/>
  <c r="I24"/>
  <c r="F24"/>
  <c r="B24"/>
  <c r="B45" s="1"/>
  <c r="BD23"/>
  <c r="AM23"/>
  <c r="AJ23"/>
  <c r="AC23"/>
  <c r="Z23"/>
  <c r="AF23" s="1"/>
  <c r="AX23" s="1"/>
  <c r="S23"/>
  <c r="P23"/>
  <c r="I23"/>
  <c r="F23"/>
  <c r="L23" s="1"/>
  <c r="AV23" s="1"/>
  <c r="B23"/>
  <c r="B44" s="1"/>
  <c r="BD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3" s="1"/>
  <c r="AM21"/>
  <c r="AJ21"/>
  <c r="AC21"/>
  <c r="Z21"/>
  <c r="AF21" s="1"/>
  <c r="AX21" s="1"/>
  <c r="V21"/>
  <c r="AW21" s="1"/>
  <c r="S21"/>
  <c r="P21"/>
  <c r="L21"/>
  <c r="AV21" s="1"/>
  <c r="I21"/>
  <c r="F21"/>
  <c r="B21"/>
  <c r="B42" s="1"/>
  <c r="BB20"/>
  <c r="BA20"/>
  <c r="AZ20"/>
  <c r="AM20"/>
  <c r="AJ20"/>
  <c r="AC20"/>
  <c r="Z20"/>
  <c r="AF20" s="1"/>
  <c r="AX20" s="1"/>
  <c r="V20"/>
  <c r="AW20" s="1"/>
  <c r="S20"/>
  <c r="P20"/>
  <c r="U20" s="1"/>
  <c r="AJ41" s="1"/>
  <c r="L20"/>
  <c r="AV20" s="1"/>
  <c r="I20"/>
  <c r="F20"/>
  <c r="B20"/>
  <c r="B41" s="1"/>
  <c r="BB19"/>
  <c r="BA19"/>
  <c r="AZ19"/>
  <c r="AM19"/>
  <c r="AJ19"/>
  <c r="AC19"/>
  <c r="Z19"/>
  <c r="AF19" s="1"/>
  <c r="AX19" s="1"/>
  <c r="V19"/>
  <c r="AW19" s="1"/>
  <c r="S19"/>
  <c r="P19"/>
  <c r="L19"/>
  <c r="AV19" s="1"/>
  <c r="I19"/>
  <c r="F19"/>
  <c r="B19"/>
  <c r="B40" s="1"/>
  <c r="BD18"/>
  <c r="AM18"/>
  <c r="AJ18"/>
  <c r="AC18"/>
  <c r="Z18"/>
  <c r="S18"/>
  <c r="P18"/>
  <c r="I18"/>
  <c r="F18"/>
  <c r="B18"/>
  <c r="B39" s="1"/>
  <c r="BB17"/>
  <c r="AZ17"/>
  <c r="AM17"/>
  <c r="AJ17"/>
  <c r="AC17"/>
  <c r="Z17"/>
  <c r="AF17" s="1"/>
  <c r="AX17" s="1"/>
  <c r="V17"/>
  <c r="AW17" s="1"/>
  <c r="S17"/>
  <c r="U17" s="1"/>
  <c r="AJ38" s="1"/>
  <c r="P17"/>
  <c r="L17"/>
  <c r="AV17" s="1"/>
  <c r="I17"/>
  <c r="F17"/>
  <c r="B17"/>
  <c r="B38" s="1"/>
  <c r="AM16"/>
  <c r="AJ16"/>
  <c r="AC16"/>
  <c r="Z16"/>
  <c r="S16"/>
  <c r="P16"/>
  <c r="I16"/>
  <c r="F16"/>
  <c r="B16"/>
  <c r="B37" s="1"/>
  <c r="AM15"/>
  <c r="AJ15"/>
  <c r="AC15"/>
  <c r="Z15"/>
  <c r="S15"/>
  <c r="P15"/>
  <c r="I15"/>
  <c r="F15"/>
  <c r="B15"/>
  <c r="B36" s="1"/>
  <c r="AM14"/>
  <c r="AJ14"/>
  <c r="AC14"/>
  <c r="Z14"/>
  <c r="S14"/>
  <c r="P14"/>
  <c r="I14"/>
  <c r="F14"/>
  <c r="B14"/>
  <c r="B35" s="1"/>
  <c r="AM13"/>
  <c r="AJ13"/>
  <c r="AC13"/>
  <c r="Z13"/>
  <c r="S13"/>
  <c r="P13"/>
  <c r="I13"/>
  <c r="F13"/>
  <c r="B13"/>
  <c r="B34" s="1"/>
  <c r="AM12"/>
  <c r="AJ12"/>
  <c r="AC12"/>
  <c r="Z12"/>
  <c r="AF12" s="1"/>
  <c r="AX12" s="1"/>
  <c r="S12"/>
  <c r="P12"/>
  <c r="I12"/>
  <c r="F12"/>
  <c r="B12"/>
  <c r="B33" s="1"/>
  <c r="AM11"/>
  <c r="AJ11"/>
  <c r="AC11"/>
  <c r="Z11"/>
  <c r="S11"/>
  <c r="P11"/>
  <c r="I11"/>
  <c r="F11"/>
  <c r="B11"/>
  <c r="B32" s="1"/>
  <c r="AV7"/>
  <c r="M5"/>
  <c r="W5" s="1"/>
  <c r="AE23" i="24"/>
  <c r="AE22"/>
  <c r="U23"/>
  <c r="U22"/>
  <c r="K23"/>
  <c r="K22"/>
  <c r="K44"/>
  <c r="K43"/>
  <c r="U44"/>
  <c r="U43"/>
  <c r="AE44"/>
  <c r="AD27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X265"/>
  <c r="U265"/>
  <c r="R265"/>
  <c r="AD264"/>
  <c r="AD271" s="1"/>
  <c r="X264"/>
  <c r="X271" s="1"/>
  <c r="U264"/>
  <c r="R264"/>
  <c r="O244"/>
  <c r="O245" s="1"/>
  <c r="B243"/>
  <c r="B244" s="1"/>
  <c r="B245" s="1"/>
  <c r="B247" s="1"/>
  <c r="M238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U229"/>
  <c r="X229" s="1"/>
  <c r="R229"/>
  <c r="AD228"/>
  <c r="AI228" s="1"/>
  <c r="U228"/>
  <c r="X228" s="1"/>
  <c r="R228"/>
  <c r="AD227"/>
  <c r="AI227" s="1"/>
  <c r="U227"/>
  <c r="X227" s="1"/>
  <c r="X236" s="1"/>
  <c r="R227"/>
  <c r="X220"/>
  <c r="U220"/>
  <c r="W220" s="1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I217"/>
  <c r="N217" s="1"/>
  <c r="G217"/>
  <c r="K217" s="1"/>
  <c r="E217"/>
  <c r="C217"/>
  <c r="X216"/>
  <c r="U216"/>
  <c r="W216" s="1"/>
  <c r="E216"/>
  <c r="K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AI113"/>
  <c r="AE113"/>
  <c r="AI109"/>
  <c r="AI110" s="1"/>
  <c r="AL109" s="1"/>
  <c r="AL108" s="1"/>
  <c r="AO108" s="1"/>
  <c r="AO109" s="1"/>
  <c r="O108"/>
  <c r="O116" s="1"/>
  <c r="O117" s="1"/>
  <c r="B108"/>
  <c r="B109" s="1"/>
  <c r="B111" s="1"/>
  <c r="B107"/>
  <c r="O90"/>
  <c r="O91" s="1"/>
  <c r="B89"/>
  <c r="B90" s="1"/>
  <c r="B91" s="1"/>
  <c r="B93" s="1"/>
  <c r="X85"/>
  <c r="U85"/>
  <c r="W85" s="1"/>
  <c r="C85"/>
  <c r="E85" s="1"/>
  <c r="X84"/>
  <c r="G84"/>
  <c r="K84" s="1"/>
  <c r="E84"/>
  <c r="I84" s="1"/>
  <c r="N84" s="1"/>
  <c r="AF83"/>
  <c r="X83"/>
  <c r="I83"/>
  <c r="N83" s="1"/>
  <c r="G83"/>
  <c r="K83" s="1"/>
  <c r="E83"/>
  <c r="C83"/>
  <c r="X82"/>
  <c r="I82"/>
  <c r="N82" s="1"/>
  <c r="G82"/>
  <c r="K82" s="1"/>
  <c r="E82"/>
  <c r="C82"/>
  <c r="X81"/>
  <c r="E81"/>
  <c r="I81" s="1"/>
  <c r="N81" s="1"/>
  <c r="C81"/>
  <c r="G81" s="1"/>
  <c r="X80"/>
  <c r="E80"/>
  <c r="K80" s="1"/>
  <c r="Z80" s="1"/>
  <c r="C80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C74"/>
  <c r="E74" s="1"/>
  <c r="X73"/>
  <c r="C73"/>
  <c r="E73" s="1"/>
  <c r="X72"/>
  <c r="C72"/>
  <c r="E72" s="1"/>
  <c r="X71"/>
  <c r="C71"/>
  <c r="E71" s="1"/>
  <c r="K68"/>
  <c r="K69" s="1"/>
  <c r="E69" s="1"/>
  <c r="E68"/>
  <c r="I68" s="1"/>
  <c r="N68" s="1"/>
  <c r="AH64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P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I45"/>
  <c r="L45" s="1"/>
  <c r="F45"/>
  <c r="AC44"/>
  <c r="Z44"/>
  <c r="S44"/>
  <c r="V44" s="1"/>
  <c r="P44"/>
  <c r="I44"/>
  <c r="F44"/>
  <c r="AC43"/>
  <c r="Z43"/>
  <c r="S43"/>
  <c r="P43"/>
  <c r="I43"/>
  <c r="F43"/>
  <c r="AF42"/>
  <c r="AC42"/>
  <c r="Z42"/>
  <c r="V42"/>
  <c r="S42"/>
  <c r="P42"/>
  <c r="I42"/>
  <c r="L42" s="1"/>
  <c r="F42"/>
  <c r="AF41"/>
  <c r="AC41"/>
  <c r="Z41"/>
  <c r="V41"/>
  <c r="S41"/>
  <c r="P41"/>
  <c r="I41"/>
  <c r="L41" s="1"/>
  <c r="F41"/>
  <c r="AF40"/>
  <c r="AC40"/>
  <c r="Z40"/>
  <c r="AE40" s="1"/>
  <c r="V40"/>
  <c r="S40"/>
  <c r="P40"/>
  <c r="U40" s="1"/>
  <c r="AN40" s="1"/>
  <c r="I40"/>
  <c r="L40" s="1"/>
  <c r="F40"/>
  <c r="AC39"/>
  <c r="Z39"/>
  <c r="AF39" s="1"/>
  <c r="BB18" s="1"/>
  <c r="S39"/>
  <c r="P39"/>
  <c r="I39"/>
  <c r="F39"/>
  <c r="L39" s="1"/>
  <c r="AZ18" s="1"/>
  <c r="AF38"/>
  <c r="AC38"/>
  <c r="Z38"/>
  <c r="V38"/>
  <c r="S38"/>
  <c r="P38"/>
  <c r="I38"/>
  <c r="F38"/>
  <c r="AC37"/>
  <c r="Z37"/>
  <c r="S37"/>
  <c r="P37"/>
  <c r="I37"/>
  <c r="F37"/>
  <c r="AC36"/>
  <c r="Z36"/>
  <c r="S36"/>
  <c r="P36"/>
  <c r="V36" s="1"/>
  <c r="BA15" s="1"/>
  <c r="I36"/>
  <c r="F36"/>
  <c r="AC35"/>
  <c r="Z35"/>
  <c r="AF35" s="1"/>
  <c r="BB14" s="1"/>
  <c r="V35"/>
  <c r="S35"/>
  <c r="P35"/>
  <c r="U35" s="1"/>
  <c r="AN35" s="1"/>
  <c r="I35"/>
  <c r="F35"/>
  <c r="L35" s="1"/>
  <c r="AZ14" s="1"/>
  <c r="AC34"/>
  <c r="Z34"/>
  <c r="S34"/>
  <c r="P34"/>
  <c r="V34" s="1"/>
  <c r="BA13" s="1"/>
  <c r="I34"/>
  <c r="F34"/>
  <c r="AC33"/>
  <c r="Z33"/>
  <c r="AF33" s="1"/>
  <c r="BB12" s="1"/>
  <c r="S33"/>
  <c r="P33"/>
  <c r="V33" s="1"/>
  <c r="BA12" s="1"/>
  <c r="I33"/>
  <c r="F33"/>
  <c r="L33" s="1"/>
  <c r="AZ12" s="1"/>
  <c r="AC32"/>
  <c r="Z32"/>
  <c r="S32"/>
  <c r="P32"/>
  <c r="I32"/>
  <c r="F32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L24"/>
  <c r="AV24" s="1"/>
  <c r="I24"/>
  <c r="F24"/>
  <c r="B24"/>
  <c r="B45" s="1"/>
  <c r="BD23"/>
  <c r="BA23"/>
  <c r="AM23"/>
  <c r="AJ23"/>
  <c r="AO23" s="1"/>
  <c r="AC23"/>
  <c r="Z23"/>
  <c r="AF23" s="1"/>
  <c r="AX23" s="1"/>
  <c r="S23"/>
  <c r="P23"/>
  <c r="I23"/>
  <c r="F23"/>
  <c r="B23"/>
  <c r="B44" s="1"/>
  <c r="BD22"/>
  <c r="AM22"/>
  <c r="AJ22"/>
  <c r="AO22" s="1"/>
  <c r="AC22"/>
  <c r="Z22"/>
  <c r="S22"/>
  <c r="P22"/>
  <c r="I22"/>
  <c r="F22"/>
  <c r="B22"/>
  <c r="B43" s="1"/>
  <c r="BD21"/>
  <c r="BB21"/>
  <c r="BA21"/>
  <c r="AZ21"/>
  <c r="AM21"/>
  <c r="AJ21"/>
  <c r="AO21" s="1"/>
  <c r="AC21"/>
  <c r="Z21"/>
  <c r="AF21" s="1"/>
  <c r="AX21" s="1"/>
  <c r="V21"/>
  <c r="AW21" s="1"/>
  <c r="S21"/>
  <c r="P21"/>
  <c r="L21"/>
  <c r="I21"/>
  <c r="F21"/>
  <c r="K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V20" s="1"/>
  <c r="I20"/>
  <c r="K20" s="1"/>
  <c r="F20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0" s="1"/>
  <c r="L19"/>
  <c r="I19"/>
  <c r="F19"/>
  <c r="K19" s="1"/>
  <c r="B19"/>
  <c r="B40" s="1"/>
  <c r="AM18"/>
  <c r="AJ18"/>
  <c r="AO18" s="1"/>
  <c r="AC18"/>
  <c r="Z18"/>
  <c r="S18"/>
  <c r="P18"/>
  <c r="I18"/>
  <c r="F18"/>
  <c r="B18"/>
  <c r="B39" s="1"/>
  <c r="BB17"/>
  <c r="BA17"/>
  <c r="AM17"/>
  <c r="AJ17"/>
  <c r="AO17" s="1"/>
  <c r="AC17"/>
  <c r="Z17"/>
  <c r="AF17" s="1"/>
  <c r="AX17" s="1"/>
  <c r="V17"/>
  <c r="AW17" s="1"/>
  <c r="S17"/>
  <c r="P17"/>
  <c r="U17" s="1"/>
  <c r="AJ38" s="1"/>
  <c r="L17"/>
  <c r="AV17" s="1"/>
  <c r="I17"/>
  <c r="F17"/>
  <c r="K17" s="1"/>
  <c r="B17"/>
  <c r="B38" s="1"/>
  <c r="AM16"/>
  <c r="AJ16"/>
  <c r="AO16" s="1"/>
  <c r="AC16"/>
  <c r="Z16"/>
  <c r="AF16" s="1"/>
  <c r="AX16" s="1"/>
  <c r="S16"/>
  <c r="P16"/>
  <c r="V16" s="1"/>
  <c r="AW16" s="1"/>
  <c r="I16"/>
  <c r="F16"/>
  <c r="L16" s="1"/>
  <c r="AV16" s="1"/>
  <c r="B16"/>
  <c r="B37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6" s="1"/>
  <c r="BA14"/>
  <c r="AM14"/>
  <c r="AJ14"/>
  <c r="AO14" s="1"/>
  <c r="AC14"/>
  <c r="Z14"/>
  <c r="S14"/>
  <c r="P14"/>
  <c r="I14"/>
  <c r="F14"/>
  <c r="B14"/>
  <c r="B35" s="1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4" s="1"/>
  <c r="AM12"/>
  <c r="AJ12"/>
  <c r="AO12" s="1"/>
  <c r="AC12"/>
  <c r="Z12"/>
  <c r="S12"/>
  <c r="P12"/>
  <c r="I12"/>
  <c r="F12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2" s="1"/>
  <c r="AV7"/>
  <c r="M5"/>
  <c r="AW7" s="1"/>
  <c r="V45" i="23"/>
  <c r="V44"/>
  <c r="V43"/>
  <c r="V42"/>
  <c r="V41"/>
  <c r="V40"/>
  <c r="V39"/>
  <c r="V38"/>
  <c r="V37"/>
  <c r="V36"/>
  <c r="V35"/>
  <c r="V34"/>
  <c r="V33"/>
  <c r="V32"/>
  <c r="G83"/>
  <c r="I83" s="1"/>
  <c r="C83"/>
  <c r="E83" s="1"/>
  <c r="AD270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U265"/>
  <c r="X265" s="1"/>
  <c r="R265"/>
  <c r="AD264"/>
  <c r="AD271" s="1"/>
  <c r="U264"/>
  <c r="X264" s="1"/>
  <c r="R264"/>
  <c r="O244"/>
  <c r="O245" s="1"/>
  <c r="B243"/>
  <c r="B244" s="1"/>
  <c r="B245" s="1"/>
  <c r="B247" s="1"/>
  <c r="M238"/>
  <c r="U234"/>
  <c r="X234" s="1"/>
  <c r="R234"/>
  <c r="X233"/>
  <c r="U233"/>
  <c r="R233"/>
  <c r="U232"/>
  <c r="X232" s="1"/>
  <c r="R232"/>
  <c r="X231"/>
  <c r="U231"/>
  <c r="R231"/>
  <c r="U230"/>
  <c r="X230" s="1"/>
  <c r="R230"/>
  <c r="X229"/>
  <c r="U229"/>
  <c r="R229"/>
  <c r="AD228"/>
  <c r="AI228" s="1"/>
  <c r="U228"/>
  <c r="X228" s="1"/>
  <c r="R228"/>
  <c r="AI227"/>
  <c r="AD227"/>
  <c r="AD236" s="1"/>
  <c r="AD238" s="1"/>
  <c r="X227"/>
  <c r="X236" s="1"/>
  <c r="U227"/>
  <c r="R227"/>
  <c r="X220"/>
  <c r="W220"/>
  <c r="U220"/>
  <c r="E220"/>
  <c r="K220" s="1"/>
  <c r="C220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W217"/>
  <c r="U217"/>
  <c r="G217"/>
  <c r="K217" s="1"/>
  <c r="C217"/>
  <c r="E217" s="1"/>
  <c r="X216"/>
  <c r="U216"/>
  <c r="W216" s="1"/>
  <c r="E216"/>
  <c r="K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AI113"/>
  <c r="AE113"/>
  <c r="AI109"/>
  <c r="AI110" s="1"/>
  <c r="AL109" s="1"/>
  <c r="AL108" s="1"/>
  <c r="AO108" s="1"/>
  <c r="AO109" s="1"/>
  <c r="O108"/>
  <c r="O116" s="1"/>
  <c r="O117" s="1"/>
  <c r="B108"/>
  <c r="B109" s="1"/>
  <c r="B111" s="1"/>
  <c r="B107"/>
  <c r="O90"/>
  <c r="O91" s="1"/>
  <c r="B89"/>
  <c r="B90" s="1"/>
  <c r="B91" s="1"/>
  <c r="B93" s="1"/>
  <c r="X85"/>
  <c r="U85"/>
  <c r="W85" s="1"/>
  <c r="E85"/>
  <c r="K85" s="1"/>
  <c r="C85"/>
  <c r="X84"/>
  <c r="G84"/>
  <c r="K84" s="1"/>
  <c r="E84"/>
  <c r="I84" s="1"/>
  <c r="N84" s="1"/>
  <c r="AF83"/>
  <c r="X83"/>
  <c r="X82"/>
  <c r="G82"/>
  <c r="K82" s="1"/>
  <c r="C82"/>
  <c r="E82" s="1"/>
  <c r="X81"/>
  <c r="C81"/>
  <c r="G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H64"/>
  <c r="AF60"/>
  <c r="AC60"/>
  <c r="AE60" s="1"/>
  <c r="AO60" s="1"/>
  <c r="Z60"/>
  <c r="V60"/>
  <c r="BA56" s="1"/>
  <c r="S60"/>
  <c r="P60"/>
  <c r="L60"/>
  <c r="AZ56" s="1"/>
  <c r="I60"/>
  <c r="F60"/>
  <c r="BB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F56"/>
  <c r="B56"/>
  <c r="B60" s="1"/>
  <c r="C54"/>
  <c r="M54" s="1"/>
  <c r="W54" s="1"/>
  <c r="AG54" s="1"/>
  <c r="AW47"/>
  <c r="AF45"/>
  <c r="AC45"/>
  <c r="Z45"/>
  <c r="S45"/>
  <c r="P45"/>
  <c r="L45"/>
  <c r="I45"/>
  <c r="F45"/>
  <c r="AC44"/>
  <c r="Z44"/>
  <c r="AF44" s="1"/>
  <c r="BB23" s="1"/>
  <c r="S44"/>
  <c r="P44"/>
  <c r="BA23" s="1"/>
  <c r="I44"/>
  <c r="F44"/>
  <c r="L44" s="1"/>
  <c r="AZ23" s="1"/>
  <c r="AC43"/>
  <c r="Z43"/>
  <c r="AF43" s="1"/>
  <c r="S43"/>
  <c r="P43"/>
  <c r="I43"/>
  <c r="F43"/>
  <c r="L43" s="1"/>
  <c r="AF42"/>
  <c r="AC42"/>
  <c r="AE42" s="1"/>
  <c r="Z42"/>
  <c r="S42"/>
  <c r="P42"/>
  <c r="L42"/>
  <c r="I42"/>
  <c r="F42"/>
  <c r="AF41"/>
  <c r="AC41"/>
  <c r="Z41"/>
  <c r="S41"/>
  <c r="U41" s="1"/>
  <c r="AN41" s="1"/>
  <c r="P41"/>
  <c r="L41"/>
  <c r="I41"/>
  <c r="F41"/>
  <c r="AF40"/>
  <c r="AC40"/>
  <c r="Z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BB17" s="1"/>
  <c r="AC38"/>
  <c r="Z38"/>
  <c r="AE38" s="1"/>
  <c r="S38"/>
  <c r="P38"/>
  <c r="L38"/>
  <c r="I38"/>
  <c r="F38"/>
  <c r="K38" s="1"/>
  <c r="AM38" s="1"/>
  <c r="AF37"/>
  <c r="AC37"/>
  <c r="AE37" s="1"/>
  <c r="Z37"/>
  <c r="S37"/>
  <c r="P37"/>
  <c r="L37"/>
  <c r="I37"/>
  <c r="F37"/>
  <c r="AC36"/>
  <c r="Z36"/>
  <c r="AF36" s="1"/>
  <c r="BB15" s="1"/>
  <c r="S36"/>
  <c r="P36"/>
  <c r="BA15" s="1"/>
  <c r="I36"/>
  <c r="F36"/>
  <c r="L36" s="1"/>
  <c r="AZ15" s="1"/>
  <c r="AC35"/>
  <c r="Z35"/>
  <c r="S35"/>
  <c r="P35"/>
  <c r="I35"/>
  <c r="F35"/>
  <c r="AC34"/>
  <c r="Z34"/>
  <c r="AF34" s="1"/>
  <c r="BB13" s="1"/>
  <c r="S34"/>
  <c r="P34"/>
  <c r="I34"/>
  <c r="F34"/>
  <c r="L34" s="1"/>
  <c r="AZ13" s="1"/>
  <c r="AC33"/>
  <c r="Z33"/>
  <c r="S33"/>
  <c r="P33"/>
  <c r="I33"/>
  <c r="F33"/>
  <c r="AC32"/>
  <c r="Z32"/>
  <c r="AF32" s="1"/>
  <c r="BB11" s="1"/>
  <c r="S32"/>
  <c r="P32"/>
  <c r="BA11" s="1"/>
  <c r="I32"/>
  <c r="F32"/>
  <c r="L32" s="1"/>
  <c r="AZ11" s="1"/>
  <c r="AJ26"/>
  <c r="AK26" s="1"/>
  <c r="AL26" s="1"/>
  <c r="AI26"/>
  <c r="BD24"/>
  <c r="BB24"/>
  <c r="BA24"/>
  <c r="AZ24"/>
  <c r="AM24"/>
  <c r="AJ24"/>
  <c r="AO24" s="1"/>
  <c r="AC24"/>
  <c r="Z24"/>
  <c r="AF24" s="1"/>
  <c r="AX24" s="1"/>
  <c r="V24"/>
  <c r="AW24" s="1"/>
  <c r="S24"/>
  <c r="P24"/>
  <c r="U24" s="1"/>
  <c r="AJ45" s="1"/>
  <c r="L24"/>
  <c r="I24"/>
  <c r="F24"/>
  <c r="K24" s="1"/>
  <c r="B24"/>
  <c r="B45" s="1"/>
  <c r="AM23"/>
  <c r="AJ23"/>
  <c r="AO23" s="1"/>
  <c r="AC23"/>
  <c r="Z23"/>
  <c r="AF23" s="1"/>
  <c r="AX23" s="1"/>
  <c r="V23"/>
  <c r="AW23" s="1"/>
  <c r="S23"/>
  <c r="P23"/>
  <c r="L23"/>
  <c r="AV23" s="1"/>
  <c r="I23"/>
  <c r="F23"/>
  <c r="B23"/>
  <c r="B44" s="1"/>
  <c r="BB22"/>
  <c r="BA22"/>
  <c r="AZ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3" s="1"/>
  <c r="BB21"/>
  <c r="BA21"/>
  <c r="AZ21"/>
  <c r="AM21"/>
  <c r="AJ21"/>
  <c r="AO21" s="1"/>
  <c r="AC21"/>
  <c r="Z21"/>
  <c r="AF21" s="1"/>
  <c r="AX21" s="1"/>
  <c r="V21"/>
  <c r="AW21" s="1"/>
  <c r="S21"/>
  <c r="U21" s="1"/>
  <c r="AJ42" s="1"/>
  <c r="P21"/>
  <c r="L21"/>
  <c r="AV21" s="1"/>
  <c r="I21"/>
  <c r="K21" s="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P20" s="1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K19" s="1"/>
  <c r="F19"/>
  <c r="B19"/>
  <c r="B40" s="1"/>
  <c r="AM18"/>
  <c r="AJ18"/>
  <c r="AO18" s="1"/>
  <c r="AC18"/>
  <c r="Z18"/>
  <c r="AF18" s="1"/>
  <c r="AX18" s="1"/>
  <c r="S18"/>
  <c r="P18"/>
  <c r="V18" s="1"/>
  <c r="AW18" s="1"/>
  <c r="I18"/>
  <c r="F18"/>
  <c r="L18" s="1"/>
  <c r="B18"/>
  <c r="B39" s="1"/>
  <c r="BA17"/>
  <c r="AZ17"/>
  <c r="AM17"/>
  <c r="AJ17"/>
  <c r="AO17" s="1"/>
  <c r="AC17"/>
  <c r="Z17"/>
  <c r="AF17" s="1"/>
  <c r="AX17" s="1"/>
  <c r="V17"/>
  <c r="AW17" s="1"/>
  <c r="S17"/>
  <c r="P17"/>
  <c r="L17"/>
  <c r="AV17" s="1"/>
  <c r="I17"/>
  <c r="F17"/>
  <c r="B17"/>
  <c r="B38" s="1"/>
  <c r="BB16"/>
  <c r="BA16"/>
  <c r="AZ16"/>
  <c r="AM16"/>
  <c r="AJ16"/>
  <c r="AO16" s="1"/>
  <c r="AC16"/>
  <c r="Z16"/>
  <c r="AF16" s="1"/>
  <c r="AX16" s="1"/>
  <c r="V16"/>
  <c r="AW16" s="1"/>
  <c r="S16"/>
  <c r="P16"/>
  <c r="L16"/>
  <c r="I16"/>
  <c r="F16"/>
  <c r="K16" s="1"/>
  <c r="B16"/>
  <c r="B37" s="1"/>
  <c r="AM15"/>
  <c r="AJ15"/>
  <c r="AO15" s="1"/>
  <c r="AC15"/>
  <c r="Z15"/>
  <c r="S15"/>
  <c r="P15"/>
  <c r="I15"/>
  <c r="F15"/>
  <c r="B15"/>
  <c r="B36" s="1"/>
  <c r="BA14"/>
  <c r="AM14"/>
  <c r="AJ14"/>
  <c r="AO14" s="1"/>
  <c r="AC14"/>
  <c r="Z14"/>
  <c r="AF14" s="1"/>
  <c r="AX14" s="1"/>
  <c r="S14"/>
  <c r="P14"/>
  <c r="V14" s="1"/>
  <c r="AW14" s="1"/>
  <c r="I14"/>
  <c r="F14"/>
  <c r="L14" s="1"/>
  <c r="B14"/>
  <c r="B35" s="1"/>
  <c r="BA13"/>
  <c r="AM13"/>
  <c r="AJ13"/>
  <c r="AO13" s="1"/>
  <c r="AC13"/>
  <c r="Z13"/>
  <c r="S13"/>
  <c r="P13"/>
  <c r="I13"/>
  <c r="F13"/>
  <c r="L13" s="1"/>
  <c r="AV13" s="1"/>
  <c r="B13"/>
  <c r="B34" s="1"/>
  <c r="AM12"/>
  <c r="AJ12"/>
  <c r="AO12" s="1"/>
  <c r="AC12"/>
  <c r="Z12"/>
  <c r="AF12" s="1"/>
  <c r="AX12" s="1"/>
  <c r="S12"/>
  <c r="P12"/>
  <c r="I12"/>
  <c r="F12"/>
  <c r="L12" s="1"/>
  <c r="B12"/>
  <c r="B33" s="1"/>
  <c r="AM11"/>
  <c r="AJ11"/>
  <c r="AO11" s="1"/>
  <c r="AC11"/>
  <c r="Z11"/>
  <c r="AF11" s="1"/>
  <c r="AX11" s="1"/>
  <c r="S11"/>
  <c r="P11"/>
  <c r="I11"/>
  <c r="F11"/>
  <c r="B11"/>
  <c r="B32" s="1"/>
  <c r="AV7"/>
  <c r="M5"/>
  <c r="W5" s="1"/>
  <c r="AR40" i="22"/>
  <c r="X79"/>
  <c r="X78"/>
  <c r="AR39" s="1"/>
  <c r="BB7" i="34" l="1"/>
  <c r="B1"/>
  <c r="B3" s="1"/>
  <c r="AT46" i="33"/>
  <c r="AR1" s="1"/>
  <c r="AT11"/>
  <c r="BB7"/>
  <c r="B1"/>
  <c r="B3" s="1"/>
  <c r="BE25"/>
  <c r="AT36" i="32"/>
  <c r="AT15" s="1"/>
  <c r="AI37"/>
  <c r="AP37" s="1"/>
  <c r="AT37"/>
  <c r="AT16" s="1"/>
  <c r="BF19"/>
  <c r="BE19"/>
  <c r="AR19"/>
  <c r="BE56"/>
  <c r="AR56"/>
  <c r="BF56"/>
  <c r="BE14"/>
  <c r="AR14"/>
  <c r="BF14"/>
  <c r="BE21"/>
  <c r="AR21"/>
  <c r="AT35"/>
  <c r="AT14" s="1"/>
  <c r="AI35"/>
  <c r="AP35" s="1"/>
  <c r="AT33"/>
  <c r="AT12" s="1"/>
  <c r="AI33"/>
  <c r="AP33" s="1"/>
  <c r="W26"/>
  <c r="BA7"/>
  <c r="BF11"/>
  <c r="BE11"/>
  <c r="AR11"/>
  <c r="AR22"/>
  <c r="BE22"/>
  <c r="BF15"/>
  <c r="BE15"/>
  <c r="AR15"/>
  <c r="BF17"/>
  <c r="BE17"/>
  <c r="AR17"/>
  <c r="AT21"/>
  <c r="U76"/>
  <c r="W76" s="1"/>
  <c r="U79"/>
  <c r="W79" s="1"/>
  <c r="AP44"/>
  <c r="AT11"/>
  <c r="AN36"/>
  <c r="U75"/>
  <c r="W75" s="1"/>
  <c r="AT22"/>
  <c r="AI43"/>
  <c r="AP43" s="1"/>
  <c r="AN34"/>
  <c r="U73"/>
  <c r="W73" s="1"/>
  <c r="BE18"/>
  <c r="AR18"/>
  <c r="BF18"/>
  <c r="BF13"/>
  <c r="BE13"/>
  <c r="AR13"/>
  <c r="BE16"/>
  <c r="AR16"/>
  <c r="BF16"/>
  <c r="BE20"/>
  <c r="AR20"/>
  <c r="BF20"/>
  <c r="BE12"/>
  <c r="AR12"/>
  <c r="BF12"/>
  <c r="AI39"/>
  <c r="AP39" s="1"/>
  <c r="AT39"/>
  <c r="AT18" s="1"/>
  <c r="AP34"/>
  <c r="AP36"/>
  <c r="AP42"/>
  <c r="U72"/>
  <c r="W72" s="1"/>
  <c r="U82"/>
  <c r="W82" s="1"/>
  <c r="AR46"/>
  <c r="U74"/>
  <c r="W74" s="1"/>
  <c r="AT42" i="31"/>
  <c r="AT21" s="1"/>
  <c r="AP42"/>
  <c r="AK45"/>
  <c r="AP45" s="1"/>
  <c r="U83"/>
  <c r="W83" s="1"/>
  <c r="AR46"/>
  <c r="AI39"/>
  <c r="AP39" s="1"/>
  <c r="AT39"/>
  <c r="AT18" s="1"/>
  <c r="AK41"/>
  <c r="AP41" s="1"/>
  <c r="U80"/>
  <c r="W80" s="1"/>
  <c r="AT41"/>
  <c r="AT20" s="1"/>
  <c r="AK43"/>
  <c r="AP43" s="1"/>
  <c r="AT43"/>
  <c r="AT22" s="1"/>
  <c r="AT33"/>
  <c r="AT12" s="1"/>
  <c r="AI33"/>
  <c r="AP33" s="1"/>
  <c r="U75"/>
  <c r="W75" s="1"/>
  <c r="AO36"/>
  <c r="BE22"/>
  <c r="AR22"/>
  <c r="BE16"/>
  <c r="AR16"/>
  <c r="BF16"/>
  <c r="BF15"/>
  <c r="BE15"/>
  <c r="AR15"/>
  <c r="BE18"/>
  <c r="AR18"/>
  <c r="BF18"/>
  <c r="BE14"/>
  <c r="AR14"/>
  <c r="BF14"/>
  <c r="BF17"/>
  <c r="BE17"/>
  <c r="AR17"/>
  <c r="AT34"/>
  <c r="AT13" s="1"/>
  <c r="AT36"/>
  <c r="AT15" s="1"/>
  <c r="AP44"/>
  <c r="U79"/>
  <c r="W79" s="1"/>
  <c r="B194"/>
  <c r="B196" s="1"/>
  <c r="AT35"/>
  <c r="AT14" s="1"/>
  <c r="AI35"/>
  <c r="AP35" s="1"/>
  <c r="AR21"/>
  <c r="BE21"/>
  <c r="U71"/>
  <c r="W71" s="1"/>
  <c r="AO32"/>
  <c r="AP32" s="1"/>
  <c r="AT32"/>
  <c r="AT37"/>
  <c r="AT16" s="1"/>
  <c r="AI37"/>
  <c r="AP37" s="1"/>
  <c r="BE20"/>
  <c r="AR20"/>
  <c r="BE12"/>
  <c r="AR12"/>
  <c r="BF12"/>
  <c r="BF13"/>
  <c r="BE13"/>
  <c r="AR13"/>
  <c r="C26"/>
  <c r="AY7"/>
  <c r="BF19"/>
  <c r="BE19"/>
  <c r="AR19"/>
  <c r="BE56"/>
  <c r="AR56"/>
  <c r="BF56"/>
  <c r="AP34"/>
  <c r="AP36"/>
  <c r="U72"/>
  <c r="W72" s="1"/>
  <c r="U73"/>
  <c r="W73" s="1"/>
  <c r="U74"/>
  <c r="W74" s="1"/>
  <c r="U76"/>
  <c r="W76" s="1"/>
  <c r="U82"/>
  <c r="W82" s="1"/>
  <c r="C58" i="30"/>
  <c r="M58" s="1"/>
  <c r="W58" s="1"/>
  <c r="M26"/>
  <c r="AZ7"/>
  <c r="AK40"/>
  <c r="AP40" s="1"/>
  <c r="AT40"/>
  <c r="AT19" s="1"/>
  <c r="U78"/>
  <c r="W78" s="1"/>
  <c r="U71"/>
  <c r="W71" s="1"/>
  <c r="AO32"/>
  <c r="AK38"/>
  <c r="AP38" s="1"/>
  <c r="U77"/>
  <c r="W77" s="1"/>
  <c r="AT38"/>
  <c r="AT17" s="1"/>
  <c r="U72"/>
  <c r="W72" s="1"/>
  <c r="AO33"/>
  <c r="U76"/>
  <c r="W76" s="1"/>
  <c r="AO37"/>
  <c r="AT34"/>
  <c r="AT13" s="1"/>
  <c r="AI34"/>
  <c r="AP34" s="1"/>
  <c r="BF18"/>
  <c r="BE18"/>
  <c r="AR18"/>
  <c r="BE56"/>
  <c r="AR56"/>
  <c r="BF56"/>
  <c r="BF12"/>
  <c r="BE12"/>
  <c r="AR12"/>
  <c r="BE15"/>
  <c r="AR15"/>
  <c r="BF15"/>
  <c r="BE17"/>
  <c r="AR17"/>
  <c r="BF17"/>
  <c r="BE21"/>
  <c r="AR21"/>
  <c r="BE23"/>
  <c r="AR23"/>
  <c r="BE11"/>
  <c r="AR11"/>
  <c r="BF11"/>
  <c r="AP35"/>
  <c r="AP39"/>
  <c r="AP32"/>
  <c r="AT33"/>
  <c r="AT12" s="1"/>
  <c r="AT37"/>
  <c r="AT16" s="1"/>
  <c r="AJ36"/>
  <c r="AP36" s="1"/>
  <c r="AT36"/>
  <c r="AT15" s="1"/>
  <c r="AT44"/>
  <c r="AT23" s="1"/>
  <c r="AI44"/>
  <c r="AP44" s="1"/>
  <c r="AI42"/>
  <c r="AP42" s="1"/>
  <c r="AT42"/>
  <c r="AT21" s="1"/>
  <c r="BE13"/>
  <c r="AR13"/>
  <c r="BF13"/>
  <c r="BF16"/>
  <c r="BE16"/>
  <c r="AR16"/>
  <c r="BF20"/>
  <c r="BE20"/>
  <c r="AR20"/>
  <c r="BE19"/>
  <c r="AR19"/>
  <c r="BF19"/>
  <c r="BF14"/>
  <c r="BE14"/>
  <c r="AR14"/>
  <c r="AR46"/>
  <c r="AT35"/>
  <c r="AT14" s="1"/>
  <c r="AT39"/>
  <c r="AT18" s="1"/>
  <c r="U81"/>
  <c r="W81" s="1"/>
  <c r="AT32"/>
  <c r="AT60"/>
  <c r="AT56" s="1"/>
  <c r="U74"/>
  <c r="W74" s="1"/>
  <c r="AP33"/>
  <c r="AP37"/>
  <c r="U73"/>
  <c r="W73" s="1"/>
  <c r="U75"/>
  <c r="W75" s="1"/>
  <c r="AR46" i="29"/>
  <c r="AK34"/>
  <c r="AP34" s="1"/>
  <c r="AT34"/>
  <c r="AT13" s="1"/>
  <c r="AI42"/>
  <c r="AP42" s="1"/>
  <c r="AT42"/>
  <c r="AT21" s="1"/>
  <c r="C58"/>
  <c r="M58" s="1"/>
  <c r="W58" s="1"/>
  <c r="M26"/>
  <c r="AZ7"/>
  <c r="BF20"/>
  <c r="BE20"/>
  <c r="AR20"/>
  <c r="BE11"/>
  <c r="AR11"/>
  <c r="BF11"/>
  <c r="BE13"/>
  <c r="AR13"/>
  <c r="BF13"/>
  <c r="BF16"/>
  <c r="BE16"/>
  <c r="AR16"/>
  <c r="AT36"/>
  <c r="AT15" s="1"/>
  <c r="AI36"/>
  <c r="AP36" s="1"/>
  <c r="AM35"/>
  <c r="U76"/>
  <c r="W76" s="1"/>
  <c r="AO37"/>
  <c r="BF18"/>
  <c r="BE18"/>
  <c r="AR18"/>
  <c r="BF14"/>
  <c r="BE14"/>
  <c r="AR14"/>
  <c r="AT39"/>
  <c r="AT18" s="1"/>
  <c r="U73"/>
  <c r="W73" s="1"/>
  <c r="U75"/>
  <c r="W75" s="1"/>
  <c r="U72"/>
  <c r="W72" s="1"/>
  <c r="AO33"/>
  <c r="AP33" s="1"/>
  <c r="BE17"/>
  <c r="AR17"/>
  <c r="BF17"/>
  <c r="AT11"/>
  <c r="U74"/>
  <c r="W74" s="1"/>
  <c r="AO35"/>
  <c r="AT60" s="1"/>
  <c r="AT56" s="1"/>
  <c r="BE56"/>
  <c r="AR56"/>
  <c r="BF56"/>
  <c r="BE21"/>
  <c r="AR21"/>
  <c r="BF12"/>
  <c r="BE12"/>
  <c r="AR12"/>
  <c r="BE15"/>
  <c r="AR15"/>
  <c r="BF15"/>
  <c r="BE19"/>
  <c r="AR19"/>
  <c r="BF19"/>
  <c r="AP37"/>
  <c r="AP39"/>
  <c r="AT33"/>
  <c r="AT12" s="1"/>
  <c r="AT35"/>
  <c r="AT14" s="1"/>
  <c r="AP43"/>
  <c r="AR23" i="28"/>
  <c r="AR24"/>
  <c r="BE24"/>
  <c r="AP35"/>
  <c r="AP36"/>
  <c r="BE15"/>
  <c r="AR46"/>
  <c r="AR14"/>
  <c r="AT34"/>
  <c r="AT13" s="1"/>
  <c r="AR13"/>
  <c r="U75"/>
  <c r="W75" s="1"/>
  <c r="U71"/>
  <c r="W71" s="1"/>
  <c r="AO32"/>
  <c r="AP32" s="1"/>
  <c r="AT33"/>
  <c r="AT12" s="1"/>
  <c r="AI33"/>
  <c r="AP33" s="1"/>
  <c r="AR16"/>
  <c r="BE16"/>
  <c r="AA194"/>
  <c r="O196"/>
  <c r="O198" s="1"/>
  <c r="O195"/>
  <c r="BE18"/>
  <c r="AR18"/>
  <c r="BE20"/>
  <c r="AR20"/>
  <c r="BF20"/>
  <c r="AT39"/>
  <c r="AT18" s="1"/>
  <c r="AI39"/>
  <c r="AP39" s="1"/>
  <c r="AI42"/>
  <c r="AP42" s="1"/>
  <c r="AT42"/>
  <c r="AT21" s="1"/>
  <c r="O188"/>
  <c r="O190" s="1"/>
  <c r="O187"/>
  <c r="AA186"/>
  <c r="W26"/>
  <c r="BA7"/>
  <c r="BE12"/>
  <c r="AR12"/>
  <c r="BE21"/>
  <c r="AR21"/>
  <c r="BF11"/>
  <c r="BF25" s="1"/>
  <c r="BE11"/>
  <c r="AR11"/>
  <c r="AT37"/>
  <c r="AT16" s="1"/>
  <c r="U72"/>
  <c r="W72" s="1"/>
  <c r="U74"/>
  <c r="W74" s="1"/>
  <c r="U76"/>
  <c r="W76" s="1"/>
  <c r="AT35"/>
  <c r="AT14" s="1"/>
  <c r="AP34"/>
  <c r="AT32"/>
  <c r="AT36"/>
  <c r="AT15" s="1"/>
  <c r="AP37"/>
  <c r="U73"/>
  <c r="W73" s="1"/>
  <c r="AP43"/>
  <c r="AT36" i="27"/>
  <c r="AT15" s="1"/>
  <c r="AT37"/>
  <c r="AT16" s="1"/>
  <c r="AI37"/>
  <c r="AP37" s="1"/>
  <c r="U71"/>
  <c r="W71" s="1"/>
  <c r="AO32"/>
  <c r="AP32" s="1"/>
  <c r="AI43"/>
  <c r="AP43" s="1"/>
  <c r="AT43"/>
  <c r="AT22" s="1"/>
  <c r="BF11"/>
  <c r="BE11"/>
  <c r="AR11"/>
  <c r="BF13"/>
  <c r="BE13"/>
  <c r="AR13"/>
  <c r="BE16"/>
  <c r="AR16"/>
  <c r="BF16"/>
  <c r="BE20"/>
  <c r="AR20"/>
  <c r="BF20"/>
  <c r="AT35"/>
  <c r="AT14" s="1"/>
  <c r="AI35"/>
  <c r="AP35" s="1"/>
  <c r="W26"/>
  <c r="BA7"/>
  <c r="BE12"/>
  <c r="AR12"/>
  <c r="BF12"/>
  <c r="BF15"/>
  <c r="BE15"/>
  <c r="AR15"/>
  <c r="BF17"/>
  <c r="BE17"/>
  <c r="AR17"/>
  <c r="BE14"/>
  <c r="AR14"/>
  <c r="BE22"/>
  <c r="AR22"/>
  <c r="BF19"/>
  <c r="BE19"/>
  <c r="AR19"/>
  <c r="BF56"/>
  <c r="BE56"/>
  <c r="AR56"/>
  <c r="AT32"/>
  <c r="AT34"/>
  <c r="AT13" s="1"/>
  <c r="AR46"/>
  <c r="U75"/>
  <c r="W75" s="1"/>
  <c r="AO36"/>
  <c r="AP36" s="1"/>
  <c r="AT33"/>
  <c r="AT12" s="1"/>
  <c r="AI33"/>
  <c r="AP33" s="1"/>
  <c r="AT39"/>
  <c r="AT18" s="1"/>
  <c r="AI39"/>
  <c r="AP39" s="1"/>
  <c r="U73"/>
  <c r="W73" s="1"/>
  <c r="AO34"/>
  <c r="BE18"/>
  <c r="AR18"/>
  <c r="BF18"/>
  <c r="AP34"/>
  <c r="U72"/>
  <c r="W72" s="1"/>
  <c r="U74"/>
  <c r="W74" s="1"/>
  <c r="U76"/>
  <c r="W76" s="1"/>
  <c r="U76" i="26"/>
  <c r="W76" s="1"/>
  <c r="U74"/>
  <c r="W74" s="1"/>
  <c r="AO35"/>
  <c r="C58"/>
  <c r="M58" s="1"/>
  <c r="W58" s="1"/>
  <c r="M26"/>
  <c r="AZ7"/>
  <c r="BE12"/>
  <c r="AR12"/>
  <c r="AT32"/>
  <c r="AI32"/>
  <c r="AP32" s="1"/>
  <c r="BF56"/>
  <c r="BE56"/>
  <c r="AR56"/>
  <c r="BE15"/>
  <c r="AR15"/>
  <c r="BF15"/>
  <c r="BE17"/>
  <c r="AR17"/>
  <c r="BF17"/>
  <c r="BF18"/>
  <c r="BE18"/>
  <c r="AR18"/>
  <c r="BE13"/>
  <c r="AR13"/>
  <c r="BF13"/>
  <c r="BF16"/>
  <c r="BE16"/>
  <c r="AR16"/>
  <c r="BF20"/>
  <c r="BE20"/>
  <c r="AR20"/>
  <c r="U73"/>
  <c r="W73" s="1"/>
  <c r="U75"/>
  <c r="W75" s="1"/>
  <c r="AR46"/>
  <c r="U79"/>
  <c r="W79" s="1"/>
  <c r="AT44"/>
  <c r="AT23" s="1"/>
  <c r="AT33"/>
  <c r="AT12" s="1"/>
  <c r="AT43"/>
  <c r="AT22" s="1"/>
  <c r="AT60"/>
  <c r="AT56" s="1"/>
  <c r="AM35"/>
  <c r="AP35" s="1"/>
  <c r="BE14"/>
  <c r="AR14"/>
  <c r="BE22"/>
  <c r="AR22"/>
  <c r="AT34"/>
  <c r="AT13" s="1"/>
  <c r="AI34"/>
  <c r="AP34" s="1"/>
  <c r="AT36"/>
  <c r="AT15" s="1"/>
  <c r="AI36"/>
  <c r="AP36" s="1"/>
  <c r="U72"/>
  <c r="W72" s="1"/>
  <c r="AO33"/>
  <c r="BE11"/>
  <c r="AR11"/>
  <c r="BF11"/>
  <c r="BF25" s="1"/>
  <c r="BE23"/>
  <c r="AR23"/>
  <c r="BE19"/>
  <c r="AR19"/>
  <c r="BF19"/>
  <c r="AT35"/>
  <c r="AT14" s="1"/>
  <c r="AZ27"/>
  <c r="BD29" s="1"/>
  <c r="U82"/>
  <c r="W82" s="1"/>
  <c r="U84"/>
  <c r="W84" s="1"/>
  <c r="AP44"/>
  <c r="AP33"/>
  <c r="AP43"/>
  <c r="U71"/>
  <c r="W71" s="1"/>
  <c r="C217" i="25"/>
  <c r="E217" s="1"/>
  <c r="K60"/>
  <c r="AM60" s="1"/>
  <c r="AE60"/>
  <c r="AO60" s="1"/>
  <c r="C68"/>
  <c r="I69"/>
  <c r="Q219" s="1"/>
  <c r="N74"/>
  <c r="BD14"/>
  <c r="BD12"/>
  <c r="BD19"/>
  <c r="U24"/>
  <c r="AJ45" s="1"/>
  <c r="L32"/>
  <c r="AZ11" s="1"/>
  <c r="V32"/>
  <c r="BA11" s="1"/>
  <c r="AF32"/>
  <c r="BB11" s="1"/>
  <c r="V33"/>
  <c r="BA12" s="1"/>
  <c r="V35"/>
  <c r="BA14" s="1"/>
  <c r="K40"/>
  <c r="AM40" s="1"/>
  <c r="AE40"/>
  <c r="K41"/>
  <c r="AM41" s="1"/>
  <c r="AE41"/>
  <c r="U45"/>
  <c r="AN45" s="1"/>
  <c r="K56"/>
  <c r="AI60" s="1"/>
  <c r="AO56"/>
  <c r="AY56" s="1"/>
  <c r="I76"/>
  <c r="O98"/>
  <c r="O99" s="1"/>
  <c r="AA99" s="1"/>
  <c r="I217"/>
  <c r="N217" s="1"/>
  <c r="AD271"/>
  <c r="AD273" s="1"/>
  <c r="N75"/>
  <c r="BD15"/>
  <c r="I77"/>
  <c r="K77"/>
  <c r="AO11"/>
  <c r="L12"/>
  <c r="K12" s="1"/>
  <c r="V12"/>
  <c r="AW12" s="1"/>
  <c r="AO12"/>
  <c r="AL33" s="1"/>
  <c r="AF13"/>
  <c r="AX13" s="1"/>
  <c r="AO13"/>
  <c r="AL34" s="1"/>
  <c r="L14"/>
  <c r="AF14"/>
  <c r="AX14" s="1"/>
  <c r="AO14"/>
  <c r="AO15"/>
  <c r="AY15" s="1"/>
  <c r="BF15" s="1"/>
  <c r="L16"/>
  <c r="V16"/>
  <c r="AW16" s="1"/>
  <c r="AF16"/>
  <c r="AX16" s="1"/>
  <c r="AO16"/>
  <c r="AY16" s="1"/>
  <c r="L18"/>
  <c r="AV18" s="1"/>
  <c r="V18"/>
  <c r="AW18" s="1"/>
  <c r="AF18"/>
  <c r="AX18" s="1"/>
  <c r="AO18"/>
  <c r="AY18" s="1"/>
  <c r="BF18" s="1"/>
  <c r="K20"/>
  <c r="AO20"/>
  <c r="AL41" s="1"/>
  <c r="AO21"/>
  <c r="AL42" s="1"/>
  <c r="K24"/>
  <c r="AI45" s="1"/>
  <c r="AO24"/>
  <c r="L39"/>
  <c r="AZ18" s="1"/>
  <c r="V39"/>
  <c r="BA18" s="1"/>
  <c r="AF39"/>
  <c r="BB18" s="1"/>
  <c r="U41"/>
  <c r="AN41" s="1"/>
  <c r="L43"/>
  <c r="AZ22" s="1"/>
  <c r="AF43"/>
  <c r="BB22" s="1"/>
  <c r="L44"/>
  <c r="AZ23" s="1"/>
  <c r="V44"/>
  <c r="BA23" s="1"/>
  <c r="AF44"/>
  <c r="BB23" s="1"/>
  <c r="K45"/>
  <c r="AM45" s="1"/>
  <c r="AE45"/>
  <c r="AO45" s="1"/>
  <c r="U56"/>
  <c r="AJ60" s="1"/>
  <c r="U60"/>
  <c r="AN60" s="1"/>
  <c r="I73"/>
  <c r="K74"/>
  <c r="B116"/>
  <c r="B117" s="1"/>
  <c r="B119" s="1"/>
  <c r="O135"/>
  <c r="O136" s="1"/>
  <c r="AA136" s="1"/>
  <c r="O166"/>
  <c r="AA166" s="1"/>
  <c r="C203"/>
  <c r="K206"/>
  <c r="K208"/>
  <c r="I213"/>
  <c r="N213" s="1"/>
  <c r="E216"/>
  <c r="I220"/>
  <c r="N220" s="1"/>
  <c r="I209"/>
  <c r="N209" s="1"/>
  <c r="K215"/>
  <c r="Z215" s="1"/>
  <c r="AF42"/>
  <c r="BB21" s="1"/>
  <c r="AF37"/>
  <c r="BB16" s="1"/>
  <c r="AF35"/>
  <c r="BB14" s="1"/>
  <c r="V42"/>
  <c r="BA21" s="1"/>
  <c r="L42"/>
  <c r="AZ21" s="1"/>
  <c r="N81"/>
  <c r="BD21"/>
  <c r="K81"/>
  <c r="V43"/>
  <c r="BA22" s="1"/>
  <c r="V37"/>
  <c r="BA16" s="1"/>
  <c r="L35"/>
  <c r="AZ14" s="1"/>
  <c r="V14"/>
  <c r="AW14" s="1"/>
  <c r="U35"/>
  <c r="AN35" s="1"/>
  <c r="U38"/>
  <c r="AN38" s="1"/>
  <c r="AE21"/>
  <c r="AK42" s="1"/>
  <c r="AE13"/>
  <c r="AK34" s="1"/>
  <c r="U19"/>
  <c r="AJ40" s="1"/>
  <c r="K21"/>
  <c r="AL32"/>
  <c r="AY11"/>
  <c r="AV12"/>
  <c r="AY13"/>
  <c r="AV14"/>
  <c r="AL35"/>
  <c r="AY14"/>
  <c r="AL43"/>
  <c r="AY22"/>
  <c r="AX7"/>
  <c r="AG5"/>
  <c r="AL36"/>
  <c r="AL39"/>
  <c r="AI41"/>
  <c r="AY20"/>
  <c r="AL45"/>
  <c r="AY24"/>
  <c r="BF14"/>
  <c r="AI42"/>
  <c r="B135"/>
  <c r="B132"/>
  <c r="B134" s="1"/>
  <c r="AA174"/>
  <c r="O175"/>
  <c r="O176"/>
  <c r="O178" s="1"/>
  <c r="B252"/>
  <c r="B249"/>
  <c r="B251" s="1"/>
  <c r="AA253"/>
  <c r="O254"/>
  <c r="O255"/>
  <c r="O257" s="1"/>
  <c r="AW7"/>
  <c r="L11"/>
  <c r="K11" s="1"/>
  <c r="V11"/>
  <c r="AW11" s="1"/>
  <c r="AF11"/>
  <c r="AX11" s="1"/>
  <c r="U12"/>
  <c r="AJ33" s="1"/>
  <c r="AE12"/>
  <c r="AK33" s="1"/>
  <c r="L13"/>
  <c r="K13" s="1"/>
  <c r="V13"/>
  <c r="AW13" s="1"/>
  <c r="K14"/>
  <c r="L15"/>
  <c r="V15"/>
  <c r="AW15" s="1"/>
  <c r="AF15"/>
  <c r="AX15" s="1"/>
  <c r="K16"/>
  <c r="AE16"/>
  <c r="AK37" s="1"/>
  <c r="AP21"/>
  <c r="BE21" s="1"/>
  <c r="K22"/>
  <c r="AE22"/>
  <c r="AK43" s="1"/>
  <c r="AP24"/>
  <c r="AW26"/>
  <c r="K32"/>
  <c r="AM32" s="1"/>
  <c r="AE32"/>
  <c r="AO41"/>
  <c r="B98"/>
  <c r="B95"/>
  <c r="B97" s="1"/>
  <c r="I204"/>
  <c r="N204" s="1"/>
  <c r="C204"/>
  <c r="AV16"/>
  <c r="K17"/>
  <c r="AE17"/>
  <c r="AK38" s="1"/>
  <c r="AO17"/>
  <c r="K18"/>
  <c r="AE18"/>
  <c r="AK39" s="1"/>
  <c r="K19"/>
  <c r="AE19"/>
  <c r="AK40" s="1"/>
  <c r="AO19"/>
  <c r="AP19" s="1"/>
  <c r="AR19" s="1"/>
  <c r="AE20"/>
  <c r="AK41" s="1"/>
  <c r="U21"/>
  <c r="AJ42" s="1"/>
  <c r="AY21"/>
  <c r="U22"/>
  <c r="AJ43" s="1"/>
  <c r="AV22"/>
  <c r="BF22"/>
  <c r="K23"/>
  <c r="V23"/>
  <c r="AW23" s="1"/>
  <c r="AE23"/>
  <c r="AK44" s="1"/>
  <c r="AO23"/>
  <c r="AE24"/>
  <c r="AK45" s="1"/>
  <c r="BF24"/>
  <c r="L33"/>
  <c r="AZ12" s="1"/>
  <c r="AF33"/>
  <c r="BB12" s="1"/>
  <c r="O93"/>
  <c r="O95" s="1"/>
  <c r="O92"/>
  <c r="O130"/>
  <c r="O132" s="1"/>
  <c r="O129"/>
  <c r="B173"/>
  <c r="B170"/>
  <c r="B172" s="1"/>
  <c r="L34"/>
  <c r="AZ13" s="1"/>
  <c r="V34"/>
  <c r="BA13" s="1"/>
  <c r="AF34"/>
  <c r="BB13" s="1"/>
  <c r="AE35"/>
  <c r="L36"/>
  <c r="AZ15" s="1"/>
  <c r="V36"/>
  <c r="BA15" s="1"/>
  <c r="AF36"/>
  <c r="BB15" s="1"/>
  <c r="K37"/>
  <c r="AM37" s="1"/>
  <c r="U37"/>
  <c r="AN37" s="1"/>
  <c r="AE37"/>
  <c r="K38"/>
  <c r="AM38" s="1"/>
  <c r="AE38"/>
  <c r="U39"/>
  <c r="AN39" s="1"/>
  <c r="U40"/>
  <c r="AN40" s="1"/>
  <c r="AE43"/>
  <c r="AO43" s="1"/>
  <c r="U44"/>
  <c r="AN44" s="1"/>
  <c r="AE56"/>
  <c r="AK60" s="1"/>
  <c r="N69"/>
  <c r="I71"/>
  <c r="K72"/>
  <c r="Q74"/>
  <c r="AR35" s="1"/>
  <c r="K75"/>
  <c r="Q77"/>
  <c r="AR38" s="1"/>
  <c r="K78"/>
  <c r="Q79"/>
  <c r="AR40" s="1"/>
  <c r="I80"/>
  <c r="C82"/>
  <c r="E82" s="1"/>
  <c r="K82"/>
  <c r="C83"/>
  <c r="E83" s="1"/>
  <c r="K83"/>
  <c r="Q84"/>
  <c r="AR45" s="1"/>
  <c r="I85"/>
  <c r="Q85" s="1"/>
  <c r="AR60" s="1"/>
  <c r="AA91"/>
  <c r="O100"/>
  <c r="AI110"/>
  <c r="AL109" s="1"/>
  <c r="AL108" s="1"/>
  <c r="AO108" s="1"/>
  <c r="AO109" s="1"/>
  <c r="AA128"/>
  <c r="O146"/>
  <c r="B153"/>
  <c r="B154" s="1"/>
  <c r="B156" s="1"/>
  <c r="AK170"/>
  <c r="O168"/>
  <c r="O170" s="1"/>
  <c r="Q204"/>
  <c r="Q206"/>
  <c r="Q208"/>
  <c r="I210"/>
  <c r="N210" s="1"/>
  <c r="K211"/>
  <c r="I212"/>
  <c r="N212" s="1"/>
  <c r="Q215"/>
  <c r="Q218"/>
  <c r="X236"/>
  <c r="AD236"/>
  <c r="AD238" s="1"/>
  <c r="AO40"/>
  <c r="Q220"/>
  <c r="Q217"/>
  <c r="Q214"/>
  <c r="Q213"/>
  <c r="Q207"/>
  <c r="Q80"/>
  <c r="Q76"/>
  <c r="AR37" s="1"/>
  <c r="Q73"/>
  <c r="AR34" s="1"/>
  <c r="Q71"/>
  <c r="AR32" s="1"/>
  <c r="Q69"/>
  <c r="Q68"/>
  <c r="O119"/>
  <c r="O121" s="1"/>
  <c r="O118"/>
  <c r="O156"/>
  <c r="O158" s="1"/>
  <c r="O155"/>
  <c r="O184"/>
  <c r="B183"/>
  <c r="B184" s="1"/>
  <c r="B185" s="1"/>
  <c r="B187" s="1"/>
  <c r="O247"/>
  <c r="O249" s="1"/>
  <c r="O246"/>
  <c r="AE39"/>
  <c r="AO39" s="1"/>
  <c r="AP56"/>
  <c r="Q72"/>
  <c r="AR33" s="1"/>
  <c r="Q75"/>
  <c r="AR36" s="1"/>
  <c r="Q78"/>
  <c r="AR39" s="1"/>
  <c r="Q81"/>
  <c r="AR42" s="1"/>
  <c r="Q82"/>
  <c r="AR43" s="1"/>
  <c r="Q83"/>
  <c r="O109"/>
  <c r="AA117"/>
  <c r="O138"/>
  <c r="O140" s="1"/>
  <c r="O167"/>
  <c r="Q203"/>
  <c r="Q211"/>
  <c r="AA245"/>
  <c r="AF44" i="24"/>
  <c r="BB23" s="1"/>
  <c r="AF37"/>
  <c r="BB16" s="1"/>
  <c r="V37"/>
  <c r="BA16" s="1"/>
  <c r="U36"/>
  <c r="AN36" s="1"/>
  <c r="U34"/>
  <c r="AN34" s="1"/>
  <c r="L44"/>
  <c r="AZ23" s="1"/>
  <c r="L37"/>
  <c r="AZ16" s="1"/>
  <c r="V23"/>
  <c r="AW23" s="1"/>
  <c r="L23"/>
  <c r="AE38"/>
  <c r="AE41"/>
  <c r="AE42"/>
  <c r="AE45"/>
  <c r="U38"/>
  <c r="AN38" s="1"/>
  <c r="U41"/>
  <c r="AN41" s="1"/>
  <c r="U42"/>
  <c r="AN42" s="1"/>
  <c r="U45"/>
  <c r="AN45" s="1"/>
  <c r="K40"/>
  <c r="AM40" s="1"/>
  <c r="AE16"/>
  <c r="AK37" s="1"/>
  <c r="AE20"/>
  <c r="AK41" s="1"/>
  <c r="AE24"/>
  <c r="AK45" s="1"/>
  <c r="AP19"/>
  <c r="U21"/>
  <c r="AJ42" s="1"/>
  <c r="AP21"/>
  <c r="BE21" s="1"/>
  <c r="U24"/>
  <c r="AJ45" s="1"/>
  <c r="U16"/>
  <c r="AJ37" s="1"/>
  <c r="U20"/>
  <c r="AJ41" s="1"/>
  <c r="K16"/>
  <c r="AV19"/>
  <c r="AV21"/>
  <c r="AV23"/>
  <c r="K24"/>
  <c r="W5"/>
  <c r="AG5" s="1"/>
  <c r="C26" s="1"/>
  <c r="AY7"/>
  <c r="AL33"/>
  <c r="AY12"/>
  <c r="AL37"/>
  <c r="AY16"/>
  <c r="AI40"/>
  <c r="AL40"/>
  <c r="AY19"/>
  <c r="AI41"/>
  <c r="AL41"/>
  <c r="AY20"/>
  <c r="AI42"/>
  <c r="AL42"/>
  <c r="AY21"/>
  <c r="BF21" s="1"/>
  <c r="AL43"/>
  <c r="AY22"/>
  <c r="BF22" s="1"/>
  <c r="AL44"/>
  <c r="AY23"/>
  <c r="BF23" s="1"/>
  <c r="AO40"/>
  <c r="AV11"/>
  <c r="AY11"/>
  <c r="AL32"/>
  <c r="AV13"/>
  <c r="AY13"/>
  <c r="AL34"/>
  <c r="AL35"/>
  <c r="AY14"/>
  <c r="AV15"/>
  <c r="AY15"/>
  <c r="AL36"/>
  <c r="AI38"/>
  <c r="AY17"/>
  <c r="AL38"/>
  <c r="AL39"/>
  <c r="AY18"/>
  <c r="AI45"/>
  <c r="AL45"/>
  <c r="AY24"/>
  <c r="AW26"/>
  <c r="AM26"/>
  <c r="AN26" s="1"/>
  <c r="AO26" s="1"/>
  <c r="AO38"/>
  <c r="K71"/>
  <c r="I71"/>
  <c r="I72"/>
  <c r="K72"/>
  <c r="K73"/>
  <c r="I73"/>
  <c r="I74"/>
  <c r="K74"/>
  <c r="I78"/>
  <c r="K78"/>
  <c r="B98"/>
  <c r="B99" s="1"/>
  <c r="B101" s="1"/>
  <c r="B95"/>
  <c r="B97" s="1"/>
  <c r="O119"/>
  <c r="O121" s="1"/>
  <c r="O118"/>
  <c r="AA117"/>
  <c r="B135"/>
  <c r="B132"/>
  <c r="B134" s="1"/>
  <c r="AA146"/>
  <c r="O148"/>
  <c r="O150" s="1"/>
  <c r="O147"/>
  <c r="B173"/>
  <c r="B174" s="1"/>
  <c r="B176" s="1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I215"/>
  <c r="N215" s="1"/>
  <c r="K215"/>
  <c r="Z215" s="1"/>
  <c r="O247"/>
  <c r="O249" s="1"/>
  <c r="O246"/>
  <c r="AA245"/>
  <c r="AX7"/>
  <c r="K11"/>
  <c r="U11"/>
  <c r="AJ32" s="1"/>
  <c r="AE11"/>
  <c r="AK32" s="1"/>
  <c r="L12"/>
  <c r="V12"/>
  <c r="AW12" s="1"/>
  <c r="AF12"/>
  <c r="AX12" s="1"/>
  <c r="K13"/>
  <c r="U13"/>
  <c r="AJ34" s="1"/>
  <c r="AE13"/>
  <c r="AK34" s="1"/>
  <c r="L14"/>
  <c r="K14" s="1"/>
  <c r="V14"/>
  <c r="AW14" s="1"/>
  <c r="AF14"/>
  <c r="AX14" s="1"/>
  <c r="K15"/>
  <c r="U15"/>
  <c r="AJ36" s="1"/>
  <c r="AE15"/>
  <c r="AK36" s="1"/>
  <c r="AP16"/>
  <c r="AE17"/>
  <c r="AK38" s="1"/>
  <c r="L18"/>
  <c r="V18"/>
  <c r="AW18" s="1"/>
  <c r="AF18"/>
  <c r="AX18" s="1"/>
  <c r="AE19"/>
  <c r="AK40" s="1"/>
  <c r="AP20"/>
  <c r="AE21"/>
  <c r="AK42" s="1"/>
  <c r="L22"/>
  <c r="V22"/>
  <c r="AW22" s="1"/>
  <c r="AF22"/>
  <c r="AX22" s="1"/>
  <c r="AK44"/>
  <c r="AP24"/>
  <c r="BE24" s="1"/>
  <c r="BF24"/>
  <c r="L32"/>
  <c r="AZ11" s="1"/>
  <c r="V32"/>
  <c r="BA11" s="1"/>
  <c r="AF32"/>
  <c r="BB11" s="1"/>
  <c r="K33"/>
  <c r="AM33" s="1"/>
  <c r="U33"/>
  <c r="AN33" s="1"/>
  <c r="AE33"/>
  <c r="L34"/>
  <c r="AZ13" s="1"/>
  <c r="AF34"/>
  <c r="BB13" s="1"/>
  <c r="K35"/>
  <c r="AE35"/>
  <c r="L36"/>
  <c r="AZ15" s="1"/>
  <c r="AF36"/>
  <c r="BB15" s="1"/>
  <c r="L38"/>
  <c r="AZ17" s="1"/>
  <c r="AK170"/>
  <c r="AO41"/>
  <c r="AO42"/>
  <c r="AO45"/>
  <c r="I69"/>
  <c r="C69"/>
  <c r="I75"/>
  <c r="K75"/>
  <c r="K76"/>
  <c r="I76"/>
  <c r="I77"/>
  <c r="K77"/>
  <c r="K85"/>
  <c r="I85"/>
  <c r="O93"/>
  <c r="O95" s="1"/>
  <c r="O92"/>
  <c r="AA91"/>
  <c r="B113"/>
  <c r="B115" s="1"/>
  <c r="B116"/>
  <c r="B117" s="1"/>
  <c r="B119" s="1"/>
  <c r="O130"/>
  <c r="O132" s="1"/>
  <c r="O129"/>
  <c r="AA128"/>
  <c r="B150"/>
  <c r="B152" s="1"/>
  <c r="B153"/>
  <c r="O156"/>
  <c r="O158" s="1"/>
  <c r="O155"/>
  <c r="AA154"/>
  <c r="AA174"/>
  <c r="O176"/>
  <c r="O178" s="1"/>
  <c r="O175"/>
  <c r="B192"/>
  <c r="B193" s="1"/>
  <c r="B195" s="1"/>
  <c r="B189"/>
  <c r="B191" s="1"/>
  <c r="K209"/>
  <c r="I209"/>
  <c r="N209" s="1"/>
  <c r="K213"/>
  <c r="I213"/>
  <c r="N213" s="1"/>
  <c r="K220"/>
  <c r="I220"/>
  <c r="N220" s="1"/>
  <c r="B252"/>
  <c r="B253" s="1"/>
  <c r="B255" s="1"/>
  <c r="B249"/>
  <c r="B251" s="1"/>
  <c r="AR24"/>
  <c r="K39"/>
  <c r="AM39" s="1"/>
  <c r="V39"/>
  <c r="BA18" s="1"/>
  <c r="AE39"/>
  <c r="AO39" s="1"/>
  <c r="AD273"/>
  <c r="K41"/>
  <c r="AM41" s="1"/>
  <c r="K42"/>
  <c r="AM42" s="1"/>
  <c r="L43"/>
  <c r="AZ22" s="1"/>
  <c r="V43"/>
  <c r="BA22" s="1"/>
  <c r="AF43"/>
  <c r="BB22" s="1"/>
  <c r="AM44"/>
  <c r="AN44"/>
  <c r="K45"/>
  <c r="AM45" s="1"/>
  <c r="AV56"/>
  <c r="C68"/>
  <c r="I80"/>
  <c r="K81"/>
  <c r="O98"/>
  <c r="O99" s="1"/>
  <c r="O109"/>
  <c r="O135"/>
  <c r="O136" s="1"/>
  <c r="O166"/>
  <c r="O192"/>
  <c r="O193" s="1"/>
  <c r="C203"/>
  <c r="I207"/>
  <c r="N207" s="1"/>
  <c r="K211"/>
  <c r="I216"/>
  <c r="N216" s="1"/>
  <c r="AD236"/>
  <c r="AD238" s="1"/>
  <c r="O252"/>
  <c r="O253" s="1"/>
  <c r="K60" i="23"/>
  <c r="AM60" s="1"/>
  <c r="U44"/>
  <c r="AN44" s="1"/>
  <c r="N83"/>
  <c r="BD23"/>
  <c r="K83"/>
  <c r="U60"/>
  <c r="AN60" s="1"/>
  <c r="K41"/>
  <c r="AM41" s="1"/>
  <c r="K44"/>
  <c r="AM44" s="1"/>
  <c r="V12"/>
  <c r="AW12" s="1"/>
  <c r="AE45"/>
  <c r="AE40"/>
  <c r="AE41"/>
  <c r="AE44"/>
  <c r="U34"/>
  <c r="AN34" s="1"/>
  <c r="U38"/>
  <c r="AN38" s="1"/>
  <c r="U35"/>
  <c r="AN35" s="1"/>
  <c r="U42"/>
  <c r="AN42" s="1"/>
  <c r="U45"/>
  <c r="AN45" s="1"/>
  <c r="K37"/>
  <c r="AM37" s="1"/>
  <c r="K42"/>
  <c r="AM42" s="1"/>
  <c r="K45"/>
  <c r="AM45" s="1"/>
  <c r="AE17"/>
  <c r="AK38" s="1"/>
  <c r="AE19"/>
  <c r="AK40" s="1"/>
  <c r="AE23"/>
  <c r="AK44" s="1"/>
  <c r="AE11"/>
  <c r="AK32" s="1"/>
  <c r="AE21"/>
  <c r="AK42" s="1"/>
  <c r="U16"/>
  <c r="AJ37" s="1"/>
  <c r="U20"/>
  <c r="AJ41" s="1"/>
  <c r="AP16"/>
  <c r="U17"/>
  <c r="AJ38" s="1"/>
  <c r="U19"/>
  <c r="AJ40" s="1"/>
  <c r="U23"/>
  <c r="AJ44" s="1"/>
  <c r="AP24"/>
  <c r="K17"/>
  <c r="AV16"/>
  <c r="AV20"/>
  <c r="AV24"/>
  <c r="K13"/>
  <c r="K23"/>
  <c r="AL32"/>
  <c r="AY11"/>
  <c r="AI37"/>
  <c r="AL37"/>
  <c r="AY16"/>
  <c r="AT38"/>
  <c r="AT17" s="1"/>
  <c r="AI38"/>
  <c r="AL38"/>
  <c r="AY17"/>
  <c r="AV18"/>
  <c r="AL39"/>
  <c r="AY18"/>
  <c r="AT40"/>
  <c r="AT19" s="1"/>
  <c r="AI40"/>
  <c r="AL40"/>
  <c r="AY19"/>
  <c r="AI41"/>
  <c r="AL41"/>
  <c r="AY20"/>
  <c r="AI42"/>
  <c r="AT42"/>
  <c r="AT21" s="1"/>
  <c r="AL42"/>
  <c r="AY21"/>
  <c r="AP22"/>
  <c r="AV22"/>
  <c r="AL43"/>
  <c r="AY22"/>
  <c r="AI45"/>
  <c r="BE24"/>
  <c r="AR24"/>
  <c r="AL45"/>
  <c r="AY24"/>
  <c r="AM26"/>
  <c r="AN26" s="1"/>
  <c r="AO26" s="1"/>
  <c r="AW26"/>
  <c r="BF24"/>
  <c r="AX7"/>
  <c r="AG5"/>
  <c r="AV12"/>
  <c r="AY12"/>
  <c r="AL33"/>
  <c r="AI34"/>
  <c r="AL34"/>
  <c r="AY13"/>
  <c r="AV14"/>
  <c r="AY14"/>
  <c r="AL35"/>
  <c r="AL36"/>
  <c r="AY15"/>
  <c r="AT44"/>
  <c r="AT23" s="1"/>
  <c r="AI44"/>
  <c r="AL44"/>
  <c r="AY23"/>
  <c r="BF23" s="1"/>
  <c r="AO37"/>
  <c r="U77"/>
  <c r="W77" s="1"/>
  <c r="AO38"/>
  <c r="AO42"/>
  <c r="U81"/>
  <c r="W81" s="1"/>
  <c r="AO45"/>
  <c r="I71"/>
  <c r="K71"/>
  <c r="K78"/>
  <c r="I78"/>
  <c r="O93"/>
  <c r="O95" s="1"/>
  <c r="O92"/>
  <c r="AA91"/>
  <c r="B113"/>
  <c r="B115" s="1"/>
  <c r="B116"/>
  <c r="O130"/>
  <c r="O132" s="1"/>
  <c r="O129"/>
  <c r="AA128"/>
  <c r="B150"/>
  <c r="B152" s="1"/>
  <c r="B153"/>
  <c r="B154" s="1"/>
  <c r="B156" s="1"/>
  <c r="O156"/>
  <c r="O158" s="1"/>
  <c r="O155"/>
  <c r="AA154"/>
  <c r="AA174"/>
  <c r="O176"/>
  <c r="O178" s="1"/>
  <c r="O175"/>
  <c r="B192"/>
  <c r="B189"/>
  <c r="B191" s="1"/>
  <c r="K209"/>
  <c r="I209"/>
  <c r="N209" s="1"/>
  <c r="K213"/>
  <c r="I213"/>
  <c r="N213" s="1"/>
  <c r="B252"/>
  <c r="B249"/>
  <c r="B251" s="1"/>
  <c r="AW7"/>
  <c r="L11"/>
  <c r="K11" s="1"/>
  <c r="V11"/>
  <c r="AW11" s="1"/>
  <c r="K12"/>
  <c r="U12"/>
  <c r="AJ33" s="1"/>
  <c r="V13"/>
  <c r="AW13" s="1"/>
  <c r="AF13"/>
  <c r="AX13" s="1"/>
  <c r="K14"/>
  <c r="U14"/>
  <c r="AJ35" s="1"/>
  <c r="AE14"/>
  <c r="AK35" s="1"/>
  <c r="L15"/>
  <c r="V15"/>
  <c r="AW15" s="1"/>
  <c r="AF15"/>
  <c r="AX15" s="1"/>
  <c r="AE16"/>
  <c r="AK37" s="1"/>
  <c r="AP17"/>
  <c r="K18"/>
  <c r="U18"/>
  <c r="AJ39" s="1"/>
  <c r="AE18"/>
  <c r="AK39" s="1"/>
  <c r="AP19"/>
  <c r="AE20"/>
  <c r="AK41" s="1"/>
  <c r="AP21"/>
  <c r="K22"/>
  <c r="U22"/>
  <c r="AJ43" s="1"/>
  <c r="AE22"/>
  <c r="AK43" s="1"/>
  <c r="AP23"/>
  <c r="BE23" s="1"/>
  <c r="AE24"/>
  <c r="AK45" s="1"/>
  <c r="K32"/>
  <c r="AM32" s="1"/>
  <c r="U32"/>
  <c r="AN32" s="1"/>
  <c r="AE32"/>
  <c r="L33"/>
  <c r="AZ12" s="1"/>
  <c r="BA12"/>
  <c r="AF33"/>
  <c r="BB12" s="1"/>
  <c r="K34"/>
  <c r="AM34" s="1"/>
  <c r="AE34"/>
  <c r="L35"/>
  <c r="AZ14" s="1"/>
  <c r="AF35"/>
  <c r="BB14" s="1"/>
  <c r="K36"/>
  <c r="AM36" s="1"/>
  <c r="U36"/>
  <c r="AN36" s="1"/>
  <c r="AE36"/>
  <c r="U78"/>
  <c r="W78" s="1"/>
  <c r="AO40"/>
  <c r="U80"/>
  <c r="W80" s="1"/>
  <c r="AO41"/>
  <c r="U84"/>
  <c r="W84" s="1"/>
  <c r="AO44"/>
  <c r="U82"/>
  <c r="W82" s="1"/>
  <c r="U79"/>
  <c r="W79" s="1"/>
  <c r="I69"/>
  <c r="C69"/>
  <c r="I73"/>
  <c r="K73"/>
  <c r="K75"/>
  <c r="I75"/>
  <c r="I76"/>
  <c r="K76"/>
  <c r="K77"/>
  <c r="I77"/>
  <c r="I80"/>
  <c r="K80"/>
  <c r="Z80" s="1"/>
  <c r="B98"/>
  <c r="B95"/>
  <c r="B97" s="1"/>
  <c r="O119"/>
  <c r="O121" s="1"/>
  <c r="O118"/>
  <c r="AA117"/>
  <c r="B135"/>
  <c r="B136" s="1"/>
  <c r="B138" s="1"/>
  <c r="B132"/>
  <c r="B134" s="1"/>
  <c r="AA146"/>
  <c r="O148"/>
  <c r="O150" s="1"/>
  <c r="O147"/>
  <c r="B173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I215"/>
  <c r="N215" s="1"/>
  <c r="K215"/>
  <c r="Z215" s="1"/>
  <c r="O247"/>
  <c r="O249" s="1"/>
  <c r="O246"/>
  <c r="AA245"/>
  <c r="AE12"/>
  <c r="AK33" s="1"/>
  <c r="AR23"/>
  <c r="U37"/>
  <c r="AN37" s="1"/>
  <c r="AK170"/>
  <c r="X271"/>
  <c r="AD273" s="1"/>
  <c r="L39"/>
  <c r="AZ18" s="1"/>
  <c r="BA18"/>
  <c r="AF39"/>
  <c r="BB18" s="1"/>
  <c r="K43"/>
  <c r="AM43" s="1"/>
  <c r="U43"/>
  <c r="AN43" s="1"/>
  <c r="AE43"/>
  <c r="AO43" s="1"/>
  <c r="AP56"/>
  <c r="I72"/>
  <c r="I74"/>
  <c r="E81"/>
  <c r="I82"/>
  <c r="I85"/>
  <c r="O98"/>
  <c r="O99" s="1"/>
  <c r="O109"/>
  <c r="O135"/>
  <c r="O136" s="1"/>
  <c r="O166"/>
  <c r="O192"/>
  <c r="O193" s="1"/>
  <c r="C203"/>
  <c r="I207"/>
  <c r="N207" s="1"/>
  <c r="K211"/>
  <c r="I216"/>
  <c r="N216" s="1"/>
  <c r="I217"/>
  <c r="N217" s="1"/>
  <c r="I220"/>
  <c r="N220" s="1"/>
  <c r="O252"/>
  <c r="O253" s="1"/>
  <c r="AD270" i="22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X265"/>
  <c r="U265"/>
  <c r="R265"/>
  <c r="AD264"/>
  <c r="AD271" s="1"/>
  <c r="X264"/>
  <c r="X271" s="1"/>
  <c r="U264"/>
  <c r="R264"/>
  <c r="O252"/>
  <c r="O253" s="1"/>
  <c r="O244"/>
  <c r="O245" s="1"/>
  <c r="B244"/>
  <c r="B245" s="1"/>
  <c r="B247" s="1"/>
  <c r="B243"/>
  <c r="M238"/>
  <c r="X234"/>
  <c r="U234"/>
  <c r="R234"/>
  <c r="U233"/>
  <c r="X233" s="1"/>
  <c r="R233"/>
  <c r="X232"/>
  <c r="U232"/>
  <c r="R232"/>
  <c r="U231"/>
  <c r="X231" s="1"/>
  <c r="R231"/>
  <c r="X230"/>
  <c r="U230"/>
  <c r="R230"/>
  <c r="U229"/>
  <c r="X229" s="1"/>
  <c r="R229"/>
  <c r="AI228"/>
  <c r="AD228"/>
  <c r="X228"/>
  <c r="U228"/>
  <c r="R228"/>
  <c r="AD227"/>
  <c r="AI227" s="1"/>
  <c r="U227"/>
  <c r="X227" s="1"/>
  <c r="X236" s="1"/>
  <c r="R227"/>
  <c r="X220"/>
  <c r="U220"/>
  <c r="W220" s="1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I217"/>
  <c r="N217" s="1"/>
  <c r="G217"/>
  <c r="K217" s="1"/>
  <c r="E217"/>
  <c r="C217"/>
  <c r="X216"/>
  <c r="U216"/>
  <c r="W216" s="1"/>
  <c r="E216"/>
  <c r="K216" s="1"/>
  <c r="C216"/>
  <c r="G216" s="1"/>
  <c r="X215"/>
  <c r="W215"/>
  <c r="U215"/>
  <c r="E215"/>
  <c r="I215" s="1"/>
  <c r="N215" s="1"/>
  <c r="C215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AI113"/>
  <c r="AE113"/>
  <c r="AI109"/>
  <c r="AI110" s="1"/>
  <c r="AL109" s="1"/>
  <c r="AL108" s="1"/>
  <c r="AO108" s="1"/>
  <c r="AO109" s="1"/>
  <c r="O108"/>
  <c r="O116" s="1"/>
  <c r="O117" s="1"/>
  <c r="B108"/>
  <c r="B109" s="1"/>
  <c r="B111" s="1"/>
  <c r="B107"/>
  <c r="O90"/>
  <c r="O91" s="1"/>
  <c r="B89"/>
  <c r="B90" s="1"/>
  <c r="B91" s="1"/>
  <c r="B93" s="1"/>
  <c r="X85"/>
  <c r="W85"/>
  <c r="U85"/>
  <c r="E85"/>
  <c r="K85" s="1"/>
  <c r="C85"/>
  <c r="X84"/>
  <c r="G84"/>
  <c r="K84" s="1"/>
  <c r="E84"/>
  <c r="I84" s="1"/>
  <c r="N84" s="1"/>
  <c r="AF83"/>
  <c r="X83"/>
  <c r="K83"/>
  <c r="I83"/>
  <c r="N83" s="1"/>
  <c r="C83"/>
  <c r="E83" s="1"/>
  <c r="X82"/>
  <c r="G82"/>
  <c r="K82" s="1"/>
  <c r="C82"/>
  <c r="E82" s="1"/>
  <c r="X81"/>
  <c r="C81"/>
  <c r="G81" s="1"/>
  <c r="X80"/>
  <c r="C80"/>
  <c r="E80" s="1"/>
  <c r="N79"/>
  <c r="K79"/>
  <c r="C78"/>
  <c r="E78" s="1"/>
  <c r="X77"/>
  <c r="S77"/>
  <c r="C77"/>
  <c r="E77" s="1"/>
  <c r="X76"/>
  <c r="C76"/>
  <c r="E76" s="1"/>
  <c r="X75"/>
  <c r="C75"/>
  <c r="E75" s="1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H64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BB23" s="1"/>
  <c r="AC44"/>
  <c r="Z44"/>
  <c r="V44"/>
  <c r="S44"/>
  <c r="U44" s="1"/>
  <c r="AN44" s="1"/>
  <c r="P44"/>
  <c r="L44"/>
  <c r="I44"/>
  <c r="K44" s="1"/>
  <c r="AM44" s="1"/>
  <c r="F44"/>
  <c r="AC43"/>
  <c r="Z43"/>
  <c r="AF43" s="1"/>
  <c r="BB22" s="1"/>
  <c r="S43"/>
  <c r="P43"/>
  <c r="V43" s="1"/>
  <c r="I43"/>
  <c r="F43"/>
  <c r="L43" s="1"/>
  <c r="AF42"/>
  <c r="AC42"/>
  <c r="Z42"/>
  <c r="V42"/>
  <c r="S42"/>
  <c r="P42"/>
  <c r="L42"/>
  <c r="I42"/>
  <c r="F42"/>
  <c r="AF41"/>
  <c r="BB20" s="1"/>
  <c r="AC41"/>
  <c r="Z41"/>
  <c r="V41"/>
  <c r="S41"/>
  <c r="U41" s="1"/>
  <c r="AN41" s="1"/>
  <c r="P41"/>
  <c r="L41"/>
  <c r="I41"/>
  <c r="K41" s="1"/>
  <c r="AM41" s="1"/>
  <c r="F41"/>
  <c r="AF40"/>
  <c r="AC40"/>
  <c r="Z40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L38"/>
  <c r="I38"/>
  <c r="F38"/>
  <c r="AF37"/>
  <c r="AC37"/>
  <c r="Z37"/>
  <c r="V37"/>
  <c r="S37"/>
  <c r="P37"/>
  <c r="L37"/>
  <c r="I37"/>
  <c r="F37"/>
  <c r="AC36"/>
  <c r="Z36"/>
  <c r="S36"/>
  <c r="P36"/>
  <c r="I36"/>
  <c r="F36"/>
  <c r="AC35"/>
  <c r="Z35"/>
  <c r="S35"/>
  <c r="P35"/>
  <c r="I35"/>
  <c r="F35"/>
  <c r="AC34"/>
  <c r="AF34" s="1"/>
  <c r="BB13" s="1"/>
  <c r="Z34"/>
  <c r="S34"/>
  <c r="V34" s="1"/>
  <c r="BA13" s="1"/>
  <c r="P34"/>
  <c r="I34"/>
  <c r="F34"/>
  <c r="AC33"/>
  <c r="Z33"/>
  <c r="S33"/>
  <c r="P33"/>
  <c r="I33"/>
  <c r="F33"/>
  <c r="AC32"/>
  <c r="AF32" s="1"/>
  <c r="BB11" s="1"/>
  <c r="Z32"/>
  <c r="S32"/>
  <c r="P32"/>
  <c r="I32"/>
  <c r="F32"/>
  <c r="AI26"/>
  <c r="AJ26" s="1"/>
  <c r="AK26" s="1"/>
  <c r="AL26" s="1"/>
  <c r="BD24"/>
  <c r="BB24"/>
  <c r="BA24"/>
  <c r="AZ24"/>
  <c r="AM24"/>
  <c r="AJ24"/>
  <c r="AC24"/>
  <c r="Z24"/>
  <c r="AF24" s="1"/>
  <c r="AX24" s="1"/>
  <c r="V24"/>
  <c r="AW24" s="1"/>
  <c r="S24"/>
  <c r="P24"/>
  <c r="L24"/>
  <c r="I24"/>
  <c r="F24"/>
  <c r="B24"/>
  <c r="B45" s="1"/>
  <c r="BD23"/>
  <c r="BA23"/>
  <c r="AZ23"/>
  <c r="AM23"/>
  <c r="AJ23"/>
  <c r="AC23"/>
  <c r="Z23"/>
  <c r="V23"/>
  <c r="AW23" s="1"/>
  <c r="S23"/>
  <c r="P23"/>
  <c r="U23" s="1"/>
  <c r="AJ44" s="1"/>
  <c r="L23"/>
  <c r="AV23" s="1"/>
  <c r="I23"/>
  <c r="F23"/>
  <c r="K23" s="1"/>
  <c r="B23"/>
  <c r="B44" s="1"/>
  <c r="BA22"/>
  <c r="AZ22"/>
  <c r="AM22"/>
  <c r="AJ22"/>
  <c r="AC22"/>
  <c r="Z22"/>
  <c r="S22"/>
  <c r="P22"/>
  <c r="I22"/>
  <c r="F22"/>
  <c r="B22"/>
  <c r="B43" s="1"/>
  <c r="BB21"/>
  <c r="BA21"/>
  <c r="AZ21"/>
  <c r="AM21"/>
  <c r="AJ21"/>
  <c r="AC21"/>
  <c r="Z21"/>
  <c r="V21"/>
  <c r="AW21" s="1"/>
  <c r="S21"/>
  <c r="P21"/>
  <c r="U21" s="1"/>
  <c r="AJ42" s="1"/>
  <c r="L21"/>
  <c r="AV21" s="1"/>
  <c r="I21"/>
  <c r="F21"/>
  <c r="K21" s="1"/>
  <c r="B21"/>
  <c r="B42" s="1"/>
  <c r="BA20"/>
  <c r="AZ20"/>
  <c r="AM20"/>
  <c r="AJ20"/>
  <c r="AC20"/>
  <c r="Z20"/>
  <c r="AF20" s="1"/>
  <c r="AX20" s="1"/>
  <c r="V20"/>
  <c r="AW20" s="1"/>
  <c r="S20"/>
  <c r="U20" s="1"/>
  <c r="AJ41" s="1"/>
  <c r="P20"/>
  <c r="L20"/>
  <c r="I20"/>
  <c r="F20"/>
  <c r="B20"/>
  <c r="B41" s="1"/>
  <c r="BB19"/>
  <c r="BA19"/>
  <c r="AZ19"/>
  <c r="AM19"/>
  <c r="AJ19"/>
  <c r="AC19"/>
  <c r="Z19"/>
  <c r="V19"/>
  <c r="AW19" s="1"/>
  <c r="S19"/>
  <c r="P19"/>
  <c r="U19" s="1"/>
  <c r="AJ40" s="1"/>
  <c r="L19"/>
  <c r="AV19" s="1"/>
  <c r="I19"/>
  <c r="F19"/>
  <c r="K19" s="1"/>
  <c r="B19"/>
  <c r="B40" s="1"/>
  <c r="AM18"/>
  <c r="AJ18"/>
  <c r="AC18"/>
  <c r="AF18" s="1"/>
  <c r="AX18" s="1"/>
  <c r="Z18"/>
  <c r="S18"/>
  <c r="P18"/>
  <c r="I18"/>
  <c r="F18"/>
  <c r="B18"/>
  <c r="B39" s="1"/>
  <c r="BB17"/>
  <c r="BA17"/>
  <c r="AZ17"/>
  <c r="AM17"/>
  <c r="AJ17"/>
  <c r="AC17"/>
  <c r="Z17"/>
  <c r="V17"/>
  <c r="AW17" s="1"/>
  <c r="S17"/>
  <c r="P17"/>
  <c r="U17" s="1"/>
  <c r="AJ38" s="1"/>
  <c r="L17"/>
  <c r="AV17" s="1"/>
  <c r="I17"/>
  <c r="F17"/>
  <c r="K17" s="1"/>
  <c r="B17"/>
  <c r="B38" s="1"/>
  <c r="BB16"/>
  <c r="BA16"/>
  <c r="AZ16"/>
  <c r="AM16"/>
  <c r="AJ16"/>
  <c r="AC16"/>
  <c r="Z16"/>
  <c r="AF16" s="1"/>
  <c r="AX16" s="1"/>
  <c r="V16"/>
  <c r="AW16" s="1"/>
  <c r="S16"/>
  <c r="U16" s="1"/>
  <c r="AJ37" s="1"/>
  <c r="P16"/>
  <c r="L16"/>
  <c r="I16"/>
  <c r="K16" s="1"/>
  <c r="F16"/>
  <c r="B16"/>
  <c r="B37" s="1"/>
  <c r="AM15"/>
  <c r="AJ15"/>
  <c r="AC15"/>
  <c r="Z15"/>
  <c r="S15"/>
  <c r="P15"/>
  <c r="I15"/>
  <c r="F15"/>
  <c r="B15"/>
  <c r="B36" s="1"/>
  <c r="AM14"/>
  <c r="AJ14"/>
  <c r="AC14"/>
  <c r="AF14" s="1"/>
  <c r="AX14" s="1"/>
  <c r="Z14"/>
  <c r="S14"/>
  <c r="P14"/>
  <c r="I14"/>
  <c r="F14"/>
  <c r="B14"/>
  <c r="B35" s="1"/>
  <c r="AM13"/>
  <c r="AJ13"/>
  <c r="AO13" s="1"/>
  <c r="AC13"/>
  <c r="Z13"/>
  <c r="S13"/>
  <c r="P13"/>
  <c r="I13"/>
  <c r="F13"/>
  <c r="B13"/>
  <c r="B34" s="1"/>
  <c r="AM12"/>
  <c r="AJ12"/>
  <c r="AC12"/>
  <c r="AF12" s="1"/>
  <c r="AX12" s="1"/>
  <c r="Z12"/>
  <c r="S12"/>
  <c r="P12"/>
  <c r="I12"/>
  <c r="F12"/>
  <c r="B12"/>
  <c r="B33" s="1"/>
  <c r="AM11"/>
  <c r="AJ11"/>
  <c r="AO11" s="1"/>
  <c r="AC11"/>
  <c r="Z11"/>
  <c r="S11"/>
  <c r="P11"/>
  <c r="I11"/>
  <c r="F11"/>
  <c r="B11"/>
  <c r="B32" s="1"/>
  <c r="AV7"/>
  <c r="M5"/>
  <c r="AW7" s="1"/>
  <c r="AD270" i="21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U265"/>
  <c r="X265" s="1"/>
  <c r="R265"/>
  <c r="AD264"/>
  <c r="AD271" s="1"/>
  <c r="U264"/>
  <c r="X264" s="1"/>
  <c r="X271" s="1"/>
  <c r="AD273" s="1"/>
  <c r="R264"/>
  <c r="O244"/>
  <c r="O245" s="1"/>
  <c r="B243"/>
  <c r="B244" s="1"/>
  <c r="B245" s="1"/>
  <c r="B247" s="1"/>
  <c r="M238"/>
  <c r="U234"/>
  <c r="X234" s="1"/>
  <c r="R234"/>
  <c r="X233"/>
  <c r="U233"/>
  <c r="R233"/>
  <c r="U232"/>
  <c r="X232" s="1"/>
  <c r="R232"/>
  <c r="X231"/>
  <c r="U231"/>
  <c r="R231"/>
  <c r="U230"/>
  <c r="X230" s="1"/>
  <c r="R230"/>
  <c r="X229"/>
  <c r="U229"/>
  <c r="R229"/>
  <c r="AD228"/>
  <c r="AI228" s="1"/>
  <c r="U228"/>
  <c r="X228" s="1"/>
  <c r="R228"/>
  <c r="AI227"/>
  <c r="AD227"/>
  <c r="AD236" s="1"/>
  <c r="AD238" s="1"/>
  <c r="X227"/>
  <c r="X236" s="1"/>
  <c r="U227"/>
  <c r="R227"/>
  <c r="X220"/>
  <c r="W220"/>
  <c r="U220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W217"/>
  <c r="U217"/>
  <c r="G217"/>
  <c r="K217" s="1"/>
  <c r="C217"/>
  <c r="E217" s="1"/>
  <c r="X216"/>
  <c r="U216"/>
  <c r="W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N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O116"/>
  <c r="O117" s="1"/>
  <c r="AI113"/>
  <c r="AE113"/>
  <c r="AI109"/>
  <c r="AI110" s="1"/>
  <c r="AL109" s="1"/>
  <c r="AL108" s="1"/>
  <c r="AO108" s="1"/>
  <c r="AO109" s="1"/>
  <c r="O108"/>
  <c r="O109" s="1"/>
  <c r="B108"/>
  <c r="B109" s="1"/>
  <c r="B111" s="1"/>
  <c r="B107"/>
  <c r="O90"/>
  <c r="O91" s="1"/>
  <c r="B89"/>
  <c r="B90" s="1"/>
  <c r="B91" s="1"/>
  <c r="B93" s="1"/>
  <c r="X85"/>
  <c r="W85"/>
  <c r="U85"/>
  <c r="E85"/>
  <c r="K85" s="1"/>
  <c r="C85"/>
  <c r="X84"/>
  <c r="G84"/>
  <c r="K84" s="1"/>
  <c r="E84"/>
  <c r="I84" s="1"/>
  <c r="N84" s="1"/>
  <c r="AF83"/>
  <c r="X83"/>
  <c r="K83"/>
  <c r="I83"/>
  <c r="N83" s="1"/>
  <c r="C83"/>
  <c r="E83" s="1"/>
  <c r="X82"/>
  <c r="G82"/>
  <c r="K82" s="1"/>
  <c r="C82"/>
  <c r="E82" s="1"/>
  <c r="X81"/>
  <c r="C81"/>
  <c r="G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H64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V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AC44"/>
  <c r="AE44" s="1"/>
  <c r="Z44"/>
  <c r="V44"/>
  <c r="S44"/>
  <c r="U44" s="1"/>
  <c r="AN44" s="1"/>
  <c r="P44"/>
  <c r="L44"/>
  <c r="I44"/>
  <c r="K44" s="1"/>
  <c r="AM44" s="1"/>
  <c r="F44"/>
  <c r="AC43"/>
  <c r="Z43"/>
  <c r="AF43" s="1"/>
  <c r="S43"/>
  <c r="P43"/>
  <c r="V43" s="1"/>
  <c r="I43"/>
  <c r="F43"/>
  <c r="L43" s="1"/>
  <c r="AF42"/>
  <c r="AC42"/>
  <c r="Z42"/>
  <c r="V42"/>
  <c r="S42"/>
  <c r="P42"/>
  <c r="L42"/>
  <c r="I42"/>
  <c r="F42"/>
  <c r="AF41"/>
  <c r="AC41"/>
  <c r="Z41"/>
  <c r="V41"/>
  <c r="S41"/>
  <c r="U41" s="1"/>
  <c r="AN41" s="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L39" s="1"/>
  <c r="AZ18" s="1"/>
  <c r="AF38"/>
  <c r="AC38"/>
  <c r="Z38"/>
  <c r="V38"/>
  <c r="S38"/>
  <c r="P38"/>
  <c r="U38" s="1"/>
  <c r="AN38" s="1"/>
  <c r="L38"/>
  <c r="I38"/>
  <c r="F38"/>
  <c r="K38" s="1"/>
  <c r="AM38" s="1"/>
  <c r="AF37"/>
  <c r="AC37"/>
  <c r="Z37"/>
  <c r="V37"/>
  <c r="S37"/>
  <c r="U37" s="1"/>
  <c r="AN37" s="1"/>
  <c r="P37"/>
  <c r="L37"/>
  <c r="I37"/>
  <c r="F37"/>
  <c r="AC36"/>
  <c r="Z36"/>
  <c r="S36"/>
  <c r="P36"/>
  <c r="I36"/>
  <c r="F36"/>
  <c r="AC35"/>
  <c r="Z35"/>
  <c r="AF35" s="1"/>
  <c r="BB14" s="1"/>
  <c r="S35"/>
  <c r="P35"/>
  <c r="I35"/>
  <c r="F35"/>
  <c r="L35" s="1"/>
  <c r="AZ14" s="1"/>
  <c r="AC34"/>
  <c r="Z34"/>
  <c r="S34"/>
  <c r="P34"/>
  <c r="I34"/>
  <c r="F34"/>
  <c r="AC33"/>
  <c r="Z33"/>
  <c r="S33"/>
  <c r="P33"/>
  <c r="I33"/>
  <c r="F33"/>
  <c r="AC32"/>
  <c r="Z32"/>
  <c r="S32"/>
  <c r="P32"/>
  <c r="I32"/>
  <c r="F32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L24"/>
  <c r="AV24" s="1"/>
  <c r="I24"/>
  <c r="F24"/>
  <c r="B24"/>
  <c r="B45" s="1"/>
  <c r="BD23"/>
  <c r="BB23"/>
  <c r="BA23"/>
  <c r="AZ23"/>
  <c r="AM23"/>
  <c r="AJ23"/>
  <c r="AO23" s="1"/>
  <c r="AC23"/>
  <c r="Z23"/>
  <c r="AF23" s="1"/>
  <c r="AX23" s="1"/>
  <c r="V23"/>
  <c r="AW23" s="1"/>
  <c r="S23"/>
  <c r="P23"/>
  <c r="U23" s="1"/>
  <c r="AJ44" s="1"/>
  <c r="L23"/>
  <c r="AP23" s="1"/>
  <c r="I23"/>
  <c r="F23"/>
  <c r="K23" s="1"/>
  <c r="B23"/>
  <c r="B44" s="1"/>
  <c r="BB22"/>
  <c r="BA22"/>
  <c r="AZ22"/>
  <c r="AM22"/>
  <c r="AJ22"/>
  <c r="AO22" s="1"/>
  <c r="AC22"/>
  <c r="Z22"/>
  <c r="S22"/>
  <c r="P22"/>
  <c r="I22"/>
  <c r="F22"/>
  <c r="B22"/>
  <c r="B43" s="1"/>
  <c r="BB21"/>
  <c r="BA21"/>
  <c r="AZ21"/>
  <c r="AM21"/>
  <c r="AJ21"/>
  <c r="AO21" s="1"/>
  <c r="AC21"/>
  <c r="Z21"/>
  <c r="AF21" s="1"/>
  <c r="AX21" s="1"/>
  <c r="S21"/>
  <c r="P21"/>
  <c r="V21" s="1"/>
  <c r="AW21" s="1"/>
  <c r="I21"/>
  <c r="F21"/>
  <c r="L21" s="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V20" s="1"/>
  <c r="I20"/>
  <c r="K20" s="1"/>
  <c r="F20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0" s="1"/>
  <c r="L19"/>
  <c r="I19"/>
  <c r="F19"/>
  <c r="K19" s="1"/>
  <c r="B19"/>
  <c r="B40" s="1"/>
  <c r="AM18"/>
  <c r="AJ18"/>
  <c r="AO18" s="1"/>
  <c r="AC18"/>
  <c r="Z18"/>
  <c r="S18"/>
  <c r="P18"/>
  <c r="I18"/>
  <c r="F18"/>
  <c r="B18"/>
  <c r="B39" s="1"/>
  <c r="BB17"/>
  <c r="BA17"/>
  <c r="AZ17"/>
  <c r="AM17"/>
  <c r="AJ17"/>
  <c r="AO17" s="1"/>
  <c r="AC17"/>
  <c r="Z17"/>
  <c r="AF17" s="1"/>
  <c r="AX17" s="1"/>
  <c r="V17"/>
  <c r="AW17" s="1"/>
  <c r="S17"/>
  <c r="P17"/>
  <c r="U17" s="1"/>
  <c r="AJ38" s="1"/>
  <c r="L17"/>
  <c r="I17"/>
  <c r="F17"/>
  <c r="K17" s="1"/>
  <c r="B17"/>
  <c r="B38" s="1"/>
  <c r="BB16"/>
  <c r="BA16"/>
  <c r="AZ16"/>
  <c r="AM16"/>
  <c r="AJ16"/>
  <c r="AO16" s="1"/>
  <c r="AC16"/>
  <c r="Z16"/>
  <c r="AF16" s="1"/>
  <c r="AX16" s="1"/>
  <c r="V16"/>
  <c r="AW16" s="1"/>
  <c r="S16"/>
  <c r="U16" s="1"/>
  <c r="AJ37" s="1"/>
  <c r="P16"/>
  <c r="L16"/>
  <c r="AV16" s="1"/>
  <c r="I16"/>
  <c r="F16"/>
  <c r="B16"/>
  <c r="B37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6" s="1"/>
  <c r="AM14"/>
  <c r="AJ14"/>
  <c r="AC14"/>
  <c r="Z14"/>
  <c r="AF14" s="1"/>
  <c r="AX14" s="1"/>
  <c r="S14"/>
  <c r="P14"/>
  <c r="V14" s="1"/>
  <c r="AW14" s="1"/>
  <c r="I14"/>
  <c r="F14"/>
  <c r="L14" s="1"/>
  <c r="AV14" s="1"/>
  <c r="B14"/>
  <c r="B35" s="1"/>
  <c r="AM13"/>
  <c r="AJ13"/>
  <c r="AO13" s="1"/>
  <c r="AC13"/>
  <c r="Z13"/>
  <c r="AF13" s="1"/>
  <c r="AX13" s="1"/>
  <c r="S13"/>
  <c r="P13"/>
  <c r="V13" s="1"/>
  <c r="AW13" s="1"/>
  <c r="I13"/>
  <c r="F13"/>
  <c r="B13"/>
  <c r="B34" s="1"/>
  <c r="AM12"/>
  <c r="AJ12"/>
  <c r="AC12"/>
  <c r="Z12"/>
  <c r="S12"/>
  <c r="P12"/>
  <c r="I12"/>
  <c r="F12"/>
  <c r="B12"/>
  <c r="B33" s="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2" s="1"/>
  <c r="AV7"/>
  <c r="M5"/>
  <c r="AW7" s="1"/>
  <c r="AD270" i="20"/>
  <c r="X270"/>
  <c r="U270"/>
  <c r="R270"/>
  <c r="AD269"/>
  <c r="X269"/>
  <c r="U269"/>
  <c r="R269"/>
  <c r="AD268"/>
  <c r="X268"/>
  <c r="U268"/>
  <c r="R268"/>
  <c r="AD267"/>
  <c r="X267"/>
  <c r="U267"/>
  <c r="R267"/>
  <c r="AD266"/>
  <c r="X266"/>
  <c r="U266"/>
  <c r="R266"/>
  <c r="AD265"/>
  <c r="X265"/>
  <c r="U265"/>
  <c r="R265"/>
  <c r="AD264"/>
  <c r="AD271" s="1"/>
  <c r="X264"/>
  <c r="X271" s="1"/>
  <c r="AD273" s="1"/>
  <c r="U264"/>
  <c r="R264"/>
  <c r="O244"/>
  <c r="O245" s="1"/>
  <c r="B244"/>
  <c r="B245" s="1"/>
  <c r="B247" s="1"/>
  <c r="B243"/>
  <c r="M238"/>
  <c r="U234"/>
  <c r="X234" s="1"/>
  <c r="R234"/>
  <c r="U233"/>
  <c r="X233" s="1"/>
  <c r="R233"/>
  <c r="U232"/>
  <c r="X232" s="1"/>
  <c r="R232"/>
  <c r="U231"/>
  <c r="X231" s="1"/>
  <c r="R231"/>
  <c r="U230"/>
  <c r="X230" s="1"/>
  <c r="R230"/>
  <c r="U229"/>
  <c r="X229" s="1"/>
  <c r="R229"/>
  <c r="AD228"/>
  <c r="AI228" s="1"/>
  <c r="U228"/>
  <c r="X228" s="1"/>
  <c r="R228"/>
  <c r="AD227"/>
  <c r="AI227" s="1"/>
  <c r="U227"/>
  <c r="X227" s="1"/>
  <c r="X236" s="1"/>
  <c r="R227"/>
  <c r="X220"/>
  <c r="U220"/>
  <c r="W220" s="1"/>
  <c r="C220"/>
  <c r="E220" s="1"/>
  <c r="X219"/>
  <c r="U219"/>
  <c r="W219" s="1"/>
  <c r="G219"/>
  <c r="K219" s="1"/>
  <c r="E219"/>
  <c r="I219" s="1"/>
  <c r="N219" s="1"/>
  <c r="AF218"/>
  <c r="X218"/>
  <c r="U218"/>
  <c r="W218" s="1"/>
  <c r="K218"/>
  <c r="I218"/>
  <c r="N218" s="1"/>
  <c r="C218"/>
  <c r="E218" s="1"/>
  <c r="X217"/>
  <c r="U217"/>
  <c r="W217" s="1"/>
  <c r="G217"/>
  <c r="K217" s="1"/>
  <c r="C217"/>
  <c r="E217" s="1"/>
  <c r="X216"/>
  <c r="U216"/>
  <c r="W216" s="1"/>
  <c r="E216"/>
  <c r="K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U211"/>
  <c r="W211" s="1"/>
  <c r="C211"/>
  <c r="E211" s="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N203" s="1"/>
  <c r="O184"/>
  <c r="O185" s="1"/>
  <c r="B183"/>
  <c r="B184" s="1"/>
  <c r="B185" s="1"/>
  <c r="B187" s="1"/>
  <c r="B182"/>
  <c r="AG169"/>
  <c r="AJ169" s="1"/>
  <c r="AG168"/>
  <c r="AJ168" s="1"/>
  <c r="AG167"/>
  <c r="AJ167" s="1"/>
  <c r="AJ166"/>
  <c r="AG166"/>
  <c r="AJ165"/>
  <c r="O165"/>
  <c r="O173" s="1"/>
  <c r="O174" s="1"/>
  <c r="B164"/>
  <c r="B165" s="1"/>
  <c r="B166" s="1"/>
  <c r="B168" s="1"/>
  <c r="O153"/>
  <c r="O154" s="1"/>
  <c r="O145"/>
  <c r="O146" s="1"/>
  <c r="B145"/>
  <c r="B146" s="1"/>
  <c r="B148" s="1"/>
  <c r="B144"/>
  <c r="O127"/>
  <c r="O128" s="1"/>
  <c r="B126"/>
  <c r="B127" s="1"/>
  <c r="B128" s="1"/>
  <c r="B130" s="1"/>
  <c r="O116"/>
  <c r="O117" s="1"/>
  <c r="AI113"/>
  <c r="AE113"/>
  <c r="AI109"/>
  <c r="AI110" s="1"/>
  <c r="AL109" s="1"/>
  <c r="AL108" s="1"/>
  <c r="AO108" s="1"/>
  <c r="AO109" s="1"/>
  <c r="O108"/>
  <c r="O109" s="1"/>
  <c r="B108"/>
  <c r="B109" s="1"/>
  <c r="B111" s="1"/>
  <c r="B107"/>
  <c r="O90"/>
  <c r="O91" s="1"/>
  <c r="B89"/>
  <c r="B90" s="1"/>
  <c r="B91" s="1"/>
  <c r="B93" s="1"/>
  <c r="X85"/>
  <c r="W85"/>
  <c r="U85"/>
  <c r="E85"/>
  <c r="K85" s="1"/>
  <c r="C85"/>
  <c r="X84"/>
  <c r="G84"/>
  <c r="K84" s="1"/>
  <c r="E84"/>
  <c r="I84" s="1"/>
  <c r="N84" s="1"/>
  <c r="AF83"/>
  <c r="X83"/>
  <c r="K83"/>
  <c r="I83"/>
  <c r="N83" s="1"/>
  <c r="C83"/>
  <c r="E83" s="1"/>
  <c r="X82"/>
  <c r="G82"/>
  <c r="K82" s="1"/>
  <c r="C82"/>
  <c r="E82" s="1"/>
  <c r="X81"/>
  <c r="E81"/>
  <c r="K81" s="1"/>
  <c r="C81"/>
  <c r="G81" s="1"/>
  <c r="X80"/>
  <c r="C80"/>
  <c r="E80" s="1"/>
  <c r="X79"/>
  <c r="N79"/>
  <c r="K79"/>
  <c r="X78"/>
  <c r="C78"/>
  <c r="E78" s="1"/>
  <c r="X77"/>
  <c r="S77"/>
  <c r="E77"/>
  <c r="K77" s="1"/>
  <c r="C77"/>
  <c r="X76"/>
  <c r="C76"/>
  <c r="E76" s="1"/>
  <c r="X75"/>
  <c r="E75"/>
  <c r="K75" s="1"/>
  <c r="C75"/>
  <c r="X74"/>
  <c r="S74"/>
  <c r="E74"/>
  <c r="K74" s="1"/>
  <c r="C74"/>
  <c r="X73"/>
  <c r="C73"/>
  <c r="E73" s="1"/>
  <c r="X72"/>
  <c r="E72"/>
  <c r="K72" s="1"/>
  <c r="C72"/>
  <c r="X71"/>
  <c r="C71"/>
  <c r="E71" s="1"/>
  <c r="K68"/>
  <c r="K69" s="1"/>
  <c r="E69" s="1"/>
  <c r="I68"/>
  <c r="N68" s="1"/>
  <c r="E68"/>
  <c r="C68"/>
  <c r="AH64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AE56" s="1"/>
  <c r="AK60" s="1"/>
  <c r="Z56"/>
  <c r="V56"/>
  <c r="AW56" s="1"/>
  <c r="S56"/>
  <c r="P56"/>
  <c r="L56"/>
  <c r="AV56" s="1"/>
  <c r="I56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AC44"/>
  <c r="AE44" s="1"/>
  <c r="Z44"/>
  <c r="V44"/>
  <c r="S44"/>
  <c r="U44" s="1"/>
  <c r="AN44" s="1"/>
  <c r="P44"/>
  <c r="L44"/>
  <c r="I44"/>
  <c r="K44" s="1"/>
  <c r="AM44" s="1"/>
  <c r="F44"/>
  <c r="AC43"/>
  <c r="Z43"/>
  <c r="AF43" s="1"/>
  <c r="S43"/>
  <c r="P43"/>
  <c r="V43" s="1"/>
  <c r="I43"/>
  <c r="F43"/>
  <c r="L43" s="1"/>
  <c r="AC42"/>
  <c r="Z42"/>
  <c r="S42"/>
  <c r="P42"/>
  <c r="L42"/>
  <c r="I42"/>
  <c r="F42"/>
  <c r="AF41"/>
  <c r="AC41"/>
  <c r="Z41"/>
  <c r="V41"/>
  <c r="S41"/>
  <c r="U41" s="1"/>
  <c r="AN41" s="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F38"/>
  <c r="AC38"/>
  <c r="Z38"/>
  <c r="AE38" s="1"/>
  <c r="V38"/>
  <c r="S38"/>
  <c r="P38"/>
  <c r="U38" s="1"/>
  <c r="AN38" s="1"/>
  <c r="L38"/>
  <c r="I38"/>
  <c r="F38"/>
  <c r="K38" s="1"/>
  <c r="AM38" s="1"/>
  <c r="AC37"/>
  <c r="Z37"/>
  <c r="S37"/>
  <c r="V37" s="1"/>
  <c r="BA16" s="1"/>
  <c r="P37"/>
  <c r="L37"/>
  <c r="I37"/>
  <c r="F37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S33"/>
  <c r="P33"/>
  <c r="I33"/>
  <c r="F33"/>
  <c r="AC32"/>
  <c r="AF32" s="1"/>
  <c r="BB11" s="1"/>
  <c r="Z32"/>
  <c r="S32"/>
  <c r="P32"/>
  <c r="I32"/>
  <c r="F32"/>
  <c r="AI26"/>
  <c r="AJ26" s="1"/>
  <c r="AK26" s="1"/>
  <c r="AL26" s="1"/>
  <c r="BD24"/>
  <c r="BB24"/>
  <c r="BA24"/>
  <c r="AZ24"/>
  <c r="AM24"/>
  <c r="AJ24"/>
  <c r="AO24" s="1"/>
  <c r="AF24"/>
  <c r="AX24" s="1"/>
  <c r="AC24"/>
  <c r="AE24" s="1"/>
  <c r="AK45" s="1"/>
  <c r="Z24"/>
  <c r="V24"/>
  <c r="AW24" s="1"/>
  <c r="S24"/>
  <c r="P24"/>
  <c r="I24"/>
  <c r="L24" s="1"/>
  <c r="F24"/>
  <c r="B24"/>
  <c r="B45" s="1"/>
  <c r="BD23"/>
  <c r="BB23"/>
  <c r="BA23"/>
  <c r="AZ23"/>
  <c r="AM23"/>
  <c r="AJ23"/>
  <c r="AO23" s="1"/>
  <c r="AC23"/>
  <c r="Z23"/>
  <c r="V23"/>
  <c r="AW23" s="1"/>
  <c r="S23"/>
  <c r="P23"/>
  <c r="U23" s="1"/>
  <c r="AJ44" s="1"/>
  <c r="I23"/>
  <c r="L23" s="1"/>
  <c r="F23"/>
  <c r="B23"/>
  <c r="B44" s="1"/>
  <c r="BB22"/>
  <c r="BA22"/>
  <c r="AZ22"/>
  <c r="AM22"/>
  <c r="AJ22"/>
  <c r="AO22" s="1"/>
  <c r="AC22"/>
  <c r="Z22"/>
  <c r="S22"/>
  <c r="P22"/>
  <c r="I22"/>
  <c r="F22"/>
  <c r="B22"/>
  <c r="B43" s="1"/>
  <c r="AZ21"/>
  <c r="AM21"/>
  <c r="AJ21"/>
  <c r="AO21" s="1"/>
  <c r="AC21"/>
  <c r="Z2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I20"/>
  <c r="L20" s="1"/>
  <c r="F20"/>
  <c r="B20"/>
  <c r="B41" s="1"/>
  <c r="BB19"/>
  <c r="BA19"/>
  <c r="AZ19"/>
  <c r="AM19"/>
  <c r="AJ19"/>
  <c r="AO19" s="1"/>
  <c r="AC19"/>
  <c r="Z19"/>
  <c r="V19"/>
  <c r="AW19" s="1"/>
  <c r="S19"/>
  <c r="P19"/>
  <c r="I19"/>
  <c r="L19" s="1"/>
  <c r="F19"/>
  <c r="B19"/>
  <c r="B40" s="1"/>
  <c r="AM18"/>
  <c r="AJ18"/>
  <c r="AO18" s="1"/>
  <c r="AC18"/>
  <c r="AF18" s="1"/>
  <c r="AX18" s="1"/>
  <c r="Z18"/>
  <c r="S18"/>
  <c r="P18"/>
  <c r="I18"/>
  <c r="F18"/>
  <c r="B18"/>
  <c r="B39" s="1"/>
  <c r="BB17"/>
  <c r="BA17"/>
  <c r="AZ17"/>
  <c r="AM17"/>
  <c r="AJ17"/>
  <c r="AO17" s="1"/>
  <c r="AC17"/>
  <c r="Z17"/>
  <c r="V17"/>
  <c r="AW17" s="1"/>
  <c r="S17"/>
  <c r="P17"/>
  <c r="I17"/>
  <c r="L17" s="1"/>
  <c r="F17"/>
  <c r="B17"/>
  <c r="B38" s="1"/>
  <c r="AZ16"/>
  <c r="AM16"/>
  <c r="AJ16"/>
  <c r="AO16" s="1"/>
  <c r="AC16"/>
  <c r="Z16"/>
  <c r="V16"/>
  <c r="AW16" s="1"/>
  <c r="S16"/>
  <c r="P16"/>
  <c r="I16"/>
  <c r="L16" s="1"/>
  <c r="F16"/>
  <c r="B16"/>
  <c r="B37" s="1"/>
  <c r="AM15"/>
  <c r="AJ15"/>
  <c r="AO15" s="1"/>
  <c r="AC15"/>
  <c r="Z15"/>
  <c r="S15"/>
  <c r="P15"/>
  <c r="I15"/>
  <c r="F15"/>
  <c r="B15"/>
  <c r="B36" s="1"/>
  <c r="AM14"/>
  <c r="AJ14"/>
  <c r="AO14" s="1"/>
  <c r="AC14"/>
  <c r="Z14"/>
  <c r="S14"/>
  <c r="V14" s="1"/>
  <c r="AW14" s="1"/>
  <c r="P14"/>
  <c r="I14"/>
  <c r="L14" s="1"/>
  <c r="F14"/>
  <c r="B14"/>
  <c r="B35" s="1"/>
  <c r="AM13"/>
  <c r="AJ13"/>
  <c r="AO13" s="1"/>
  <c r="AC13"/>
  <c r="Z13"/>
  <c r="S13"/>
  <c r="P13"/>
  <c r="V13" s="1"/>
  <c r="AW13" s="1"/>
  <c r="I13"/>
  <c r="L13" s="1"/>
  <c r="F13"/>
  <c r="B13"/>
  <c r="B34" s="1"/>
  <c r="AM12"/>
  <c r="AJ12"/>
  <c r="AO12" s="1"/>
  <c r="AC12"/>
  <c r="AF12" s="1"/>
  <c r="AX12" s="1"/>
  <c r="Z12"/>
  <c r="S12"/>
  <c r="P12"/>
  <c r="I12"/>
  <c r="F12"/>
  <c r="B12"/>
  <c r="B33" s="1"/>
  <c r="AM11"/>
  <c r="AJ11"/>
  <c r="AO11" s="1"/>
  <c r="AC11"/>
  <c r="Z11"/>
  <c r="S11"/>
  <c r="P11"/>
  <c r="I11"/>
  <c r="F11"/>
  <c r="B11"/>
  <c r="B32" s="1"/>
  <c r="AV7"/>
  <c r="M5"/>
  <c r="AW7" s="1"/>
  <c r="AI228" i="19"/>
  <c r="AI227"/>
  <c r="U234"/>
  <c r="X234" s="1"/>
  <c r="R234"/>
  <c r="AD228"/>
  <c r="AD227"/>
  <c r="M238"/>
  <c r="U233"/>
  <c r="X233" s="1"/>
  <c r="R233"/>
  <c r="K68"/>
  <c r="X220"/>
  <c r="U220"/>
  <c r="W220" s="1"/>
  <c r="C220"/>
  <c r="E220" s="1"/>
  <c r="X219"/>
  <c r="U219"/>
  <c r="W219" s="1"/>
  <c r="G219"/>
  <c r="K219" s="1"/>
  <c r="E219"/>
  <c r="I219" s="1"/>
  <c r="AF218"/>
  <c r="X218"/>
  <c r="U218"/>
  <c r="W218" s="1"/>
  <c r="K218"/>
  <c r="I218"/>
  <c r="N218" s="1"/>
  <c r="C218"/>
  <c r="E218" s="1"/>
  <c r="X217"/>
  <c r="U217"/>
  <c r="W217" s="1"/>
  <c r="I217"/>
  <c r="G217"/>
  <c r="K217" s="1"/>
  <c r="E217"/>
  <c r="C217"/>
  <c r="X216"/>
  <c r="U216"/>
  <c r="W216" s="1"/>
  <c r="E216"/>
  <c r="K216" s="1"/>
  <c r="C216"/>
  <c r="G216" s="1"/>
  <c r="X215"/>
  <c r="U215"/>
  <c r="W215" s="1"/>
  <c r="C215"/>
  <c r="E215" s="1"/>
  <c r="X214"/>
  <c r="U214"/>
  <c r="W214" s="1"/>
  <c r="N214"/>
  <c r="K214"/>
  <c r="X213"/>
  <c r="U213"/>
  <c r="W213" s="1"/>
  <c r="C213"/>
  <c r="E213" s="1"/>
  <c r="X212"/>
  <c r="W212"/>
  <c r="U212"/>
  <c r="S212"/>
  <c r="C212"/>
  <c r="E212" s="1"/>
  <c r="X211"/>
  <c r="W211"/>
  <c r="U211"/>
  <c r="E211"/>
  <c r="I211" s="1"/>
  <c r="C211"/>
  <c r="X210"/>
  <c r="U210"/>
  <c r="W210" s="1"/>
  <c r="C210"/>
  <c r="E210" s="1"/>
  <c r="X209"/>
  <c r="W209"/>
  <c r="U209"/>
  <c r="S209"/>
  <c r="C209"/>
  <c r="E209" s="1"/>
  <c r="X208"/>
  <c r="U208"/>
  <c r="W208" s="1"/>
  <c r="C208"/>
  <c r="E208" s="1"/>
  <c r="X207"/>
  <c r="W207"/>
  <c r="U207"/>
  <c r="E207"/>
  <c r="K207" s="1"/>
  <c r="C207"/>
  <c r="X206"/>
  <c r="U206"/>
  <c r="W206" s="1"/>
  <c r="C206"/>
  <c r="E206" s="1"/>
  <c r="K204"/>
  <c r="I204"/>
  <c r="N204" s="1"/>
  <c r="E204"/>
  <c r="C204"/>
  <c r="E203"/>
  <c r="I203" s="1"/>
  <c r="U232"/>
  <c r="X232" s="1"/>
  <c r="R232"/>
  <c r="U231"/>
  <c r="X231" s="1"/>
  <c r="R231"/>
  <c r="U230"/>
  <c r="X230" s="1"/>
  <c r="R230"/>
  <c r="U229"/>
  <c r="X229" s="1"/>
  <c r="R229"/>
  <c r="U228"/>
  <c r="X228" s="1"/>
  <c r="R228"/>
  <c r="U227"/>
  <c r="X227" s="1"/>
  <c r="R227"/>
  <c r="B182"/>
  <c r="O184" s="1"/>
  <c r="O192" s="1"/>
  <c r="O193" s="1"/>
  <c r="AT46" i="32" l="1"/>
  <c r="AR1" s="1"/>
  <c r="BE25"/>
  <c r="BB7"/>
  <c r="B1"/>
  <c r="B3" s="1"/>
  <c r="BF25"/>
  <c r="BE25" i="31"/>
  <c r="AT46"/>
  <c r="AR1" s="1"/>
  <c r="AT11"/>
  <c r="C58"/>
  <c r="M58" s="1"/>
  <c r="W58" s="1"/>
  <c r="M26"/>
  <c r="AZ7"/>
  <c r="BF25"/>
  <c r="BF25" i="30"/>
  <c r="BE25"/>
  <c r="AT46"/>
  <c r="AT11"/>
  <c r="W26"/>
  <c r="BA7"/>
  <c r="AR1"/>
  <c r="AP35" i="29"/>
  <c r="W26"/>
  <c r="BA7"/>
  <c r="AT46"/>
  <c r="AR1" s="1"/>
  <c r="BF25"/>
  <c r="BE25"/>
  <c r="BE25" i="28"/>
  <c r="AT46"/>
  <c r="AR1" s="1"/>
  <c r="AT11"/>
  <c r="B1"/>
  <c r="B3" s="1"/>
  <c r="BB7"/>
  <c r="BB7" i="27"/>
  <c r="B1"/>
  <c r="B3" s="1"/>
  <c r="BF25"/>
  <c r="AT46"/>
  <c r="AT11"/>
  <c r="AR1"/>
  <c r="BE25"/>
  <c r="BE25" i="26"/>
  <c r="AT46"/>
  <c r="AT11"/>
  <c r="W26"/>
  <c r="BA7"/>
  <c r="AR1"/>
  <c r="AR21" i="25"/>
  <c r="N76"/>
  <c r="BD16"/>
  <c r="BF16"/>
  <c r="O101"/>
  <c r="O103" s="1"/>
  <c r="K44"/>
  <c r="AM44" s="1"/>
  <c r="Q209"/>
  <c r="O137"/>
  <c r="AP60"/>
  <c r="B174"/>
  <c r="B176" s="1"/>
  <c r="U33"/>
  <c r="AN33" s="1"/>
  <c r="U32"/>
  <c r="AN32" s="1"/>
  <c r="BF21"/>
  <c r="U18"/>
  <c r="AJ39" s="1"/>
  <c r="AE14"/>
  <c r="AK35" s="1"/>
  <c r="AL37"/>
  <c r="AY12"/>
  <c r="BF12" s="1"/>
  <c r="K216"/>
  <c r="I216"/>
  <c r="N73"/>
  <c r="BD13"/>
  <c r="BF13" s="1"/>
  <c r="N77"/>
  <c r="BD17"/>
  <c r="AE44"/>
  <c r="U84" s="1"/>
  <c r="W84" s="1"/>
  <c r="U43"/>
  <c r="AN43" s="1"/>
  <c r="K39"/>
  <c r="AM39" s="1"/>
  <c r="Q212"/>
  <c r="K43"/>
  <c r="AM43" s="1"/>
  <c r="K35"/>
  <c r="AP18"/>
  <c r="AR18" s="1"/>
  <c r="U16"/>
  <c r="AJ37" s="1"/>
  <c r="AP22"/>
  <c r="BE22" s="1"/>
  <c r="AP20"/>
  <c r="AP16"/>
  <c r="BE16" s="1"/>
  <c r="B136"/>
  <c r="B138" s="1"/>
  <c r="AE42"/>
  <c r="AO42" s="1"/>
  <c r="U42"/>
  <c r="AN42" s="1"/>
  <c r="K42"/>
  <c r="AM42" s="1"/>
  <c r="AP42" s="1"/>
  <c r="AP14"/>
  <c r="AR14" s="1"/>
  <c r="U14"/>
  <c r="AJ35" s="1"/>
  <c r="AE36"/>
  <c r="AO36" s="1"/>
  <c r="K36"/>
  <c r="AM36" s="1"/>
  <c r="AE11"/>
  <c r="AK32" s="1"/>
  <c r="AP23"/>
  <c r="AR23" s="1"/>
  <c r="AI34"/>
  <c r="B192"/>
  <c r="B189"/>
  <c r="B191" s="1"/>
  <c r="BD56"/>
  <c r="N85"/>
  <c r="N71"/>
  <c r="BD11"/>
  <c r="AO38"/>
  <c r="U77"/>
  <c r="W77" s="1"/>
  <c r="AO37"/>
  <c r="AO35"/>
  <c r="AI44"/>
  <c r="AI39"/>
  <c r="AL38"/>
  <c r="AY17"/>
  <c r="BF17" s="1"/>
  <c r="AI38"/>
  <c r="AT38"/>
  <c r="AT17" s="1"/>
  <c r="AO32"/>
  <c r="AI43"/>
  <c r="AT37"/>
  <c r="AT16" s="1"/>
  <c r="AI37"/>
  <c r="AI35"/>
  <c r="AI33"/>
  <c r="AI32"/>
  <c r="BE14"/>
  <c r="U80"/>
  <c r="W80" s="1"/>
  <c r="U34"/>
  <c r="AN34" s="1"/>
  <c r="AE33"/>
  <c r="U23"/>
  <c r="AJ44" s="1"/>
  <c r="U81"/>
  <c r="W81" s="1"/>
  <c r="BE19"/>
  <c r="AT45"/>
  <c r="AT24" s="1"/>
  <c r="AT41"/>
  <c r="AT20" s="1"/>
  <c r="U15"/>
  <c r="AJ36" s="1"/>
  <c r="AP12"/>
  <c r="O110"/>
  <c r="AA109"/>
  <c r="O111"/>
  <c r="O113" s="1"/>
  <c r="AO44"/>
  <c r="O185"/>
  <c r="O192"/>
  <c r="O193" s="1"/>
  <c r="AA146"/>
  <c r="O147"/>
  <c r="O148"/>
  <c r="O150" s="1"/>
  <c r="N80"/>
  <c r="BD20"/>
  <c r="AT60"/>
  <c r="AT56" s="1"/>
  <c r="AL44"/>
  <c r="AY23"/>
  <c r="BF23" s="1"/>
  <c r="AL40"/>
  <c r="AY19"/>
  <c r="BF19" s="1"/>
  <c r="AI40"/>
  <c r="AP40" s="1"/>
  <c r="AT40"/>
  <c r="AT19" s="1"/>
  <c r="AR24"/>
  <c r="BE24"/>
  <c r="AR22"/>
  <c r="AV15"/>
  <c r="AP15"/>
  <c r="AV13"/>
  <c r="AP13"/>
  <c r="AV11"/>
  <c r="AP11"/>
  <c r="C26"/>
  <c r="AY7"/>
  <c r="Q210"/>
  <c r="U78"/>
  <c r="W78" s="1"/>
  <c r="U36"/>
  <c r="AN36" s="1"/>
  <c r="AP17"/>
  <c r="B99"/>
  <c r="B101" s="1"/>
  <c r="U83"/>
  <c r="W83" s="1"/>
  <c r="AE34"/>
  <c r="K34"/>
  <c r="AM34" s="1"/>
  <c r="K33"/>
  <c r="AM33" s="1"/>
  <c r="B253"/>
  <c r="B255" s="1"/>
  <c r="U11"/>
  <c r="AJ32" s="1"/>
  <c r="AP45"/>
  <c r="AP41"/>
  <c r="AE15"/>
  <c r="AK36" s="1"/>
  <c r="K15"/>
  <c r="U13"/>
  <c r="AJ34" s="1"/>
  <c r="AE37" i="24"/>
  <c r="AO37" s="1"/>
  <c r="U37"/>
  <c r="AN37" s="1"/>
  <c r="K37"/>
  <c r="AM37" s="1"/>
  <c r="AT37"/>
  <c r="AT16" s="1"/>
  <c r="AP23"/>
  <c r="BE23" s="1"/>
  <c r="AJ44"/>
  <c r="AR23"/>
  <c r="AI44"/>
  <c r="AI37"/>
  <c r="U39"/>
  <c r="AN39" s="1"/>
  <c r="AR21"/>
  <c r="U80"/>
  <c r="W80" s="1"/>
  <c r="K34"/>
  <c r="AM34" s="1"/>
  <c r="U83"/>
  <c r="W83" s="1"/>
  <c r="AT45"/>
  <c r="AT24" s="1"/>
  <c r="U14"/>
  <c r="AJ35" s="1"/>
  <c r="AI35"/>
  <c r="AA166"/>
  <c r="O168"/>
  <c r="O170" s="1"/>
  <c r="O167"/>
  <c r="O110"/>
  <c r="AA109"/>
  <c r="O111"/>
  <c r="O113" s="1"/>
  <c r="BD56"/>
  <c r="N85"/>
  <c r="N76"/>
  <c r="BD16"/>
  <c r="AM35"/>
  <c r="AI36"/>
  <c r="AI34"/>
  <c r="AI32"/>
  <c r="N73"/>
  <c r="BD13"/>
  <c r="N71"/>
  <c r="BD11"/>
  <c r="C58"/>
  <c r="M58" s="1"/>
  <c r="W58" s="1"/>
  <c r="M26"/>
  <c r="AZ7"/>
  <c r="AE43"/>
  <c r="AO43" s="1"/>
  <c r="AM43"/>
  <c r="B154"/>
  <c r="B156" s="1"/>
  <c r="B136"/>
  <c r="B138" s="1"/>
  <c r="K36"/>
  <c r="AM36" s="1"/>
  <c r="AE32"/>
  <c r="K32"/>
  <c r="AM32" s="1"/>
  <c r="AJ43"/>
  <c r="AP17"/>
  <c r="U12"/>
  <c r="AJ33" s="1"/>
  <c r="AP45"/>
  <c r="K38"/>
  <c r="AE34"/>
  <c r="U18"/>
  <c r="AJ39" s="1"/>
  <c r="AE14"/>
  <c r="AK35" s="1"/>
  <c r="U78"/>
  <c r="W78" s="1"/>
  <c r="AT44"/>
  <c r="AT23" s="1"/>
  <c r="AT42"/>
  <c r="AT21" s="1"/>
  <c r="AT41"/>
  <c r="AT20" s="1"/>
  <c r="AT40"/>
  <c r="AT19" s="1"/>
  <c r="AA253"/>
  <c r="O255"/>
  <c r="O257" s="1"/>
  <c r="O254"/>
  <c r="AA193"/>
  <c r="O195"/>
  <c r="O197" s="1"/>
  <c r="O194"/>
  <c r="AA136"/>
  <c r="O138"/>
  <c r="O140" s="1"/>
  <c r="O137"/>
  <c r="AA99"/>
  <c r="O101"/>
  <c r="O103" s="1"/>
  <c r="O100"/>
  <c r="N80"/>
  <c r="BD20"/>
  <c r="U84"/>
  <c r="W84" s="1"/>
  <c r="U82"/>
  <c r="W82" s="1"/>
  <c r="U79"/>
  <c r="W79" s="1"/>
  <c r="AO44"/>
  <c r="N77"/>
  <c r="BD17"/>
  <c r="N75"/>
  <c r="BD15"/>
  <c r="Q220"/>
  <c r="Q217"/>
  <c r="Q216"/>
  <c r="Q214"/>
  <c r="Q213"/>
  <c r="Q212"/>
  <c r="Q210"/>
  <c r="Q209"/>
  <c r="Q207"/>
  <c r="Q85"/>
  <c r="AR60" s="1"/>
  <c r="Q80"/>
  <c r="Q76"/>
  <c r="AR37" s="1"/>
  <c r="Q73"/>
  <c r="AR34" s="1"/>
  <c r="Q71"/>
  <c r="AR32" s="1"/>
  <c r="Q69"/>
  <c r="Q68"/>
  <c r="Q219"/>
  <c r="Q218"/>
  <c r="Q215"/>
  <c r="Q211"/>
  <c r="Q208"/>
  <c r="Q206"/>
  <c r="Q204"/>
  <c r="Q203"/>
  <c r="Q84"/>
  <c r="AR45" s="1"/>
  <c r="Q83"/>
  <c r="Q82"/>
  <c r="AR43" s="1"/>
  <c r="Q81"/>
  <c r="AR42" s="1"/>
  <c r="Q79"/>
  <c r="AR40" s="1"/>
  <c r="Q78"/>
  <c r="AR39" s="1"/>
  <c r="Q77"/>
  <c r="AR38" s="1"/>
  <c r="Q75"/>
  <c r="AR36" s="1"/>
  <c r="Q74"/>
  <c r="AR35" s="1"/>
  <c r="Q72"/>
  <c r="AR33" s="1"/>
  <c r="N69"/>
  <c r="U74"/>
  <c r="W74" s="1"/>
  <c r="AO35"/>
  <c r="AT60" s="1"/>
  <c r="AT56" s="1"/>
  <c r="AO33"/>
  <c r="AV22"/>
  <c r="AP22"/>
  <c r="AV18"/>
  <c r="AP18"/>
  <c r="AV14"/>
  <c r="AP14"/>
  <c r="AV12"/>
  <c r="AZ27" s="1"/>
  <c r="BD29" s="1"/>
  <c r="AP12"/>
  <c r="N78"/>
  <c r="BD19"/>
  <c r="BD18"/>
  <c r="N74"/>
  <c r="BD14"/>
  <c r="N72"/>
  <c r="BD12"/>
  <c r="AN43"/>
  <c r="U81"/>
  <c r="W81" s="1"/>
  <c r="U32"/>
  <c r="AN32" s="1"/>
  <c r="AK43"/>
  <c r="AE12"/>
  <c r="AK33" s="1"/>
  <c r="K12"/>
  <c r="AP15"/>
  <c r="AP13"/>
  <c r="AP11"/>
  <c r="AE36"/>
  <c r="AE18"/>
  <c r="AK39" s="1"/>
  <c r="K18"/>
  <c r="AP44"/>
  <c r="AP42"/>
  <c r="AP41"/>
  <c r="AP40"/>
  <c r="AP37"/>
  <c r="AP60" i="23"/>
  <c r="AP13"/>
  <c r="U33"/>
  <c r="AN33" s="1"/>
  <c r="K35"/>
  <c r="U11"/>
  <c r="AJ32" s="1"/>
  <c r="AT32"/>
  <c r="AI32"/>
  <c r="AA253"/>
  <c r="O255"/>
  <c r="O257" s="1"/>
  <c r="O254"/>
  <c r="AA166"/>
  <c r="O168"/>
  <c r="O170" s="1"/>
  <c r="O167"/>
  <c r="O110"/>
  <c r="AA109"/>
  <c r="O111"/>
  <c r="O113" s="1"/>
  <c r="N85"/>
  <c r="BD56"/>
  <c r="K81"/>
  <c r="I81"/>
  <c r="N72"/>
  <c r="BD12"/>
  <c r="N80"/>
  <c r="BD20"/>
  <c r="N76"/>
  <c r="BD16"/>
  <c r="N73"/>
  <c r="BD13"/>
  <c r="Q220"/>
  <c r="Q217"/>
  <c r="Q216"/>
  <c r="Q214"/>
  <c r="Q213"/>
  <c r="Q212"/>
  <c r="Q210"/>
  <c r="Q209"/>
  <c r="Q207"/>
  <c r="Q85"/>
  <c r="AR60" s="1"/>
  <c r="Q82"/>
  <c r="AR43" s="1"/>
  <c r="Q81"/>
  <c r="AR42" s="1"/>
  <c r="Q79"/>
  <c r="AR40" s="1"/>
  <c r="Q78"/>
  <c r="AR39" s="1"/>
  <c r="Q77"/>
  <c r="AR38" s="1"/>
  <c r="Q75"/>
  <c r="AR36" s="1"/>
  <c r="Q74"/>
  <c r="AR35" s="1"/>
  <c r="Q72"/>
  <c r="AR33" s="1"/>
  <c r="N69"/>
  <c r="Q219"/>
  <c r="Q218"/>
  <c r="Q215"/>
  <c r="Q211"/>
  <c r="Q208"/>
  <c r="Q206"/>
  <c r="Q204"/>
  <c r="Q203"/>
  <c r="Q84"/>
  <c r="AR45" s="1"/>
  <c r="Q83"/>
  <c r="Q80"/>
  <c r="Q76"/>
  <c r="AR37" s="1"/>
  <c r="Q73"/>
  <c r="AR34" s="1"/>
  <c r="Q71"/>
  <c r="AR32" s="1"/>
  <c r="Q69"/>
  <c r="Q68"/>
  <c r="AO36"/>
  <c r="U71"/>
  <c r="W71" s="1"/>
  <c r="AO32"/>
  <c r="AT43"/>
  <c r="AT22" s="1"/>
  <c r="AI43"/>
  <c r="AP43" s="1"/>
  <c r="AI39"/>
  <c r="AI35"/>
  <c r="N71"/>
  <c r="BD11"/>
  <c r="B174"/>
  <c r="B176" s="1"/>
  <c r="B99"/>
  <c r="B101" s="1"/>
  <c r="U39"/>
  <c r="AN39" s="1"/>
  <c r="B253"/>
  <c r="B255" s="1"/>
  <c r="B193"/>
  <c r="B195" s="1"/>
  <c r="B117"/>
  <c r="B119" s="1"/>
  <c r="U83"/>
  <c r="W83" s="1"/>
  <c r="U76"/>
  <c r="W76" s="1"/>
  <c r="U13"/>
  <c r="AP14"/>
  <c r="AP12"/>
  <c r="AE33"/>
  <c r="K33"/>
  <c r="AM33" s="1"/>
  <c r="U15"/>
  <c r="AJ36" s="1"/>
  <c r="AE13"/>
  <c r="AK34" s="1"/>
  <c r="AP45"/>
  <c r="AP42"/>
  <c r="AT41"/>
  <c r="AT20" s="1"/>
  <c r="AP18"/>
  <c r="AP37"/>
  <c r="AA193"/>
  <c r="O195"/>
  <c r="O197" s="1"/>
  <c r="O194"/>
  <c r="AA136"/>
  <c r="O138"/>
  <c r="O140" s="1"/>
  <c r="O137"/>
  <c r="AA99"/>
  <c r="O101"/>
  <c r="O103" s="1"/>
  <c r="O100"/>
  <c r="N82"/>
  <c r="BD22"/>
  <c r="N74"/>
  <c r="BD14"/>
  <c r="N77"/>
  <c r="BD17"/>
  <c r="N75"/>
  <c r="BD15"/>
  <c r="AO34"/>
  <c r="AV15"/>
  <c r="AP15"/>
  <c r="AI33"/>
  <c r="AV11"/>
  <c r="AZ27" s="1"/>
  <c r="BD29" s="1"/>
  <c r="AP11"/>
  <c r="N78"/>
  <c r="BD18"/>
  <c r="BD19"/>
  <c r="AM35"/>
  <c r="AY7"/>
  <c r="C26"/>
  <c r="AE39"/>
  <c r="AO39" s="1"/>
  <c r="K39"/>
  <c r="AM39" s="1"/>
  <c r="AP44"/>
  <c r="AE35"/>
  <c r="AE15"/>
  <c r="AK36" s="1"/>
  <c r="K15"/>
  <c r="AT45"/>
  <c r="AT24" s="1"/>
  <c r="AP41"/>
  <c r="AP40"/>
  <c r="AP38"/>
  <c r="AT37"/>
  <c r="AT16" s="1"/>
  <c r="AF36" i="22"/>
  <c r="BB15" s="1"/>
  <c r="V36"/>
  <c r="BA15" s="1"/>
  <c r="V32"/>
  <c r="BA11" s="1"/>
  <c r="L36"/>
  <c r="AZ15" s="1"/>
  <c r="L34"/>
  <c r="AZ13" s="1"/>
  <c r="L32"/>
  <c r="AZ11" s="1"/>
  <c r="V22"/>
  <c r="AW22" s="1"/>
  <c r="V18"/>
  <c r="AW18" s="1"/>
  <c r="V14"/>
  <c r="AW14" s="1"/>
  <c r="V12"/>
  <c r="AW12" s="1"/>
  <c r="L22"/>
  <c r="AV22" s="1"/>
  <c r="L18"/>
  <c r="AV18" s="1"/>
  <c r="L14"/>
  <c r="L12"/>
  <c r="AV12" s="1"/>
  <c r="AE40"/>
  <c r="AE41"/>
  <c r="AE44"/>
  <c r="AE37"/>
  <c r="AE42"/>
  <c r="AE45"/>
  <c r="U38"/>
  <c r="AN38" s="1"/>
  <c r="U37"/>
  <c r="AN37" s="1"/>
  <c r="U42"/>
  <c r="AN42" s="1"/>
  <c r="U45"/>
  <c r="AN45" s="1"/>
  <c r="K38"/>
  <c r="AM38" s="1"/>
  <c r="K37"/>
  <c r="AM37" s="1"/>
  <c r="K42"/>
  <c r="AM42" s="1"/>
  <c r="K45"/>
  <c r="AM45" s="1"/>
  <c r="AO15"/>
  <c r="AO19"/>
  <c r="AO20"/>
  <c r="AO21"/>
  <c r="AO22"/>
  <c r="AO23"/>
  <c r="AO12"/>
  <c r="AO14"/>
  <c r="AY14" s="1"/>
  <c r="AO16"/>
  <c r="AO17"/>
  <c r="AO18"/>
  <c r="AO24"/>
  <c r="AF22"/>
  <c r="AX22" s="1"/>
  <c r="AE16"/>
  <c r="AK37" s="1"/>
  <c r="AE20"/>
  <c r="AK41" s="1"/>
  <c r="AE24"/>
  <c r="AK45" s="1"/>
  <c r="U24"/>
  <c r="AJ45" s="1"/>
  <c r="K20"/>
  <c r="K24"/>
  <c r="W5"/>
  <c r="AX7" s="1"/>
  <c r="AY12"/>
  <c r="AL33"/>
  <c r="AL35"/>
  <c r="AL39"/>
  <c r="AY18"/>
  <c r="AL43"/>
  <c r="AY22"/>
  <c r="AI44"/>
  <c r="AL44"/>
  <c r="AY23"/>
  <c r="BF23" s="1"/>
  <c r="AP16"/>
  <c r="AP20"/>
  <c r="AP24"/>
  <c r="AL32"/>
  <c r="AY11"/>
  <c r="AL34"/>
  <c r="AY13"/>
  <c r="AV14"/>
  <c r="AL36"/>
  <c r="AY15"/>
  <c r="AI37"/>
  <c r="AT37"/>
  <c r="AT16" s="1"/>
  <c r="AL37"/>
  <c r="AY16"/>
  <c r="AI38"/>
  <c r="AL38"/>
  <c r="AY17"/>
  <c r="AI40"/>
  <c r="AL40"/>
  <c r="AY19"/>
  <c r="AT41"/>
  <c r="AT20" s="1"/>
  <c r="AI41"/>
  <c r="AL41"/>
  <c r="AY20"/>
  <c r="AI42"/>
  <c r="AL42"/>
  <c r="AY21"/>
  <c r="AP22"/>
  <c r="AI45"/>
  <c r="AT45"/>
  <c r="AT24" s="1"/>
  <c r="AL45"/>
  <c r="AY24"/>
  <c r="BF24" s="1"/>
  <c r="AM26"/>
  <c r="AN26" s="1"/>
  <c r="AO26" s="1"/>
  <c r="AW26"/>
  <c r="AO40"/>
  <c r="U80"/>
  <c r="W80" s="1"/>
  <c r="AO41"/>
  <c r="AO44"/>
  <c r="I71"/>
  <c r="K71"/>
  <c r="K78"/>
  <c r="I78"/>
  <c r="O93"/>
  <c r="O95" s="1"/>
  <c r="O92"/>
  <c r="AA91"/>
  <c r="B113"/>
  <c r="B115" s="1"/>
  <c r="B116"/>
  <c r="O130"/>
  <c r="O132" s="1"/>
  <c r="O129"/>
  <c r="AA128"/>
  <c r="B150"/>
  <c r="B152" s="1"/>
  <c r="B153"/>
  <c r="B154" s="1"/>
  <c r="B156" s="1"/>
  <c r="O156"/>
  <c r="O158" s="1"/>
  <c r="O155"/>
  <c r="AA154"/>
  <c r="AA174"/>
  <c r="O176"/>
  <c r="O178" s="1"/>
  <c r="O175"/>
  <c r="B192"/>
  <c r="B189"/>
  <c r="B191" s="1"/>
  <c r="K209"/>
  <c r="I209"/>
  <c r="N209" s="1"/>
  <c r="K213"/>
  <c r="I213"/>
  <c r="N213" s="1"/>
  <c r="K220"/>
  <c r="I220"/>
  <c r="N220" s="1"/>
  <c r="B252"/>
  <c r="B249"/>
  <c r="B251" s="1"/>
  <c r="AA253"/>
  <c r="O255"/>
  <c r="O257" s="1"/>
  <c r="O254"/>
  <c r="AG5"/>
  <c r="L11"/>
  <c r="V11"/>
  <c r="AW11" s="1"/>
  <c r="AF11"/>
  <c r="AX11" s="1"/>
  <c r="K12"/>
  <c r="U12"/>
  <c r="AJ33" s="1"/>
  <c r="AE12"/>
  <c r="AK33" s="1"/>
  <c r="L13"/>
  <c r="V13"/>
  <c r="AW13" s="1"/>
  <c r="AF13"/>
  <c r="AX13" s="1"/>
  <c r="K14"/>
  <c r="U14"/>
  <c r="AJ35" s="1"/>
  <c r="AE14"/>
  <c r="AK35" s="1"/>
  <c r="L15"/>
  <c r="V15"/>
  <c r="AW15" s="1"/>
  <c r="AF15"/>
  <c r="AX15" s="1"/>
  <c r="AV16"/>
  <c r="AF17"/>
  <c r="AX17" s="1"/>
  <c r="K18"/>
  <c r="U18"/>
  <c r="AJ39" s="1"/>
  <c r="AE18"/>
  <c r="AK39" s="1"/>
  <c r="AF19"/>
  <c r="AX19" s="1"/>
  <c r="AV20"/>
  <c r="AF21"/>
  <c r="AX21" s="1"/>
  <c r="K22"/>
  <c r="U22"/>
  <c r="AJ43" s="1"/>
  <c r="AE22"/>
  <c r="AK43" s="1"/>
  <c r="AF23"/>
  <c r="AX23" s="1"/>
  <c r="AR24"/>
  <c r="AV24"/>
  <c r="BE24"/>
  <c r="U32"/>
  <c r="AN32" s="1"/>
  <c r="AE32"/>
  <c r="L33"/>
  <c r="AZ12" s="1"/>
  <c r="V33"/>
  <c r="BA12" s="1"/>
  <c r="AF33"/>
  <c r="BB12" s="1"/>
  <c r="K34"/>
  <c r="AM34" s="1"/>
  <c r="U34"/>
  <c r="AN34" s="1"/>
  <c r="AE34"/>
  <c r="L35"/>
  <c r="AZ14" s="1"/>
  <c r="V35"/>
  <c r="BA14" s="1"/>
  <c r="AF35"/>
  <c r="BB14" s="1"/>
  <c r="K36"/>
  <c r="AM36" s="1"/>
  <c r="U36"/>
  <c r="AN36" s="1"/>
  <c r="AE36"/>
  <c r="U76"/>
  <c r="W76" s="1"/>
  <c r="AO37"/>
  <c r="AO38"/>
  <c r="AO42"/>
  <c r="U83"/>
  <c r="W83" s="1"/>
  <c r="AO45"/>
  <c r="I69"/>
  <c r="C69"/>
  <c r="I73"/>
  <c r="K73"/>
  <c r="K75"/>
  <c r="I75"/>
  <c r="I76"/>
  <c r="K76"/>
  <c r="K77"/>
  <c r="I77"/>
  <c r="I80"/>
  <c r="K80"/>
  <c r="Z80" s="1"/>
  <c r="B98"/>
  <c r="B99" s="1"/>
  <c r="B101" s="1"/>
  <c r="B95"/>
  <c r="B97" s="1"/>
  <c r="O119"/>
  <c r="O121" s="1"/>
  <c r="O118"/>
  <c r="AA117"/>
  <c r="B135"/>
  <c r="B132"/>
  <c r="B134" s="1"/>
  <c r="AA146"/>
  <c r="O148"/>
  <c r="O150" s="1"/>
  <c r="O147"/>
  <c r="B173"/>
  <c r="B174" s="1"/>
  <c r="B176" s="1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O247"/>
  <c r="O249" s="1"/>
  <c r="O246"/>
  <c r="AA245"/>
  <c r="AK170"/>
  <c r="AD273"/>
  <c r="L39"/>
  <c r="AZ18" s="1"/>
  <c r="V39"/>
  <c r="BA18" s="1"/>
  <c r="AF39"/>
  <c r="BB18" s="1"/>
  <c r="K43"/>
  <c r="AM43" s="1"/>
  <c r="U43"/>
  <c r="AN43" s="1"/>
  <c r="AE43"/>
  <c r="AO43" s="1"/>
  <c r="AP56"/>
  <c r="I72"/>
  <c r="I74"/>
  <c r="E81"/>
  <c r="I82"/>
  <c r="I85"/>
  <c r="O98"/>
  <c r="O99" s="1"/>
  <c r="O109"/>
  <c r="O135"/>
  <c r="O136" s="1"/>
  <c r="O166"/>
  <c r="O192"/>
  <c r="O193" s="1"/>
  <c r="C203"/>
  <c r="I207"/>
  <c r="N207" s="1"/>
  <c r="K211"/>
  <c r="K215"/>
  <c r="Z215" s="1"/>
  <c r="I216"/>
  <c r="N216" s="1"/>
  <c r="AD236"/>
  <c r="AD238" s="1"/>
  <c r="AF33" i="21"/>
  <c r="BB12" s="1"/>
  <c r="V35"/>
  <c r="BA14" s="1"/>
  <c r="V33"/>
  <c r="BA12" s="1"/>
  <c r="K39"/>
  <c r="AM39" s="1"/>
  <c r="L33"/>
  <c r="AZ12" s="1"/>
  <c r="AO14"/>
  <c r="AO12"/>
  <c r="L13"/>
  <c r="AV13" s="1"/>
  <c r="AE38"/>
  <c r="AE42"/>
  <c r="AE45"/>
  <c r="AE41"/>
  <c r="U42"/>
  <c r="AN42" s="1"/>
  <c r="U45"/>
  <c r="AN45" s="1"/>
  <c r="K42"/>
  <c r="AM42" s="1"/>
  <c r="K45"/>
  <c r="AM45" s="1"/>
  <c r="AE16"/>
  <c r="AK37" s="1"/>
  <c r="AE14"/>
  <c r="AK35" s="1"/>
  <c r="AE20"/>
  <c r="AK41" s="1"/>
  <c r="AE24"/>
  <c r="AK45" s="1"/>
  <c r="U14"/>
  <c r="AJ35" s="1"/>
  <c r="AP17"/>
  <c r="AP19"/>
  <c r="U20"/>
  <c r="AJ41" s="1"/>
  <c r="U24"/>
  <c r="AJ45" s="1"/>
  <c r="K14"/>
  <c r="AV19"/>
  <c r="AV23"/>
  <c r="K16"/>
  <c r="AV17"/>
  <c r="K24"/>
  <c r="W5"/>
  <c r="AG5" s="1"/>
  <c r="AY7" s="1"/>
  <c r="AV11"/>
  <c r="AY11"/>
  <c r="AL32"/>
  <c r="AI35"/>
  <c r="AL35"/>
  <c r="AY14"/>
  <c r="AL39"/>
  <c r="AY18"/>
  <c r="AI40"/>
  <c r="AL40"/>
  <c r="AY19"/>
  <c r="AT41"/>
  <c r="AT20" s="1"/>
  <c r="AI41"/>
  <c r="AL41"/>
  <c r="AY20"/>
  <c r="AP21"/>
  <c r="AV21"/>
  <c r="AL42"/>
  <c r="AY21"/>
  <c r="AL43"/>
  <c r="AY22"/>
  <c r="AI44"/>
  <c r="BE23"/>
  <c r="AR23"/>
  <c r="AL44"/>
  <c r="AY23"/>
  <c r="BF23" s="1"/>
  <c r="C26"/>
  <c r="AL33"/>
  <c r="AY12"/>
  <c r="AY13"/>
  <c r="AL34"/>
  <c r="AV15"/>
  <c r="AY15"/>
  <c r="AL36"/>
  <c r="AI37"/>
  <c r="AL37"/>
  <c r="AY16"/>
  <c r="AI38"/>
  <c r="AL38"/>
  <c r="AY17"/>
  <c r="AI45"/>
  <c r="AT45"/>
  <c r="AT24" s="1"/>
  <c r="AL45"/>
  <c r="AY24"/>
  <c r="BF24" s="1"/>
  <c r="AW26"/>
  <c r="AM26"/>
  <c r="AN26" s="1"/>
  <c r="AO26" s="1"/>
  <c r="AO42"/>
  <c r="U83"/>
  <c r="W83" s="1"/>
  <c r="AO45"/>
  <c r="I69"/>
  <c r="C69"/>
  <c r="I73"/>
  <c r="K73"/>
  <c r="K75"/>
  <c r="I75"/>
  <c r="I76"/>
  <c r="K76"/>
  <c r="K77"/>
  <c r="I77"/>
  <c r="I80"/>
  <c r="K80"/>
  <c r="Z80" s="1"/>
  <c r="B98"/>
  <c r="B99" s="1"/>
  <c r="B101" s="1"/>
  <c r="B95"/>
  <c r="B97" s="1"/>
  <c r="O110"/>
  <c r="AA109"/>
  <c r="O111"/>
  <c r="O113" s="1"/>
  <c r="O119"/>
  <c r="O121" s="1"/>
  <c r="O118"/>
  <c r="AA117"/>
  <c r="O130"/>
  <c r="O132" s="1"/>
  <c r="O129"/>
  <c r="AA128"/>
  <c r="B150"/>
  <c r="B152" s="1"/>
  <c r="B153"/>
  <c r="B154" s="1"/>
  <c r="B156" s="1"/>
  <c r="O156"/>
  <c r="O158" s="1"/>
  <c r="O155"/>
  <c r="AA154"/>
  <c r="AA174"/>
  <c r="O176"/>
  <c r="O178" s="1"/>
  <c r="O175"/>
  <c r="B192"/>
  <c r="B189"/>
  <c r="B191" s="1"/>
  <c r="K209"/>
  <c r="I209"/>
  <c r="N209" s="1"/>
  <c r="K213"/>
  <c r="I213"/>
  <c r="N213" s="1"/>
  <c r="K220"/>
  <c r="I220"/>
  <c r="N220" s="1"/>
  <c r="B252"/>
  <c r="B249"/>
  <c r="B251" s="1"/>
  <c r="AX7"/>
  <c r="K11"/>
  <c r="U11"/>
  <c r="AJ32" s="1"/>
  <c r="AE11"/>
  <c r="AK32" s="1"/>
  <c r="L12"/>
  <c r="V12"/>
  <c r="AW12" s="1"/>
  <c r="AF12"/>
  <c r="AX12" s="1"/>
  <c r="U13"/>
  <c r="AJ34" s="1"/>
  <c r="AE13"/>
  <c r="AK34" s="1"/>
  <c r="AP14"/>
  <c r="K15"/>
  <c r="U15"/>
  <c r="AJ36" s="1"/>
  <c r="AE15"/>
  <c r="AK36" s="1"/>
  <c r="AP16"/>
  <c r="AE17"/>
  <c r="AK38" s="1"/>
  <c r="L18"/>
  <c r="V18"/>
  <c r="AW18" s="1"/>
  <c r="AF18"/>
  <c r="AX18" s="1"/>
  <c r="AE19"/>
  <c r="AK40" s="1"/>
  <c r="AP20"/>
  <c r="K21"/>
  <c r="U21"/>
  <c r="AJ42" s="1"/>
  <c r="AE21"/>
  <c r="AK42" s="1"/>
  <c r="L22"/>
  <c r="V22"/>
  <c r="AW22" s="1"/>
  <c r="AF22"/>
  <c r="AX22" s="1"/>
  <c r="AE23"/>
  <c r="AK44" s="1"/>
  <c r="AP24"/>
  <c r="AR24" s="1"/>
  <c r="L32"/>
  <c r="AZ11" s="1"/>
  <c r="V32"/>
  <c r="BA11" s="1"/>
  <c r="AF32"/>
  <c r="BB11" s="1"/>
  <c r="K33"/>
  <c r="AM33" s="1"/>
  <c r="U33"/>
  <c r="AN33" s="1"/>
  <c r="AE33"/>
  <c r="L34"/>
  <c r="AZ13" s="1"/>
  <c r="V34"/>
  <c r="BA13" s="1"/>
  <c r="AF34"/>
  <c r="BB13" s="1"/>
  <c r="K35"/>
  <c r="U35"/>
  <c r="AN35" s="1"/>
  <c r="AE35"/>
  <c r="L36"/>
  <c r="AZ15" s="1"/>
  <c r="V36"/>
  <c r="BA15" s="1"/>
  <c r="AF36"/>
  <c r="BB15" s="1"/>
  <c r="U77"/>
  <c r="W77" s="1"/>
  <c r="AO38"/>
  <c r="U78"/>
  <c r="W78" s="1"/>
  <c r="AO40"/>
  <c r="U80"/>
  <c r="W80" s="1"/>
  <c r="AO41"/>
  <c r="U84"/>
  <c r="W84" s="1"/>
  <c r="AO44"/>
  <c r="U82"/>
  <c r="W82" s="1"/>
  <c r="U79"/>
  <c r="W79" s="1"/>
  <c r="I71"/>
  <c r="K71"/>
  <c r="K78"/>
  <c r="I78"/>
  <c r="O93"/>
  <c r="O95" s="1"/>
  <c r="O92"/>
  <c r="AA91"/>
  <c r="B113"/>
  <c r="B115" s="1"/>
  <c r="B116"/>
  <c r="B135"/>
  <c r="B136" s="1"/>
  <c r="B138" s="1"/>
  <c r="B132"/>
  <c r="B134" s="1"/>
  <c r="AA146"/>
  <c r="O148"/>
  <c r="O150" s="1"/>
  <c r="O147"/>
  <c r="B173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I215"/>
  <c r="N215" s="1"/>
  <c r="K215"/>
  <c r="Z215" s="1"/>
  <c r="O247"/>
  <c r="O249" s="1"/>
  <c r="O246"/>
  <c r="AA245"/>
  <c r="K37"/>
  <c r="AM37" s="1"/>
  <c r="AE37"/>
  <c r="AK170"/>
  <c r="V39"/>
  <c r="BA18" s="1"/>
  <c r="AF39"/>
  <c r="BB18" s="1"/>
  <c r="K43"/>
  <c r="AM43" s="1"/>
  <c r="U43"/>
  <c r="AN43" s="1"/>
  <c r="AE43"/>
  <c r="AO43" s="1"/>
  <c r="AP56"/>
  <c r="I72"/>
  <c r="I74"/>
  <c r="E81"/>
  <c r="I82"/>
  <c r="I85"/>
  <c r="O98"/>
  <c r="O99" s="1"/>
  <c r="O135"/>
  <c r="O136" s="1"/>
  <c r="O166"/>
  <c r="O192"/>
  <c r="O193" s="1"/>
  <c r="C203"/>
  <c r="I207"/>
  <c r="N207" s="1"/>
  <c r="K211"/>
  <c r="E216"/>
  <c r="I217"/>
  <c r="N217" s="1"/>
  <c r="O252"/>
  <c r="O253" s="1"/>
  <c r="AF36" i="20"/>
  <c r="BB15" s="1"/>
  <c r="AF35"/>
  <c r="BB14" s="1"/>
  <c r="AF34"/>
  <c r="BB13" s="1"/>
  <c r="V36"/>
  <c r="BA15" s="1"/>
  <c r="V35"/>
  <c r="BA14" s="1"/>
  <c r="V34"/>
  <c r="BA13" s="1"/>
  <c r="V32"/>
  <c r="BA11" s="1"/>
  <c r="L36"/>
  <c r="AZ15" s="1"/>
  <c r="L34"/>
  <c r="AZ13" s="1"/>
  <c r="L32"/>
  <c r="AZ11" s="1"/>
  <c r="V18"/>
  <c r="AW18" s="1"/>
  <c r="V15"/>
  <c r="AW15" s="1"/>
  <c r="V12"/>
  <c r="AW12" s="1"/>
  <c r="L18"/>
  <c r="AV18" s="1"/>
  <c r="L15"/>
  <c r="K15" s="1"/>
  <c r="L12"/>
  <c r="AV12" s="1"/>
  <c r="AE41"/>
  <c r="AE45"/>
  <c r="U45"/>
  <c r="AN45" s="1"/>
  <c r="K42"/>
  <c r="AM42" s="1"/>
  <c r="K45"/>
  <c r="AM45" s="1"/>
  <c r="AF14"/>
  <c r="AX14" s="1"/>
  <c r="AF16"/>
  <c r="AX16" s="1"/>
  <c r="AE20"/>
  <c r="AK41" s="1"/>
  <c r="U13"/>
  <c r="AJ34" s="1"/>
  <c r="U17"/>
  <c r="AJ38" s="1"/>
  <c r="U19"/>
  <c r="AJ40" s="1"/>
  <c r="U16"/>
  <c r="AJ37" s="1"/>
  <c r="U20"/>
  <c r="AJ41" s="1"/>
  <c r="U24"/>
  <c r="AJ45" s="1"/>
  <c r="U56"/>
  <c r="AJ60" s="1"/>
  <c r="K23"/>
  <c r="K56"/>
  <c r="AI60" s="1"/>
  <c r="AP60" s="1"/>
  <c r="W5"/>
  <c r="AX7" s="1"/>
  <c r="AL32"/>
  <c r="AY11"/>
  <c r="AY14"/>
  <c r="AL35"/>
  <c r="AV15"/>
  <c r="AL36"/>
  <c r="AY15"/>
  <c r="AV16"/>
  <c r="AL37"/>
  <c r="AY16"/>
  <c r="AP20"/>
  <c r="AV20"/>
  <c r="AL43"/>
  <c r="AY22"/>
  <c r="AV23"/>
  <c r="AL44"/>
  <c r="AY23"/>
  <c r="AP24"/>
  <c r="AV24"/>
  <c r="K13"/>
  <c r="K17"/>
  <c r="K19"/>
  <c r="AY12"/>
  <c r="AL33"/>
  <c r="AV13"/>
  <c r="AL34"/>
  <c r="AY13"/>
  <c r="AV14"/>
  <c r="AV17"/>
  <c r="AL38"/>
  <c r="AY17"/>
  <c r="AL39"/>
  <c r="AY18"/>
  <c r="AV19"/>
  <c r="AL40"/>
  <c r="AY19"/>
  <c r="AL41"/>
  <c r="AY20"/>
  <c r="AL42"/>
  <c r="AY21"/>
  <c r="AI44"/>
  <c r="AL45"/>
  <c r="AY24"/>
  <c r="BF24" s="1"/>
  <c r="AM26"/>
  <c r="AN26" s="1"/>
  <c r="AO26" s="1"/>
  <c r="AW26"/>
  <c r="BF23"/>
  <c r="AF37"/>
  <c r="BB16" s="1"/>
  <c r="AO40"/>
  <c r="AO41"/>
  <c r="AO44"/>
  <c r="I71"/>
  <c r="K71"/>
  <c r="I76"/>
  <c r="K76"/>
  <c r="K78"/>
  <c r="I78"/>
  <c r="B98"/>
  <c r="B99" s="1"/>
  <c r="B101" s="1"/>
  <c r="B95"/>
  <c r="B97" s="1"/>
  <c r="O110"/>
  <c r="AA109"/>
  <c r="O111"/>
  <c r="O113" s="1"/>
  <c r="O119"/>
  <c r="O121" s="1"/>
  <c r="O118"/>
  <c r="AA117"/>
  <c r="O130"/>
  <c r="O132" s="1"/>
  <c r="O129"/>
  <c r="AA128"/>
  <c r="B150"/>
  <c r="B152" s="1"/>
  <c r="B153"/>
  <c r="B154" s="1"/>
  <c r="B156" s="1"/>
  <c r="O156"/>
  <c r="O158" s="1"/>
  <c r="O155"/>
  <c r="AA154"/>
  <c r="AA174"/>
  <c r="O176"/>
  <c r="O178" s="1"/>
  <c r="O175"/>
  <c r="B192"/>
  <c r="B189"/>
  <c r="B191" s="1"/>
  <c r="K209"/>
  <c r="I209"/>
  <c r="N209" s="1"/>
  <c r="I211"/>
  <c r="N211" s="1"/>
  <c r="K211"/>
  <c r="K213"/>
  <c r="I213"/>
  <c r="N213" s="1"/>
  <c r="K220"/>
  <c r="I220"/>
  <c r="N220" s="1"/>
  <c r="O247"/>
  <c r="O249" s="1"/>
  <c r="O246"/>
  <c r="AA245"/>
  <c r="AG5"/>
  <c r="L11"/>
  <c r="K11" s="1"/>
  <c r="V11"/>
  <c r="AW11" s="1"/>
  <c r="AF11"/>
  <c r="AX11" s="1"/>
  <c r="K12"/>
  <c r="U12"/>
  <c r="AJ33" s="1"/>
  <c r="AE12"/>
  <c r="AK33" s="1"/>
  <c r="AF13"/>
  <c r="AX13" s="1"/>
  <c r="K14"/>
  <c r="U14"/>
  <c r="AJ35" s="1"/>
  <c r="AE14"/>
  <c r="AK35" s="1"/>
  <c r="AF15"/>
  <c r="AX15" s="1"/>
  <c r="K16"/>
  <c r="AE16"/>
  <c r="AK37" s="1"/>
  <c r="AF17"/>
  <c r="AX17" s="1"/>
  <c r="K18"/>
  <c r="U18"/>
  <c r="AJ39" s="1"/>
  <c r="AE18"/>
  <c r="AK39" s="1"/>
  <c r="AF19"/>
  <c r="AX19" s="1"/>
  <c r="K20"/>
  <c r="U80" s="1"/>
  <c r="W80" s="1"/>
  <c r="L21"/>
  <c r="V21"/>
  <c r="AW21" s="1"/>
  <c r="AF21"/>
  <c r="AX21" s="1"/>
  <c r="L22"/>
  <c r="V22"/>
  <c r="AW22" s="1"/>
  <c r="AF22"/>
  <c r="AX22" s="1"/>
  <c r="AF23"/>
  <c r="AX23" s="1"/>
  <c r="K24"/>
  <c r="U83" s="1"/>
  <c r="W83" s="1"/>
  <c r="AR24"/>
  <c r="BE24"/>
  <c r="K32"/>
  <c r="AM32" s="1"/>
  <c r="U32"/>
  <c r="AN32" s="1"/>
  <c r="AE32"/>
  <c r="L33"/>
  <c r="AZ12" s="1"/>
  <c r="V33"/>
  <c r="BA12" s="1"/>
  <c r="AF33"/>
  <c r="BB12" s="1"/>
  <c r="K34"/>
  <c r="AM34" s="1"/>
  <c r="U34"/>
  <c r="AN34" s="1"/>
  <c r="AE34"/>
  <c r="L35"/>
  <c r="AZ14" s="1"/>
  <c r="K36"/>
  <c r="AM36" s="1"/>
  <c r="AE36"/>
  <c r="K37"/>
  <c r="AM37" s="1"/>
  <c r="AO38"/>
  <c r="AO45"/>
  <c r="I69"/>
  <c r="C69"/>
  <c r="I73"/>
  <c r="K73"/>
  <c r="I80"/>
  <c r="K80"/>
  <c r="Z80" s="1"/>
  <c r="O93"/>
  <c r="O95" s="1"/>
  <c r="O92"/>
  <c r="AA91"/>
  <c r="B113"/>
  <c r="B115" s="1"/>
  <c r="B116"/>
  <c r="B117" s="1"/>
  <c r="B119" s="1"/>
  <c r="B135"/>
  <c r="B132"/>
  <c r="B134" s="1"/>
  <c r="AA146"/>
  <c r="O148"/>
  <c r="O150" s="1"/>
  <c r="O147"/>
  <c r="B173"/>
  <c r="B174" s="1"/>
  <c r="B176" s="1"/>
  <c r="B170"/>
  <c r="B172" s="1"/>
  <c r="O187"/>
  <c r="O189" s="1"/>
  <c r="O186"/>
  <c r="AA185"/>
  <c r="I206"/>
  <c r="N206" s="1"/>
  <c r="K206"/>
  <c r="I208"/>
  <c r="N208" s="1"/>
  <c r="K208"/>
  <c r="K210"/>
  <c r="I210"/>
  <c r="N210" s="1"/>
  <c r="K212"/>
  <c r="I212"/>
  <c r="N212" s="1"/>
  <c r="I215"/>
  <c r="N215" s="1"/>
  <c r="K215"/>
  <c r="Z215" s="1"/>
  <c r="B252"/>
  <c r="B249"/>
  <c r="B251" s="1"/>
  <c r="U37"/>
  <c r="AN37" s="1"/>
  <c r="AK170"/>
  <c r="L39"/>
  <c r="AZ18" s="1"/>
  <c r="V39"/>
  <c r="BA18" s="1"/>
  <c r="AF39"/>
  <c r="BB18" s="1"/>
  <c r="V42"/>
  <c r="BA21" s="1"/>
  <c r="AF42"/>
  <c r="BB21" s="1"/>
  <c r="K43"/>
  <c r="AM43" s="1"/>
  <c r="U43"/>
  <c r="AN43" s="1"/>
  <c r="AE43"/>
  <c r="AO43" s="1"/>
  <c r="AP56"/>
  <c r="I72"/>
  <c r="I74"/>
  <c r="I75"/>
  <c r="I77"/>
  <c r="I81"/>
  <c r="I82"/>
  <c r="I85"/>
  <c r="O98"/>
  <c r="O99" s="1"/>
  <c r="O135"/>
  <c r="O136" s="1"/>
  <c r="O166"/>
  <c r="O192"/>
  <c r="O193" s="1"/>
  <c r="C203"/>
  <c r="I207"/>
  <c r="N207" s="1"/>
  <c r="I216"/>
  <c r="N216" s="1"/>
  <c r="I217"/>
  <c r="N217" s="1"/>
  <c r="AD236"/>
  <c r="AD238" s="1"/>
  <c r="O252"/>
  <c r="O253" s="1"/>
  <c r="AD236" i="19"/>
  <c r="AD238" s="1"/>
  <c r="I206"/>
  <c r="K206"/>
  <c r="I208"/>
  <c r="K208"/>
  <c r="K210"/>
  <c r="I210"/>
  <c r="N211"/>
  <c r="K212"/>
  <c r="I212"/>
  <c r="N219"/>
  <c r="K220"/>
  <c r="I220"/>
  <c r="N203"/>
  <c r="K209"/>
  <c r="I209"/>
  <c r="K213"/>
  <c r="I213"/>
  <c r="I215"/>
  <c r="K215"/>
  <c r="Z215" s="1"/>
  <c r="C203"/>
  <c r="I207"/>
  <c r="K211"/>
  <c r="I216"/>
  <c r="N217"/>
  <c r="X236"/>
  <c r="B183"/>
  <c r="B184" s="1"/>
  <c r="B185" s="1"/>
  <c r="B187" s="1"/>
  <c r="O195"/>
  <c r="O197" s="1"/>
  <c r="O194"/>
  <c r="AA193"/>
  <c r="B189"/>
  <c r="B191" s="1"/>
  <c r="B192"/>
  <c r="O185"/>
  <c r="AN22"/>
  <c r="AN21"/>
  <c r="AE42" i="18"/>
  <c r="AD270" i="19"/>
  <c r="U270"/>
  <c r="X270" s="1"/>
  <c r="R270"/>
  <c r="AD269"/>
  <c r="U269"/>
  <c r="X269" s="1"/>
  <c r="R269"/>
  <c r="AD268"/>
  <c r="U268"/>
  <c r="X268" s="1"/>
  <c r="R268"/>
  <c r="AD267"/>
  <c r="U267"/>
  <c r="X267" s="1"/>
  <c r="R267"/>
  <c r="AD266"/>
  <c r="U266"/>
  <c r="X266" s="1"/>
  <c r="R266"/>
  <c r="AD265"/>
  <c r="U265"/>
  <c r="X265" s="1"/>
  <c r="R265"/>
  <c r="AD264"/>
  <c r="AD271" s="1"/>
  <c r="U264"/>
  <c r="X264" s="1"/>
  <c r="X271" s="1"/>
  <c r="AD273" s="1"/>
  <c r="R264"/>
  <c r="O244"/>
  <c r="O245" s="1"/>
  <c r="B243"/>
  <c r="B244" s="1"/>
  <c r="B245" s="1"/>
  <c r="B247" s="1"/>
  <c r="AJ169"/>
  <c r="AG169"/>
  <c r="AJ168"/>
  <c r="AG168"/>
  <c r="AJ167"/>
  <c r="AG167"/>
  <c r="AG166"/>
  <c r="AJ166" s="1"/>
  <c r="AJ165"/>
  <c r="O165"/>
  <c r="O173" s="1"/>
  <c r="O174" s="1"/>
  <c r="B165"/>
  <c r="B166" s="1"/>
  <c r="B168" s="1"/>
  <c r="B164"/>
  <c r="O145"/>
  <c r="O146" s="1"/>
  <c r="B144"/>
  <c r="B145" s="1"/>
  <c r="B146" s="1"/>
  <c r="B148" s="1"/>
  <c r="O127"/>
  <c r="O135" s="1"/>
  <c r="O136" s="1"/>
  <c r="B126"/>
  <c r="B127" s="1"/>
  <c r="B128" s="1"/>
  <c r="B130" s="1"/>
  <c r="AI113"/>
  <c r="AE113"/>
  <c r="AI109"/>
  <c r="AI110" s="1"/>
  <c r="O108"/>
  <c r="O109" s="1"/>
  <c r="B107"/>
  <c r="B108" s="1"/>
  <c r="B109" s="1"/>
  <c r="B111" s="1"/>
  <c r="O90"/>
  <c r="O98" s="1"/>
  <c r="O99" s="1"/>
  <c r="B89"/>
  <c r="B90" s="1"/>
  <c r="B91" s="1"/>
  <c r="B93" s="1"/>
  <c r="X85"/>
  <c r="U85"/>
  <c r="W85" s="1"/>
  <c r="C85"/>
  <c r="E85" s="1"/>
  <c r="X84"/>
  <c r="G84"/>
  <c r="K84" s="1"/>
  <c r="E84"/>
  <c r="I84" s="1"/>
  <c r="N84" s="1"/>
  <c r="AF83"/>
  <c r="X83"/>
  <c r="K83"/>
  <c r="I83"/>
  <c r="N83" s="1"/>
  <c r="C83"/>
  <c r="E83" s="1"/>
  <c r="X82"/>
  <c r="G82"/>
  <c r="I82" s="1"/>
  <c r="N82" s="1"/>
  <c r="C82"/>
  <c r="E82" s="1"/>
  <c r="X81"/>
  <c r="E81"/>
  <c r="I81" s="1"/>
  <c r="N81" s="1"/>
  <c r="C81"/>
  <c r="G81" s="1"/>
  <c r="X80"/>
  <c r="C80"/>
  <c r="E80" s="1"/>
  <c r="X79"/>
  <c r="N79"/>
  <c r="K79"/>
  <c r="X78"/>
  <c r="C78"/>
  <c r="E78" s="1"/>
  <c r="X77"/>
  <c r="S77"/>
  <c r="C77"/>
  <c r="E77" s="1"/>
  <c r="X76"/>
  <c r="E76"/>
  <c r="K76" s="1"/>
  <c r="C76"/>
  <c r="X75"/>
  <c r="C75"/>
  <c r="E75" s="1"/>
  <c r="X74"/>
  <c r="S74"/>
  <c r="C74"/>
  <c r="E74" s="1"/>
  <c r="X73"/>
  <c r="E73"/>
  <c r="K73" s="1"/>
  <c r="C73"/>
  <c r="X72"/>
  <c r="C72"/>
  <c r="E72" s="1"/>
  <c r="X71"/>
  <c r="E71"/>
  <c r="K71" s="1"/>
  <c r="C71"/>
  <c r="K69"/>
  <c r="E69" s="1"/>
  <c r="I69" s="1"/>
  <c r="Q214" s="1"/>
  <c r="E68"/>
  <c r="I68" s="1"/>
  <c r="N68" s="1"/>
  <c r="AH64"/>
  <c r="AF60"/>
  <c r="AC60"/>
  <c r="AE60" s="1"/>
  <c r="AO60" s="1"/>
  <c r="Z60"/>
  <c r="V60"/>
  <c r="S60"/>
  <c r="U60" s="1"/>
  <c r="AN60" s="1"/>
  <c r="P60"/>
  <c r="L60"/>
  <c r="I60"/>
  <c r="K60" s="1"/>
  <c r="AM60" s="1"/>
  <c r="F60"/>
  <c r="BB56"/>
  <c r="BA56"/>
  <c r="AZ56"/>
  <c r="AM56"/>
  <c r="AL60" s="1"/>
  <c r="AJ56"/>
  <c r="AO56" s="1"/>
  <c r="AY56" s="1"/>
  <c r="AF56"/>
  <c r="AX56" s="1"/>
  <c r="AC56"/>
  <c r="Z56"/>
  <c r="V56"/>
  <c r="AW56" s="1"/>
  <c r="S56"/>
  <c r="P56"/>
  <c r="L56"/>
  <c r="AV56" s="1"/>
  <c r="I56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AC44"/>
  <c r="AE44" s="1"/>
  <c r="Z44"/>
  <c r="V44"/>
  <c r="S44"/>
  <c r="U44" s="1"/>
  <c r="AN44" s="1"/>
  <c r="P44"/>
  <c r="I44"/>
  <c r="F44"/>
  <c r="AC43"/>
  <c r="Z43"/>
  <c r="AF43" s="1"/>
  <c r="S43"/>
  <c r="P43"/>
  <c r="V43" s="1"/>
  <c r="I43"/>
  <c r="F43"/>
  <c r="L43" s="1"/>
  <c r="AZ22" s="1"/>
  <c r="AC42"/>
  <c r="Z42"/>
  <c r="S42"/>
  <c r="P42"/>
  <c r="I42"/>
  <c r="F42"/>
  <c r="AF41"/>
  <c r="AC41"/>
  <c r="AE41" s="1"/>
  <c r="Z41"/>
  <c r="V41"/>
  <c r="S41"/>
  <c r="U41" s="1"/>
  <c r="AN41" s="1"/>
  <c r="P41"/>
  <c r="L41"/>
  <c r="I41"/>
  <c r="K41" s="1"/>
  <c r="AM41" s="1"/>
  <c r="F41"/>
  <c r="AF40"/>
  <c r="AC40"/>
  <c r="Z40"/>
  <c r="AE40" s="1"/>
  <c r="V40"/>
  <c r="S40"/>
  <c r="P40"/>
  <c r="U40" s="1"/>
  <c r="AN40" s="1"/>
  <c r="L40"/>
  <c r="I40"/>
  <c r="F40"/>
  <c r="K40" s="1"/>
  <c r="AM40" s="1"/>
  <c r="AC39"/>
  <c r="Z39"/>
  <c r="S39"/>
  <c r="P39"/>
  <c r="I39"/>
  <c r="F39"/>
  <c r="AC38"/>
  <c r="Z38"/>
  <c r="AF38" s="1"/>
  <c r="V38"/>
  <c r="S38"/>
  <c r="P38"/>
  <c r="U38" s="1"/>
  <c r="AN38" s="1"/>
  <c r="I38"/>
  <c r="F38"/>
  <c r="L38" s="1"/>
  <c r="AC37"/>
  <c r="Z37"/>
  <c r="S37"/>
  <c r="P37"/>
  <c r="I37"/>
  <c r="F37"/>
  <c r="AC36"/>
  <c r="Z36"/>
  <c r="AF36" s="1"/>
  <c r="S36"/>
  <c r="P36"/>
  <c r="V36" s="1"/>
  <c r="I36"/>
  <c r="F36"/>
  <c r="L36" s="1"/>
  <c r="AC35"/>
  <c r="Z35"/>
  <c r="S35"/>
  <c r="P35"/>
  <c r="I35"/>
  <c r="F35"/>
  <c r="AC34"/>
  <c r="Z34"/>
  <c r="AF34" s="1"/>
  <c r="S34"/>
  <c r="P34"/>
  <c r="V34" s="1"/>
  <c r="I34"/>
  <c r="F34"/>
  <c r="L34" s="1"/>
  <c r="AC33"/>
  <c r="Z33"/>
  <c r="S33"/>
  <c r="P33"/>
  <c r="I33"/>
  <c r="F33"/>
  <c r="AC32"/>
  <c r="Z32"/>
  <c r="AF32" s="1"/>
  <c r="S32"/>
  <c r="P32"/>
  <c r="V32" s="1"/>
  <c r="BA11" s="1"/>
  <c r="I32"/>
  <c r="F32"/>
  <c r="L32" s="1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L24"/>
  <c r="I24"/>
  <c r="F24"/>
  <c r="B24"/>
  <c r="B45" s="1"/>
  <c r="BD23"/>
  <c r="BB23"/>
  <c r="BA23"/>
  <c r="AM23"/>
  <c r="AJ23"/>
  <c r="AO23" s="1"/>
  <c r="AC23"/>
  <c r="Z23"/>
  <c r="V23"/>
  <c r="AW23" s="1"/>
  <c r="S23"/>
  <c r="P23"/>
  <c r="U23" s="1"/>
  <c r="AJ44" s="1"/>
  <c r="L23"/>
  <c r="AV23" s="1"/>
  <c r="I23"/>
  <c r="F23"/>
  <c r="K23" s="1"/>
  <c r="B23"/>
  <c r="B44" s="1"/>
  <c r="BD22"/>
  <c r="BB22"/>
  <c r="BA22"/>
  <c r="AM22"/>
  <c r="AJ22"/>
  <c r="AO22" s="1"/>
  <c r="AC22"/>
  <c r="Z22"/>
  <c r="S22"/>
  <c r="P22"/>
  <c r="I22"/>
  <c r="F22"/>
  <c r="B22"/>
  <c r="B43" s="1"/>
  <c r="BD21"/>
  <c r="AM21"/>
  <c r="AJ21"/>
  <c r="AO21" s="1"/>
  <c r="AC21"/>
  <c r="Z2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I20"/>
  <c r="F20"/>
  <c r="B20"/>
  <c r="B41" s="1"/>
  <c r="BB19"/>
  <c r="BA19"/>
  <c r="AZ19"/>
  <c r="AM19"/>
  <c r="AJ19"/>
  <c r="AO19" s="1"/>
  <c r="AC19"/>
  <c r="Z19"/>
  <c r="V19"/>
  <c r="AW19" s="1"/>
  <c r="S19"/>
  <c r="P19"/>
  <c r="U19" s="1"/>
  <c r="AJ40" s="1"/>
  <c r="L19"/>
  <c r="AV19" s="1"/>
  <c r="I19"/>
  <c r="F19"/>
  <c r="K19" s="1"/>
  <c r="B19"/>
  <c r="B40" s="1"/>
  <c r="AM18"/>
  <c r="AJ18"/>
  <c r="AO18" s="1"/>
  <c r="AC18"/>
  <c r="Z18"/>
  <c r="S18"/>
  <c r="P18"/>
  <c r="I18"/>
  <c r="F18"/>
  <c r="B18"/>
  <c r="B39" s="1"/>
  <c r="BB17"/>
  <c r="BA17"/>
  <c r="AZ17"/>
  <c r="AM17"/>
  <c r="AJ17"/>
  <c r="AO17" s="1"/>
  <c r="AC17"/>
  <c r="Z17"/>
  <c r="V17"/>
  <c r="AW17" s="1"/>
  <c r="S17"/>
  <c r="P17"/>
  <c r="U17" s="1"/>
  <c r="AJ38" s="1"/>
  <c r="I17"/>
  <c r="F17"/>
  <c r="B17"/>
  <c r="B38" s="1"/>
  <c r="AM16"/>
  <c r="AJ16"/>
  <c r="AO16" s="1"/>
  <c r="AC16"/>
  <c r="Z16"/>
  <c r="S16"/>
  <c r="V16" s="1"/>
  <c r="AW16" s="1"/>
  <c r="P16"/>
  <c r="I16"/>
  <c r="L16" s="1"/>
  <c r="F16"/>
  <c r="B16"/>
  <c r="B37" s="1"/>
  <c r="BB15"/>
  <c r="BA15"/>
  <c r="AZ15"/>
  <c r="AM15"/>
  <c r="AJ15"/>
  <c r="AO15" s="1"/>
  <c r="AC15"/>
  <c r="Z15"/>
  <c r="S15"/>
  <c r="P15"/>
  <c r="I15"/>
  <c r="F15"/>
  <c r="B15"/>
  <c r="B36" s="1"/>
  <c r="AM14"/>
  <c r="AJ14"/>
  <c r="AO14" s="1"/>
  <c r="AC14"/>
  <c r="Z14"/>
  <c r="S14"/>
  <c r="P14"/>
  <c r="I14"/>
  <c r="F14"/>
  <c r="B14"/>
  <c r="B35" s="1"/>
  <c r="BB13"/>
  <c r="BA13"/>
  <c r="AZ13"/>
  <c r="AM13"/>
  <c r="AJ13"/>
  <c r="AC13"/>
  <c r="Z13"/>
  <c r="AF13" s="1"/>
  <c r="AX13" s="1"/>
  <c r="S13"/>
  <c r="V13" s="1"/>
  <c r="AW13" s="1"/>
  <c r="P13"/>
  <c r="I13"/>
  <c r="L13" s="1"/>
  <c r="F13"/>
  <c r="B13"/>
  <c r="B34" s="1"/>
  <c r="AM12"/>
  <c r="AJ12"/>
  <c r="AO12" s="1"/>
  <c r="AC12"/>
  <c r="Z12"/>
  <c r="AF12" s="1"/>
  <c r="AX12" s="1"/>
  <c r="S12"/>
  <c r="P12"/>
  <c r="I12"/>
  <c r="F12"/>
  <c r="B12"/>
  <c r="B33" s="1"/>
  <c r="BB11"/>
  <c r="AZ11"/>
  <c r="AM11"/>
  <c r="AJ11"/>
  <c r="AO11" s="1"/>
  <c r="AC11"/>
  <c r="Z11"/>
  <c r="AF11" s="1"/>
  <c r="AX11" s="1"/>
  <c r="S11"/>
  <c r="P11"/>
  <c r="I11"/>
  <c r="F11"/>
  <c r="B11"/>
  <c r="B32" s="1"/>
  <c r="AV7"/>
  <c r="M5"/>
  <c r="AW7" s="1"/>
  <c r="AN13" i="18"/>
  <c r="W26" i="31" l="1"/>
  <c r="BA7"/>
  <c r="BB7" i="30"/>
  <c r="B1"/>
  <c r="B3" s="1"/>
  <c r="BB7" i="29"/>
  <c r="B1"/>
  <c r="B3" s="1"/>
  <c r="BB7" i="26"/>
  <c r="B1"/>
  <c r="B3" s="1"/>
  <c r="AR16" i="25"/>
  <c r="BE18"/>
  <c r="AT42"/>
  <c r="AT21" s="1"/>
  <c r="AP43"/>
  <c r="AP39"/>
  <c r="BE23"/>
  <c r="AT35"/>
  <c r="AT14" s="1"/>
  <c r="AP38"/>
  <c r="AT39"/>
  <c r="AT18" s="1"/>
  <c r="U74"/>
  <c r="W74" s="1"/>
  <c r="N216"/>
  <c r="Q216"/>
  <c r="AM35"/>
  <c r="AP37"/>
  <c r="AT43"/>
  <c r="AT22" s="1"/>
  <c r="U76"/>
  <c r="W76" s="1"/>
  <c r="B193"/>
  <c r="B195" s="1"/>
  <c r="AZ27"/>
  <c r="BD29" s="1"/>
  <c r="U79"/>
  <c r="W79" s="1"/>
  <c r="U82"/>
  <c r="W82" s="1"/>
  <c r="AT44"/>
  <c r="AT23" s="1"/>
  <c r="U73"/>
  <c r="W73" s="1"/>
  <c r="AO34"/>
  <c r="C58"/>
  <c r="M58" s="1"/>
  <c r="W58" s="1"/>
  <c r="M26"/>
  <c r="AZ7"/>
  <c r="AA193"/>
  <c r="O195"/>
  <c r="O197" s="1"/>
  <c r="O194"/>
  <c r="U72"/>
  <c r="W72" s="1"/>
  <c r="AO33"/>
  <c r="BF56"/>
  <c r="BE56"/>
  <c r="AR56"/>
  <c r="AT32"/>
  <c r="AT33"/>
  <c r="AT12" s="1"/>
  <c r="U71"/>
  <c r="W71" s="1"/>
  <c r="U75"/>
  <c r="W75" s="1"/>
  <c r="AP34"/>
  <c r="AI36"/>
  <c r="AP36" s="1"/>
  <c r="AT36"/>
  <c r="AT15" s="1"/>
  <c r="AR17"/>
  <c r="BE17"/>
  <c r="AR13"/>
  <c r="BE13"/>
  <c r="BE15"/>
  <c r="AR15"/>
  <c r="BF20"/>
  <c r="BE20"/>
  <c r="AR20"/>
  <c r="O187"/>
  <c r="O189" s="1"/>
  <c r="O186"/>
  <c r="AA185"/>
  <c r="BE12"/>
  <c r="AR12"/>
  <c r="BE11"/>
  <c r="AR11"/>
  <c r="BF11"/>
  <c r="BF25" s="1"/>
  <c r="AR46"/>
  <c r="AP32"/>
  <c r="AP33"/>
  <c r="AP35"/>
  <c r="AP44"/>
  <c r="AT34"/>
  <c r="AT13" s="1"/>
  <c r="U76" i="24"/>
  <c r="W76" s="1"/>
  <c r="BE12"/>
  <c r="AR12"/>
  <c r="BF12"/>
  <c r="BE14"/>
  <c r="AR14"/>
  <c r="BF14"/>
  <c r="BE18"/>
  <c r="AR18"/>
  <c r="BF18"/>
  <c r="BF15"/>
  <c r="BE15"/>
  <c r="AR15"/>
  <c r="BF17"/>
  <c r="BE17"/>
  <c r="AR17"/>
  <c r="BE20"/>
  <c r="AR20"/>
  <c r="BF20"/>
  <c r="AM38"/>
  <c r="AP38" s="1"/>
  <c r="AT38"/>
  <c r="AT17" s="1"/>
  <c r="U77"/>
  <c r="W77" s="1"/>
  <c r="U71"/>
  <c r="W71" s="1"/>
  <c r="AO32"/>
  <c r="BF56"/>
  <c r="BE56"/>
  <c r="AR56"/>
  <c r="AR46"/>
  <c r="U72"/>
  <c r="W72" s="1"/>
  <c r="AP32"/>
  <c r="AT35"/>
  <c r="AT14" s="1"/>
  <c r="AI39"/>
  <c r="AP39" s="1"/>
  <c r="AT39"/>
  <c r="AT18" s="1"/>
  <c r="U75"/>
  <c r="W75" s="1"/>
  <c r="AO36"/>
  <c r="AP36" s="1"/>
  <c r="AT33"/>
  <c r="AT12" s="1"/>
  <c r="AI33"/>
  <c r="AP33" s="1"/>
  <c r="AI43"/>
  <c r="AP43" s="1"/>
  <c r="AT43"/>
  <c r="AT22" s="1"/>
  <c r="BF19"/>
  <c r="BE19"/>
  <c r="AR19"/>
  <c r="BE22"/>
  <c r="AR22"/>
  <c r="U73"/>
  <c r="W73" s="1"/>
  <c r="AO34"/>
  <c r="AP34" s="1"/>
  <c r="W26"/>
  <c r="BA7"/>
  <c r="BF11"/>
  <c r="BE11"/>
  <c r="AR11"/>
  <c r="BF13"/>
  <c r="BE13"/>
  <c r="AR13"/>
  <c r="BE16"/>
  <c r="AR16"/>
  <c r="BF16"/>
  <c r="AT32"/>
  <c r="AT34"/>
  <c r="AT13" s="1"/>
  <c r="AT36"/>
  <c r="AT15" s="1"/>
  <c r="AP35"/>
  <c r="AT33" i="23"/>
  <c r="AT12" s="1"/>
  <c r="U73"/>
  <c r="W73" s="1"/>
  <c r="AR46"/>
  <c r="AT36"/>
  <c r="AT15" s="1"/>
  <c r="AI36"/>
  <c r="AP36" s="1"/>
  <c r="U74"/>
  <c r="W74" s="1"/>
  <c r="AO35"/>
  <c r="AP35" s="1"/>
  <c r="BF18"/>
  <c r="BE18"/>
  <c r="AR18"/>
  <c r="BE15"/>
  <c r="AR15"/>
  <c r="BF15"/>
  <c r="BE17"/>
  <c r="AR17"/>
  <c r="BF17"/>
  <c r="BF14"/>
  <c r="BE14"/>
  <c r="AR14"/>
  <c r="BF22"/>
  <c r="BE22"/>
  <c r="AR22"/>
  <c r="AJ34"/>
  <c r="AP34" s="1"/>
  <c r="AT34"/>
  <c r="AT13" s="1"/>
  <c r="BE13"/>
  <c r="AR13"/>
  <c r="BF13"/>
  <c r="BF16"/>
  <c r="BE16"/>
  <c r="AR16"/>
  <c r="BF20"/>
  <c r="BE20"/>
  <c r="AR20"/>
  <c r="BF12"/>
  <c r="BE12"/>
  <c r="AR12"/>
  <c r="N81"/>
  <c r="BD21"/>
  <c r="BE56"/>
  <c r="AR56"/>
  <c r="BF56"/>
  <c r="AT11"/>
  <c r="AT60"/>
  <c r="AT56" s="1"/>
  <c r="AP39"/>
  <c r="U75"/>
  <c r="W75" s="1"/>
  <c r="C58"/>
  <c r="M58" s="1"/>
  <c r="W58" s="1"/>
  <c r="M26"/>
  <c r="AZ7"/>
  <c r="BE19"/>
  <c r="AR19"/>
  <c r="BF19"/>
  <c r="U72"/>
  <c r="W72" s="1"/>
  <c r="AO33"/>
  <c r="BE11"/>
  <c r="AR11"/>
  <c r="BF11"/>
  <c r="AP33"/>
  <c r="AT35"/>
  <c r="AT14" s="1"/>
  <c r="AT39"/>
  <c r="AT18" s="1"/>
  <c r="AP32"/>
  <c r="AE39" i="22"/>
  <c r="AO39" s="1"/>
  <c r="K32"/>
  <c r="AM32" s="1"/>
  <c r="K39"/>
  <c r="AM39" s="1"/>
  <c r="AA166"/>
  <c r="O168"/>
  <c r="O170" s="1"/>
  <c r="O167"/>
  <c r="O110"/>
  <c r="AA109"/>
  <c r="O111"/>
  <c r="O113" s="1"/>
  <c r="N85"/>
  <c r="BD56"/>
  <c r="K81"/>
  <c r="I81"/>
  <c r="N72"/>
  <c r="BD12"/>
  <c r="N80"/>
  <c r="BD20"/>
  <c r="N76"/>
  <c r="BD16"/>
  <c r="N73"/>
  <c r="BD13"/>
  <c r="Q220"/>
  <c r="Q217"/>
  <c r="Q216"/>
  <c r="Q214"/>
  <c r="Q213"/>
  <c r="Q212"/>
  <c r="Q210"/>
  <c r="Q209"/>
  <c r="Q207"/>
  <c r="Q85"/>
  <c r="AR60" s="1"/>
  <c r="Q82"/>
  <c r="AR43" s="1"/>
  <c r="Q81"/>
  <c r="AR42" s="1"/>
  <c r="Q79"/>
  <c r="Q78"/>
  <c r="Q77"/>
  <c r="AR38" s="1"/>
  <c r="Q75"/>
  <c r="AR36" s="1"/>
  <c r="Q74"/>
  <c r="AR35" s="1"/>
  <c r="Q72"/>
  <c r="AR33" s="1"/>
  <c r="N69"/>
  <c r="Q219"/>
  <c r="Q218"/>
  <c r="Q215"/>
  <c r="Q211"/>
  <c r="Q208"/>
  <c r="Q206"/>
  <c r="Q204"/>
  <c r="Q203"/>
  <c r="Q84"/>
  <c r="AR45" s="1"/>
  <c r="Q83"/>
  <c r="Q80"/>
  <c r="Q76"/>
  <c r="Q73"/>
  <c r="AR34" s="1"/>
  <c r="Q71"/>
  <c r="AR32" s="1"/>
  <c r="Q69"/>
  <c r="Q68"/>
  <c r="AA193"/>
  <c r="O195"/>
  <c r="O197" s="1"/>
  <c r="O194"/>
  <c r="AA136"/>
  <c r="O138"/>
  <c r="O140" s="1"/>
  <c r="O137"/>
  <c r="AA99"/>
  <c r="O101"/>
  <c r="O103" s="1"/>
  <c r="O100"/>
  <c r="N82"/>
  <c r="BD22"/>
  <c r="N74"/>
  <c r="BD14"/>
  <c r="N77"/>
  <c r="BD17"/>
  <c r="N75"/>
  <c r="BD15"/>
  <c r="AO36"/>
  <c r="AO34"/>
  <c r="AO32"/>
  <c r="AV15"/>
  <c r="AP15"/>
  <c r="AV13"/>
  <c r="AP13"/>
  <c r="AV11"/>
  <c r="AZ27" s="1"/>
  <c r="BD29" s="1"/>
  <c r="AP11"/>
  <c r="N71"/>
  <c r="BD11"/>
  <c r="U39"/>
  <c r="AN39" s="1"/>
  <c r="B136"/>
  <c r="B138" s="1"/>
  <c r="B253"/>
  <c r="B255" s="1"/>
  <c r="B193"/>
  <c r="B195" s="1"/>
  <c r="B117"/>
  <c r="B119" s="1"/>
  <c r="AP21"/>
  <c r="AP19"/>
  <c r="AP17"/>
  <c r="U15"/>
  <c r="AJ36" s="1"/>
  <c r="AE13"/>
  <c r="AK34" s="1"/>
  <c r="K13"/>
  <c r="U11"/>
  <c r="AJ32" s="1"/>
  <c r="AP41"/>
  <c r="AE35"/>
  <c r="K35"/>
  <c r="U33"/>
  <c r="AN33" s="1"/>
  <c r="AP23"/>
  <c r="AT43"/>
  <c r="AT22" s="1"/>
  <c r="AI43"/>
  <c r="AP43" s="1"/>
  <c r="AI39"/>
  <c r="AT39"/>
  <c r="AT18" s="1"/>
  <c r="AI35"/>
  <c r="AI33"/>
  <c r="C26"/>
  <c r="AY7"/>
  <c r="N78"/>
  <c r="BD18"/>
  <c r="BD19"/>
  <c r="AE21"/>
  <c r="AE19"/>
  <c r="AE17"/>
  <c r="AE15"/>
  <c r="AK36" s="1"/>
  <c r="K15"/>
  <c r="U13"/>
  <c r="AJ34" s="1"/>
  <c r="AE11"/>
  <c r="AK32" s="1"/>
  <c r="K11"/>
  <c r="AP45"/>
  <c r="AP18"/>
  <c r="AP37"/>
  <c r="AP14"/>
  <c r="AP12"/>
  <c r="U35"/>
  <c r="AN35" s="1"/>
  <c r="AE33"/>
  <c r="K33"/>
  <c r="AM33" s="1"/>
  <c r="AE23"/>
  <c r="K13" i="21"/>
  <c r="AI34" s="1"/>
  <c r="U36"/>
  <c r="AN36" s="1"/>
  <c r="U32"/>
  <c r="AN32" s="1"/>
  <c r="U18"/>
  <c r="AJ39" s="1"/>
  <c r="AA99"/>
  <c r="O101"/>
  <c r="O103" s="1"/>
  <c r="O100"/>
  <c r="AV22"/>
  <c r="AP22"/>
  <c r="AV18"/>
  <c r="AP18"/>
  <c r="AI32"/>
  <c r="N80"/>
  <c r="BD20"/>
  <c r="N76"/>
  <c r="BD16"/>
  <c r="N73"/>
  <c r="BD13"/>
  <c r="Q220"/>
  <c r="Q217"/>
  <c r="Q214"/>
  <c r="Q213"/>
  <c r="Q212"/>
  <c r="Q210"/>
  <c r="Q209"/>
  <c r="Q207"/>
  <c r="Q85"/>
  <c r="AR60" s="1"/>
  <c r="Q82"/>
  <c r="AR43" s="1"/>
  <c r="Q79"/>
  <c r="Q78"/>
  <c r="AR40" s="1"/>
  <c r="Q77"/>
  <c r="AR38" s="1"/>
  <c r="Q75"/>
  <c r="AR36" s="1"/>
  <c r="Q74"/>
  <c r="AR35" s="1"/>
  <c r="Q72"/>
  <c r="AR33" s="1"/>
  <c r="N69"/>
  <c r="Q219"/>
  <c r="Q218"/>
  <c r="Q215"/>
  <c r="Q211"/>
  <c r="Q208"/>
  <c r="Q206"/>
  <c r="Q204"/>
  <c r="Q203"/>
  <c r="Q84"/>
  <c r="AR45" s="1"/>
  <c r="Q83"/>
  <c r="Q80"/>
  <c r="Q76"/>
  <c r="Q73"/>
  <c r="AR34" s="1"/>
  <c r="Q71"/>
  <c r="AR32" s="1"/>
  <c r="Q69"/>
  <c r="Q68"/>
  <c r="AA253"/>
  <c r="O255"/>
  <c r="O257" s="1"/>
  <c r="O254"/>
  <c r="K216"/>
  <c r="I216"/>
  <c r="N216" s="1"/>
  <c r="AA193"/>
  <c r="O195"/>
  <c r="O197" s="1"/>
  <c r="O194"/>
  <c r="AA136"/>
  <c r="O138"/>
  <c r="O140" s="1"/>
  <c r="O137"/>
  <c r="N85"/>
  <c r="BD56"/>
  <c r="K81"/>
  <c r="I81"/>
  <c r="N72"/>
  <c r="BD12"/>
  <c r="U76"/>
  <c r="W76" s="1"/>
  <c r="AO37"/>
  <c r="N71"/>
  <c r="BD11"/>
  <c r="U74"/>
  <c r="W74" s="1"/>
  <c r="AO35"/>
  <c r="AT60" s="1"/>
  <c r="AT56" s="1"/>
  <c r="AM35"/>
  <c r="AO33"/>
  <c r="AI42"/>
  <c r="AP42" s="1"/>
  <c r="AT42"/>
  <c r="AT21" s="1"/>
  <c r="AI36"/>
  <c r="AV12"/>
  <c r="AP12"/>
  <c r="N77"/>
  <c r="BD17"/>
  <c r="N75"/>
  <c r="BD15"/>
  <c r="C58"/>
  <c r="M58" s="1"/>
  <c r="W58" s="1"/>
  <c r="M26"/>
  <c r="AZ7"/>
  <c r="AE34"/>
  <c r="K34"/>
  <c r="AM34" s="1"/>
  <c r="AE22"/>
  <c r="AK43" s="1"/>
  <c r="K22"/>
  <c r="AP38"/>
  <c r="AT37"/>
  <c r="AT16" s="1"/>
  <c r="BE24"/>
  <c r="AP13"/>
  <c r="U12"/>
  <c r="AJ33" s="1"/>
  <c r="B174"/>
  <c r="B176" s="1"/>
  <c r="B117"/>
  <c r="B119" s="1"/>
  <c r="U39"/>
  <c r="AN39" s="1"/>
  <c r="B253"/>
  <c r="B255" s="1"/>
  <c r="B193"/>
  <c r="B195" s="1"/>
  <c r="U81"/>
  <c r="W81" s="1"/>
  <c r="AE36"/>
  <c r="K36"/>
  <c r="AM36" s="1"/>
  <c r="U34"/>
  <c r="AN34" s="1"/>
  <c r="AE32"/>
  <c r="K32"/>
  <c r="AM32" s="1"/>
  <c r="U22"/>
  <c r="AJ43" s="1"/>
  <c r="AE18"/>
  <c r="AK39" s="1"/>
  <c r="K18"/>
  <c r="AP45"/>
  <c r="AT38"/>
  <c r="AT17" s="1"/>
  <c r="AP37"/>
  <c r="AP15"/>
  <c r="AE12"/>
  <c r="AK33" s="1"/>
  <c r="K12"/>
  <c r="AT44"/>
  <c r="AT23" s="1"/>
  <c r="AT40"/>
  <c r="AT19" s="1"/>
  <c r="AT35"/>
  <c r="AT14" s="1"/>
  <c r="AP11"/>
  <c r="AA166"/>
  <c r="O168"/>
  <c r="O170" s="1"/>
  <c r="O167"/>
  <c r="N82"/>
  <c r="BD22"/>
  <c r="N74"/>
  <c r="BD14"/>
  <c r="N78"/>
  <c r="BD19"/>
  <c r="BD18"/>
  <c r="AE39"/>
  <c r="AO39" s="1"/>
  <c r="AP44"/>
  <c r="AP41"/>
  <c r="AP40"/>
  <c r="AP35"/>
  <c r="AT34"/>
  <c r="AT13" s="1"/>
  <c r="AZ27"/>
  <c r="BD29" s="1"/>
  <c r="AE35" i="20"/>
  <c r="AO35" s="1"/>
  <c r="U36"/>
  <c r="AN36" s="1"/>
  <c r="U35"/>
  <c r="AN35" s="1"/>
  <c r="U15"/>
  <c r="AJ36" s="1"/>
  <c r="AE37"/>
  <c r="U42"/>
  <c r="AN42" s="1"/>
  <c r="AI32"/>
  <c r="AP21"/>
  <c r="AV21"/>
  <c r="AI37"/>
  <c r="AT37"/>
  <c r="AT16" s="1"/>
  <c r="AI35"/>
  <c r="AI33"/>
  <c r="C26"/>
  <c r="AY7"/>
  <c r="N76"/>
  <c r="BD16"/>
  <c r="N71"/>
  <c r="BD11"/>
  <c r="U76"/>
  <c r="W76" s="1"/>
  <c r="AO37"/>
  <c r="AI40"/>
  <c r="AE21"/>
  <c r="AK42" s="1"/>
  <c r="K21"/>
  <c r="AE17"/>
  <c r="AE13"/>
  <c r="AK34" s="1"/>
  <c r="AP14"/>
  <c r="AE33"/>
  <c r="K33"/>
  <c r="AM33" s="1"/>
  <c r="AE23"/>
  <c r="U22"/>
  <c r="AJ43" s="1"/>
  <c r="AE15"/>
  <c r="AK36" s="1"/>
  <c r="AE11"/>
  <c r="AK32" s="1"/>
  <c r="AP18"/>
  <c r="AP16"/>
  <c r="AP12"/>
  <c r="AA166"/>
  <c r="O168"/>
  <c r="O170" s="1"/>
  <c r="O167"/>
  <c r="AA99"/>
  <c r="O101"/>
  <c r="O103" s="1"/>
  <c r="O100"/>
  <c r="N82"/>
  <c r="BD22"/>
  <c r="N77"/>
  <c r="BD17"/>
  <c r="N74"/>
  <c r="BD14"/>
  <c r="N80"/>
  <c r="BD20"/>
  <c r="N73"/>
  <c r="BD13"/>
  <c r="Q220"/>
  <c r="Q217"/>
  <c r="Q216"/>
  <c r="Q214"/>
  <c r="Q213"/>
  <c r="Q212"/>
  <c r="Q210"/>
  <c r="Q209"/>
  <c r="Q207"/>
  <c r="Q85"/>
  <c r="AR60" s="1"/>
  <c r="Q82"/>
  <c r="AR43" s="1"/>
  <c r="Q81"/>
  <c r="AR42" s="1"/>
  <c r="Q79"/>
  <c r="Q78"/>
  <c r="AR40" s="1"/>
  <c r="Q77"/>
  <c r="AR38" s="1"/>
  <c r="Q75"/>
  <c r="AR36" s="1"/>
  <c r="Q74"/>
  <c r="AR35" s="1"/>
  <c r="Q72"/>
  <c r="AR33" s="1"/>
  <c r="N69"/>
  <c r="Q219"/>
  <c r="Q218"/>
  <c r="Q215"/>
  <c r="Q211"/>
  <c r="Q208"/>
  <c r="Q206"/>
  <c r="Q204"/>
  <c r="Q203"/>
  <c r="Q84"/>
  <c r="AR45" s="1"/>
  <c r="Q83"/>
  <c r="Q80"/>
  <c r="Q76"/>
  <c r="Q73"/>
  <c r="AR34" s="1"/>
  <c r="Q71"/>
  <c r="AR32" s="1"/>
  <c r="Q69"/>
  <c r="Q68"/>
  <c r="U75"/>
  <c r="W75" s="1"/>
  <c r="AO36"/>
  <c r="U73"/>
  <c r="W73" s="1"/>
  <c r="AO34"/>
  <c r="AO32"/>
  <c r="AA253"/>
  <c r="O255"/>
  <c r="O257" s="1"/>
  <c r="O254"/>
  <c r="AA193"/>
  <c r="O195"/>
  <c r="O197" s="1"/>
  <c r="O194"/>
  <c r="AA136"/>
  <c r="O138"/>
  <c r="O140" s="1"/>
  <c r="O137"/>
  <c r="N85"/>
  <c r="BD56"/>
  <c r="N81"/>
  <c r="BD21"/>
  <c r="N75"/>
  <c r="BD15"/>
  <c r="N72"/>
  <c r="BD12"/>
  <c r="AI45"/>
  <c r="AP45" s="1"/>
  <c r="AT45"/>
  <c r="AT24" s="1"/>
  <c r="AP22"/>
  <c r="AV22"/>
  <c r="AT41"/>
  <c r="AT20" s="1"/>
  <c r="AI41"/>
  <c r="AP41" s="1"/>
  <c r="AI39"/>
  <c r="AV11"/>
  <c r="AZ27" s="1"/>
  <c r="BD29" s="1"/>
  <c r="AP11"/>
  <c r="N78"/>
  <c r="BD18"/>
  <c r="BD19"/>
  <c r="AT36"/>
  <c r="AT15" s="1"/>
  <c r="AI36"/>
  <c r="AP36" s="1"/>
  <c r="AT38"/>
  <c r="AT17" s="1"/>
  <c r="AI38"/>
  <c r="AT34"/>
  <c r="AT13" s="1"/>
  <c r="AI34"/>
  <c r="AP34" s="1"/>
  <c r="AE39"/>
  <c r="AO39" s="1"/>
  <c r="K39"/>
  <c r="AM39" s="1"/>
  <c r="U39"/>
  <c r="AN39" s="1"/>
  <c r="B253"/>
  <c r="B255" s="1"/>
  <c r="B136"/>
  <c r="B138" s="1"/>
  <c r="AE42"/>
  <c r="B193"/>
  <c r="B195" s="1"/>
  <c r="U21"/>
  <c r="AJ42" s="1"/>
  <c r="AE19"/>
  <c r="AT40" s="1"/>
  <c r="AT19" s="1"/>
  <c r="AP19"/>
  <c r="AP17"/>
  <c r="AP13"/>
  <c r="K35"/>
  <c r="U33"/>
  <c r="AN33" s="1"/>
  <c r="AE22"/>
  <c r="AK43" s="1"/>
  <c r="K22"/>
  <c r="U11"/>
  <c r="AJ32" s="1"/>
  <c r="AP23"/>
  <c r="AP15"/>
  <c r="Q204" i="19"/>
  <c r="Q203"/>
  <c r="Q219"/>
  <c r="Q211"/>
  <c r="Q217"/>
  <c r="Q218"/>
  <c r="Q216"/>
  <c r="N216"/>
  <c r="Q207"/>
  <c r="N207"/>
  <c r="N215"/>
  <c r="Q215"/>
  <c r="N208"/>
  <c r="Q208"/>
  <c r="N206"/>
  <c r="Q206"/>
  <c r="Q213"/>
  <c r="N213"/>
  <c r="Q209"/>
  <c r="N209"/>
  <c r="Q220"/>
  <c r="N220"/>
  <c r="Q212"/>
  <c r="N212"/>
  <c r="Q210"/>
  <c r="N210"/>
  <c r="C68"/>
  <c r="B193"/>
  <c r="B195" s="1"/>
  <c r="AA185"/>
  <c r="O187"/>
  <c r="O189" s="1"/>
  <c r="O186"/>
  <c r="AF22"/>
  <c r="AX22" s="1"/>
  <c r="AF18"/>
  <c r="AX18" s="1"/>
  <c r="AF16"/>
  <c r="AX16" s="1"/>
  <c r="V22"/>
  <c r="AW22" s="1"/>
  <c r="V18"/>
  <c r="AW18" s="1"/>
  <c r="V14"/>
  <c r="AW14" s="1"/>
  <c r="L22"/>
  <c r="L18"/>
  <c r="L14"/>
  <c r="AV14" s="1"/>
  <c r="K56"/>
  <c r="AI60" s="1"/>
  <c r="AE45"/>
  <c r="U45"/>
  <c r="AN45" s="1"/>
  <c r="K45"/>
  <c r="AM45" s="1"/>
  <c r="AO13"/>
  <c r="AF14"/>
  <c r="AX14" s="1"/>
  <c r="AE11"/>
  <c r="AK32" s="1"/>
  <c r="AE13"/>
  <c r="AK34" s="1"/>
  <c r="AE20"/>
  <c r="AK41" s="1"/>
  <c r="AE24"/>
  <c r="AK45" s="1"/>
  <c r="AP20"/>
  <c r="AP24"/>
  <c r="AE56"/>
  <c r="AK60" s="1"/>
  <c r="K20"/>
  <c r="U20"/>
  <c r="AJ41" s="1"/>
  <c r="K24"/>
  <c r="U56"/>
  <c r="AJ60" s="1"/>
  <c r="U24"/>
  <c r="AJ45" s="1"/>
  <c r="AP60"/>
  <c r="AL33"/>
  <c r="AY12"/>
  <c r="AL34"/>
  <c r="AY13"/>
  <c r="AL35"/>
  <c r="AY14"/>
  <c r="AV16"/>
  <c r="AV18"/>
  <c r="AI40"/>
  <c r="AL40"/>
  <c r="AY19"/>
  <c r="AT41"/>
  <c r="AT20" s="1"/>
  <c r="AI41"/>
  <c r="AL41"/>
  <c r="AY20"/>
  <c r="AL42"/>
  <c r="AY21"/>
  <c r="AL43"/>
  <c r="AY22"/>
  <c r="BF21"/>
  <c r="BE24"/>
  <c r="AL32"/>
  <c r="AY11"/>
  <c r="AV13"/>
  <c r="AP13"/>
  <c r="AL36"/>
  <c r="AY15"/>
  <c r="AL37"/>
  <c r="AY16"/>
  <c r="AL38"/>
  <c r="AY17"/>
  <c r="AL39"/>
  <c r="AY18"/>
  <c r="AI44"/>
  <c r="AL44"/>
  <c r="AY23"/>
  <c r="BF23" s="1"/>
  <c r="AI45"/>
  <c r="AT45"/>
  <c r="AT24" s="1"/>
  <c r="AL45"/>
  <c r="AY24"/>
  <c r="BF22"/>
  <c r="AM26"/>
  <c r="AN26" s="1"/>
  <c r="AO26" s="1"/>
  <c r="AW26"/>
  <c r="AO40"/>
  <c r="AO41"/>
  <c r="U80"/>
  <c r="W80" s="1"/>
  <c r="AO44"/>
  <c r="I72"/>
  <c r="K72"/>
  <c r="I75"/>
  <c r="K75"/>
  <c r="I78"/>
  <c r="K78"/>
  <c r="B95"/>
  <c r="B97" s="1"/>
  <c r="B98"/>
  <c r="B99" s="1"/>
  <c r="B101" s="1"/>
  <c r="B116"/>
  <c r="B113"/>
  <c r="B115" s="1"/>
  <c r="O138"/>
  <c r="O140" s="1"/>
  <c r="O137"/>
  <c r="AA136"/>
  <c r="O148"/>
  <c r="O150" s="1"/>
  <c r="O147"/>
  <c r="AA146"/>
  <c r="B173"/>
  <c r="B170"/>
  <c r="B172" s="1"/>
  <c r="B252"/>
  <c r="B249"/>
  <c r="B251" s="1"/>
  <c r="L11"/>
  <c r="V11"/>
  <c r="AW11" s="1"/>
  <c r="AE12"/>
  <c r="AK33" s="1"/>
  <c r="W5"/>
  <c r="L12"/>
  <c r="V12"/>
  <c r="AW12" s="1"/>
  <c r="K13"/>
  <c r="U13"/>
  <c r="AJ34" s="1"/>
  <c r="K14"/>
  <c r="AE14"/>
  <c r="AK35" s="1"/>
  <c r="L15"/>
  <c r="V15"/>
  <c r="AW15" s="1"/>
  <c r="AF15"/>
  <c r="AX15" s="1"/>
  <c r="K16"/>
  <c r="U16"/>
  <c r="AJ37" s="1"/>
  <c r="AE16"/>
  <c r="AK37" s="1"/>
  <c r="L17"/>
  <c r="K17" s="1"/>
  <c r="AF17"/>
  <c r="AX17" s="1"/>
  <c r="K18"/>
  <c r="U18"/>
  <c r="AJ39" s="1"/>
  <c r="AE18"/>
  <c r="AK39" s="1"/>
  <c r="AF19"/>
  <c r="AX19" s="1"/>
  <c r="AV20"/>
  <c r="L21"/>
  <c r="V21"/>
  <c r="AW21" s="1"/>
  <c r="AF21"/>
  <c r="AX21" s="1"/>
  <c r="K22"/>
  <c r="U22"/>
  <c r="AJ43" s="1"/>
  <c r="AE22"/>
  <c r="AK43" s="1"/>
  <c r="AF23"/>
  <c r="AX23" s="1"/>
  <c r="AR24"/>
  <c r="AV24"/>
  <c r="AK170"/>
  <c r="AO45"/>
  <c r="U83"/>
  <c r="W83" s="1"/>
  <c r="Q84"/>
  <c r="AR45" s="1"/>
  <c r="Q83"/>
  <c r="Q69"/>
  <c r="Q68"/>
  <c r="Q82"/>
  <c r="AR43" s="1"/>
  <c r="Q81"/>
  <c r="AR42" s="1"/>
  <c r="Q79"/>
  <c r="Q78"/>
  <c r="AR40" s="1"/>
  <c r="Q77"/>
  <c r="AR38" s="1"/>
  <c r="Q75"/>
  <c r="AR36" s="1"/>
  <c r="Q74"/>
  <c r="AR35" s="1"/>
  <c r="Q72"/>
  <c r="AR33" s="1"/>
  <c r="N69"/>
  <c r="I74"/>
  <c r="K74"/>
  <c r="I77"/>
  <c r="K77"/>
  <c r="K80"/>
  <c r="Z80" s="1"/>
  <c r="I80"/>
  <c r="I85"/>
  <c r="K85"/>
  <c r="O101"/>
  <c r="O103" s="1"/>
  <c r="O100"/>
  <c r="AA99"/>
  <c r="O111"/>
  <c r="O113" s="1"/>
  <c r="O110"/>
  <c r="AA109"/>
  <c r="B132"/>
  <c r="B134" s="1"/>
  <c r="B135"/>
  <c r="B136" s="1"/>
  <c r="B138" s="1"/>
  <c r="B153"/>
  <c r="B150"/>
  <c r="B152" s="1"/>
  <c r="O176"/>
  <c r="O178" s="1"/>
  <c r="O175"/>
  <c r="AA174"/>
  <c r="O247"/>
  <c r="O249" s="1"/>
  <c r="O246"/>
  <c r="AA245"/>
  <c r="BF24"/>
  <c r="K32"/>
  <c r="AM32" s="1"/>
  <c r="U32"/>
  <c r="AN32" s="1"/>
  <c r="AE32"/>
  <c r="L33"/>
  <c r="AZ12" s="1"/>
  <c r="V33"/>
  <c r="BA12" s="1"/>
  <c r="AF33"/>
  <c r="BB12" s="1"/>
  <c r="K34"/>
  <c r="AM34" s="1"/>
  <c r="U34"/>
  <c r="AN34" s="1"/>
  <c r="AE34"/>
  <c r="L35"/>
  <c r="AZ14" s="1"/>
  <c r="V35"/>
  <c r="BA14" s="1"/>
  <c r="AF35"/>
  <c r="BB14" s="1"/>
  <c r="K36"/>
  <c r="AM36" s="1"/>
  <c r="U36"/>
  <c r="AN36" s="1"/>
  <c r="AE36"/>
  <c r="L37"/>
  <c r="AZ16" s="1"/>
  <c r="V37"/>
  <c r="BA16" s="1"/>
  <c r="AF37"/>
  <c r="BB16" s="1"/>
  <c r="K38"/>
  <c r="AM38" s="1"/>
  <c r="AE38"/>
  <c r="L39"/>
  <c r="AZ18" s="1"/>
  <c r="V39"/>
  <c r="BA18" s="1"/>
  <c r="AF39"/>
  <c r="BB18" s="1"/>
  <c r="L42"/>
  <c r="AZ21" s="1"/>
  <c r="V42"/>
  <c r="BA21" s="1"/>
  <c r="AF42"/>
  <c r="BB21" s="1"/>
  <c r="K43"/>
  <c r="AM43" s="1"/>
  <c r="U43"/>
  <c r="AN43" s="1"/>
  <c r="AE43"/>
  <c r="AO43" s="1"/>
  <c r="L44"/>
  <c r="AZ23" s="1"/>
  <c r="AP56"/>
  <c r="C69"/>
  <c r="I71"/>
  <c r="Q71" s="1"/>
  <c r="AR32" s="1"/>
  <c r="I73"/>
  <c r="I76"/>
  <c r="Q76" s="1"/>
  <c r="K81"/>
  <c r="K82"/>
  <c r="O91"/>
  <c r="AL109"/>
  <c r="AL108" s="1"/>
  <c r="AO108" s="1"/>
  <c r="AO109" s="1"/>
  <c r="O116"/>
  <c r="O117" s="1"/>
  <c r="O128"/>
  <c r="O153"/>
  <c r="O154" s="1"/>
  <c r="O252"/>
  <c r="O253" s="1"/>
  <c r="O166"/>
  <c r="B23" i="18"/>
  <c r="B44" s="1"/>
  <c r="AF83"/>
  <c r="C83"/>
  <c r="E83" s="1"/>
  <c r="I83"/>
  <c r="X83"/>
  <c r="U83"/>
  <c r="W83" s="1"/>
  <c r="K83"/>
  <c r="AD210"/>
  <c r="X210"/>
  <c r="U210"/>
  <c r="R210"/>
  <c r="AD209"/>
  <c r="X209"/>
  <c r="U209"/>
  <c r="R209"/>
  <c r="AD208"/>
  <c r="X208"/>
  <c r="U208"/>
  <c r="R208"/>
  <c r="AD207"/>
  <c r="X207"/>
  <c r="U207"/>
  <c r="R207"/>
  <c r="AD206"/>
  <c r="X206"/>
  <c r="U206"/>
  <c r="R206"/>
  <c r="AD205"/>
  <c r="X205"/>
  <c r="U205"/>
  <c r="R205"/>
  <c r="AD204"/>
  <c r="AD211" s="1"/>
  <c r="X204"/>
  <c r="X211" s="1"/>
  <c r="U204"/>
  <c r="R204"/>
  <c r="O184"/>
  <c r="O185" s="1"/>
  <c r="B184"/>
  <c r="B185" s="1"/>
  <c r="B187" s="1"/>
  <c r="B183"/>
  <c r="AG169"/>
  <c r="AJ169" s="1"/>
  <c r="AG168"/>
  <c r="AJ168" s="1"/>
  <c r="AG167"/>
  <c r="AJ167" s="1"/>
  <c r="AJ166"/>
  <c r="AG166"/>
  <c r="AJ165"/>
  <c r="AK170" s="1"/>
  <c r="O165"/>
  <c r="O173" s="1"/>
  <c r="O174" s="1"/>
  <c r="B164"/>
  <c r="B165" s="1"/>
  <c r="B166" s="1"/>
  <c r="B168" s="1"/>
  <c r="O145"/>
  <c r="O146" s="1"/>
  <c r="B144"/>
  <c r="B145" s="1"/>
  <c r="B146" s="1"/>
  <c r="B148" s="1"/>
  <c r="O127"/>
  <c r="O135" s="1"/>
  <c r="O136" s="1"/>
  <c r="B126"/>
  <c r="B127" s="1"/>
  <c r="B128" s="1"/>
  <c r="B130" s="1"/>
  <c r="AI113"/>
  <c r="AE113"/>
  <c r="AI109"/>
  <c r="AI110" s="1"/>
  <c r="O108"/>
  <c r="O109" s="1"/>
  <c r="B107"/>
  <c r="B108" s="1"/>
  <c r="B109" s="1"/>
  <c r="B111" s="1"/>
  <c r="O90"/>
  <c r="O98" s="1"/>
  <c r="O99" s="1"/>
  <c r="B90"/>
  <c r="B91" s="1"/>
  <c r="B93" s="1"/>
  <c r="B89"/>
  <c r="X85"/>
  <c r="U85"/>
  <c r="W85" s="1"/>
  <c r="C85"/>
  <c r="E85" s="1"/>
  <c r="X84"/>
  <c r="G84"/>
  <c r="K84" s="1"/>
  <c r="E84"/>
  <c r="I84" s="1"/>
  <c r="N84" s="1"/>
  <c r="X82"/>
  <c r="G82"/>
  <c r="K82" s="1"/>
  <c r="C82"/>
  <c r="E82" s="1"/>
  <c r="X81"/>
  <c r="C81"/>
  <c r="G81" s="1"/>
  <c r="X80"/>
  <c r="C80"/>
  <c r="E80" s="1"/>
  <c r="X79"/>
  <c r="N79"/>
  <c r="K79"/>
  <c r="X78"/>
  <c r="C78"/>
  <c r="E78" s="1"/>
  <c r="X77"/>
  <c r="S77"/>
  <c r="C77"/>
  <c r="E77" s="1"/>
  <c r="X76"/>
  <c r="C76"/>
  <c r="E76" s="1"/>
  <c r="X75"/>
  <c r="C75"/>
  <c r="E75" s="1"/>
  <c r="X74"/>
  <c r="S74"/>
  <c r="C74"/>
  <c r="E74" s="1"/>
  <c r="X73"/>
  <c r="C73"/>
  <c r="E73" s="1"/>
  <c r="X72"/>
  <c r="C72"/>
  <c r="E72" s="1"/>
  <c r="X71"/>
  <c r="C71"/>
  <c r="E71" s="1"/>
  <c r="K69"/>
  <c r="E69"/>
  <c r="I69" s="1"/>
  <c r="E68"/>
  <c r="I68" s="1"/>
  <c r="N68" s="1"/>
  <c r="AH64"/>
  <c r="AF60"/>
  <c r="AC60"/>
  <c r="AE60" s="1"/>
  <c r="AO60" s="1"/>
  <c r="Z60"/>
  <c r="V60"/>
  <c r="S60"/>
  <c r="U60" s="1"/>
  <c r="AN60" s="1"/>
  <c r="P60"/>
  <c r="L60"/>
  <c r="AZ56" s="1"/>
  <c r="I60"/>
  <c r="K60" s="1"/>
  <c r="AM60" s="1"/>
  <c r="F60"/>
  <c r="BB56"/>
  <c r="BA56"/>
  <c r="AM56"/>
  <c r="AL60" s="1"/>
  <c r="AJ56"/>
  <c r="AO56" s="1"/>
  <c r="AY56" s="1"/>
  <c r="AF56"/>
  <c r="AX56" s="1"/>
  <c r="AC56"/>
  <c r="AE56" s="1"/>
  <c r="AK60" s="1"/>
  <c r="Z56"/>
  <c r="V56"/>
  <c r="AW56" s="1"/>
  <c r="S56"/>
  <c r="U56" s="1"/>
  <c r="AJ60" s="1"/>
  <c r="P56"/>
  <c r="L56"/>
  <c r="AP56" s="1"/>
  <c r="I56"/>
  <c r="K56" s="1"/>
  <c r="AI60" s="1"/>
  <c r="AP60" s="1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AC44"/>
  <c r="AE44" s="1"/>
  <c r="Z44"/>
  <c r="V44"/>
  <c r="S44"/>
  <c r="U44" s="1"/>
  <c r="AN44" s="1"/>
  <c r="P44"/>
  <c r="I44"/>
  <c r="F44"/>
  <c r="L44" s="1"/>
  <c r="AZ23" s="1"/>
  <c r="AC43"/>
  <c r="Z43"/>
  <c r="S43"/>
  <c r="P43"/>
  <c r="V43" s="1"/>
  <c r="BA22" s="1"/>
  <c r="I43"/>
  <c r="F43"/>
  <c r="AC42"/>
  <c r="Z42"/>
  <c r="S42"/>
  <c r="P42"/>
  <c r="I42"/>
  <c r="F42"/>
  <c r="AF41"/>
  <c r="AC41"/>
  <c r="Z41"/>
  <c r="V41"/>
  <c r="S41"/>
  <c r="P41"/>
  <c r="L41"/>
  <c r="I41"/>
  <c r="F41"/>
  <c r="AF40"/>
  <c r="AC40"/>
  <c r="Z40"/>
  <c r="AE40" s="1"/>
  <c r="V40"/>
  <c r="S40"/>
  <c r="P40"/>
  <c r="L40"/>
  <c r="I40"/>
  <c r="F40"/>
  <c r="K40" s="1"/>
  <c r="AM40" s="1"/>
  <c r="AC39"/>
  <c r="Z39"/>
  <c r="S39"/>
  <c r="V39" s="1"/>
  <c r="P39"/>
  <c r="I39"/>
  <c r="F39"/>
  <c r="AC38"/>
  <c r="Z38"/>
  <c r="S38"/>
  <c r="P38"/>
  <c r="I38"/>
  <c r="F38"/>
  <c r="AC37"/>
  <c r="Z37"/>
  <c r="S37"/>
  <c r="P37"/>
  <c r="I37"/>
  <c r="F37"/>
  <c r="AC36"/>
  <c r="Z36"/>
  <c r="S36"/>
  <c r="P36"/>
  <c r="I36"/>
  <c r="F36"/>
  <c r="AC35"/>
  <c r="AF35" s="1"/>
  <c r="Z35"/>
  <c r="S35"/>
  <c r="P35"/>
  <c r="I35"/>
  <c r="F35"/>
  <c r="AC34"/>
  <c r="Z34"/>
  <c r="S34"/>
  <c r="P34"/>
  <c r="I34"/>
  <c r="F34"/>
  <c r="AC33"/>
  <c r="Z33"/>
  <c r="S33"/>
  <c r="P33"/>
  <c r="I33"/>
  <c r="F33"/>
  <c r="AC32"/>
  <c r="Z32"/>
  <c r="S32"/>
  <c r="P32"/>
  <c r="I32"/>
  <c r="F32"/>
  <c r="AI26"/>
  <c r="AJ26" s="1"/>
  <c r="AK26" s="1"/>
  <c r="AL26" s="1"/>
  <c r="BD24"/>
  <c r="BB24"/>
  <c r="BA24"/>
  <c r="AZ24"/>
  <c r="AM24"/>
  <c r="AJ24"/>
  <c r="AO24" s="1"/>
  <c r="AC24"/>
  <c r="Z24"/>
  <c r="AF24" s="1"/>
  <c r="AX24" s="1"/>
  <c r="V24"/>
  <c r="AW24" s="1"/>
  <c r="S24"/>
  <c r="P24"/>
  <c r="U24" s="1"/>
  <c r="AJ45" s="1"/>
  <c r="L24"/>
  <c r="I24"/>
  <c r="F24"/>
  <c r="K24" s="1"/>
  <c r="B24"/>
  <c r="B45" s="1"/>
  <c r="BB23"/>
  <c r="BA23"/>
  <c r="AM23"/>
  <c r="AJ23"/>
  <c r="AO23" s="1"/>
  <c r="AC23"/>
  <c r="Z23"/>
  <c r="AF23" s="1"/>
  <c r="AX23" s="1"/>
  <c r="V23"/>
  <c r="AW23" s="1"/>
  <c r="S23"/>
  <c r="P23"/>
  <c r="L23"/>
  <c r="AV23" s="1"/>
  <c r="I23"/>
  <c r="F23"/>
  <c r="AM22"/>
  <c r="AJ22"/>
  <c r="AO22" s="1"/>
  <c r="AC22"/>
  <c r="Z22"/>
  <c r="AF22" s="1"/>
  <c r="AX22" s="1"/>
  <c r="S22"/>
  <c r="P22"/>
  <c r="V22" s="1"/>
  <c r="AW22" s="1"/>
  <c r="I22"/>
  <c r="F22"/>
  <c r="L22" s="1"/>
  <c r="AV22" s="1"/>
  <c r="B22"/>
  <c r="B43" s="1"/>
  <c r="AM21"/>
  <c r="AJ21"/>
  <c r="AO21" s="1"/>
  <c r="AC21"/>
  <c r="Z2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P20"/>
  <c r="L20"/>
  <c r="AP20" s="1"/>
  <c r="I20"/>
  <c r="F20"/>
  <c r="K20" s="1"/>
  <c r="B20"/>
  <c r="B41" s="1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F19"/>
  <c r="B19"/>
  <c r="B40" s="1"/>
  <c r="BA18"/>
  <c r="AM18"/>
  <c r="AJ18"/>
  <c r="AO18" s="1"/>
  <c r="AC18"/>
  <c r="Z18"/>
  <c r="AF18" s="1"/>
  <c r="AX18" s="1"/>
  <c r="S18"/>
  <c r="P18"/>
  <c r="V18" s="1"/>
  <c r="AW18" s="1"/>
  <c r="I18"/>
  <c r="F18"/>
  <c r="L18" s="1"/>
  <c r="B18"/>
  <c r="B39" s="1"/>
  <c r="AM17"/>
  <c r="AJ17"/>
  <c r="AO17" s="1"/>
  <c r="AC17"/>
  <c r="Z17"/>
  <c r="V17"/>
  <c r="AW17" s="1"/>
  <c r="S17"/>
  <c r="P17"/>
  <c r="I17"/>
  <c r="F17"/>
  <c r="L17" s="1"/>
  <c r="AV17" s="1"/>
  <c r="B17"/>
  <c r="B38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7" s="1"/>
  <c r="AM15"/>
  <c r="AJ15"/>
  <c r="AO15" s="1"/>
  <c r="AC15"/>
  <c r="Z15"/>
  <c r="S15"/>
  <c r="P15"/>
  <c r="V15" s="1"/>
  <c r="AW15" s="1"/>
  <c r="I15"/>
  <c r="F15"/>
  <c r="B15"/>
  <c r="B36" s="1"/>
  <c r="BB14"/>
  <c r="AM14"/>
  <c r="AJ14"/>
  <c r="AO14" s="1"/>
  <c r="AC14"/>
  <c r="Z14"/>
  <c r="AF14" s="1"/>
  <c r="AX14" s="1"/>
  <c r="S14"/>
  <c r="P14"/>
  <c r="V14" s="1"/>
  <c r="AW14" s="1"/>
  <c r="I14"/>
  <c r="F14"/>
  <c r="B14"/>
  <c r="B35" s="1"/>
  <c r="AM13"/>
  <c r="AJ13"/>
  <c r="AO13" s="1"/>
  <c r="AC13"/>
  <c r="Z13"/>
  <c r="S13"/>
  <c r="P13"/>
  <c r="I13"/>
  <c r="F13"/>
  <c r="B13"/>
  <c r="B34" s="1"/>
  <c r="AM12"/>
  <c r="AJ12"/>
  <c r="AO12" s="1"/>
  <c r="AC12"/>
  <c r="Z12"/>
  <c r="AF12" s="1"/>
  <c r="AX12" s="1"/>
  <c r="S12"/>
  <c r="P12"/>
  <c r="V12" s="1"/>
  <c r="AW12" s="1"/>
  <c r="I12"/>
  <c r="F12"/>
  <c r="B12"/>
  <c r="B33" s="1"/>
  <c r="AM11"/>
  <c r="AJ11"/>
  <c r="AO11" s="1"/>
  <c r="AC11"/>
  <c r="Z11"/>
  <c r="S11"/>
  <c r="P11"/>
  <c r="I11"/>
  <c r="F11"/>
  <c r="B11"/>
  <c r="B32" s="1"/>
  <c r="AV7"/>
  <c r="M5"/>
  <c r="W5" s="1"/>
  <c r="X83" i="17"/>
  <c r="K83"/>
  <c r="I83"/>
  <c r="C83"/>
  <c r="E83" s="1"/>
  <c r="X82"/>
  <c r="G82"/>
  <c r="K82" s="1"/>
  <c r="X81"/>
  <c r="C81"/>
  <c r="G81" s="1"/>
  <c r="F43"/>
  <c r="I43"/>
  <c r="L43"/>
  <c r="K43" s="1"/>
  <c r="AM43" s="1"/>
  <c r="P43"/>
  <c r="S43"/>
  <c r="U43" s="1"/>
  <c r="AN43" s="1"/>
  <c r="V43"/>
  <c r="F22"/>
  <c r="I22"/>
  <c r="L22"/>
  <c r="K22" s="1"/>
  <c r="P22"/>
  <c r="S22"/>
  <c r="U22" s="1"/>
  <c r="V22"/>
  <c r="Z22"/>
  <c r="AC22"/>
  <c r="AF22"/>
  <c r="AX22" s="1"/>
  <c r="AJ22"/>
  <c r="AM22"/>
  <c r="AO22" s="1"/>
  <c r="AD210"/>
  <c r="X210"/>
  <c r="U210"/>
  <c r="R210"/>
  <c r="AD209"/>
  <c r="X209"/>
  <c r="U209"/>
  <c r="R209"/>
  <c r="AD208"/>
  <c r="X208"/>
  <c r="U208"/>
  <c r="R208"/>
  <c r="AD207"/>
  <c r="X207"/>
  <c r="U207"/>
  <c r="R207"/>
  <c r="AD206"/>
  <c r="X206"/>
  <c r="U206"/>
  <c r="R206"/>
  <c r="AD205"/>
  <c r="X205"/>
  <c r="U205"/>
  <c r="R205"/>
  <c r="AD204"/>
  <c r="AD211" s="1"/>
  <c r="U204"/>
  <c r="X204" s="1"/>
  <c r="X211" s="1"/>
  <c r="AD213" s="1"/>
  <c r="R204"/>
  <c r="O184"/>
  <c r="O185" s="1"/>
  <c r="B183"/>
  <c r="B184" s="1"/>
  <c r="B185" s="1"/>
  <c r="B187" s="1"/>
  <c r="AG169"/>
  <c r="AJ169" s="1"/>
  <c r="AG168"/>
  <c r="AJ168" s="1"/>
  <c r="AG167"/>
  <c r="AJ167" s="1"/>
  <c r="AJ166"/>
  <c r="AG166"/>
  <c r="AJ165"/>
  <c r="O165"/>
  <c r="B164"/>
  <c r="B165" s="1"/>
  <c r="B166" s="1"/>
  <c r="B168" s="1"/>
  <c r="O145"/>
  <c r="O146" s="1"/>
  <c r="B144"/>
  <c r="B145" s="1"/>
  <c r="B146" s="1"/>
  <c r="B148" s="1"/>
  <c r="O127"/>
  <c r="O135" s="1"/>
  <c r="O136" s="1"/>
  <c r="AA136" s="1"/>
  <c r="B126"/>
  <c r="B127" s="1"/>
  <c r="B128" s="1"/>
  <c r="B130" s="1"/>
  <c r="B132" s="1"/>
  <c r="B134" s="1"/>
  <c r="AI113"/>
  <c r="AE113"/>
  <c r="AI109"/>
  <c r="AI110" s="1"/>
  <c r="AL109" s="1"/>
  <c r="AL108" s="1"/>
  <c r="AO108" s="1"/>
  <c r="AO109" s="1"/>
  <c r="O108"/>
  <c r="O109" s="1"/>
  <c r="O111" s="1"/>
  <c r="O113" s="1"/>
  <c r="B107"/>
  <c r="B108" s="1"/>
  <c r="B109" s="1"/>
  <c r="B111" s="1"/>
  <c r="O90"/>
  <c r="O98" s="1"/>
  <c r="O99" s="1"/>
  <c r="B89"/>
  <c r="B90" s="1"/>
  <c r="B91" s="1"/>
  <c r="B93" s="1"/>
  <c r="B95" s="1"/>
  <c r="B97" s="1"/>
  <c r="X85"/>
  <c r="U85"/>
  <c r="W85" s="1"/>
  <c r="C85"/>
  <c r="E85" s="1"/>
  <c r="X84"/>
  <c r="G84"/>
  <c r="K84" s="1"/>
  <c r="E84"/>
  <c r="I84" s="1"/>
  <c r="X80"/>
  <c r="C80"/>
  <c r="E80" s="1"/>
  <c r="K80" s="1"/>
  <c r="Z80" s="1"/>
  <c r="X79"/>
  <c r="N79"/>
  <c r="K79"/>
  <c r="X78"/>
  <c r="E78"/>
  <c r="I78" s="1"/>
  <c r="N78" s="1"/>
  <c r="C78"/>
  <c r="X77"/>
  <c r="S77"/>
  <c r="C77"/>
  <c r="E77" s="1"/>
  <c r="X76"/>
  <c r="I76"/>
  <c r="N76" s="1"/>
  <c r="C76"/>
  <c r="E76" s="1"/>
  <c r="K76" s="1"/>
  <c r="X75"/>
  <c r="C75"/>
  <c r="E75" s="1"/>
  <c r="I75" s="1"/>
  <c r="X74"/>
  <c r="S74"/>
  <c r="E74"/>
  <c r="I74" s="1"/>
  <c r="N74" s="1"/>
  <c r="C74"/>
  <c r="X73"/>
  <c r="C73"/>
  <c r="E73" s="1"/>
  <c r="K73" s="1"/>
  <c r="X72"/>
  <c r="C72"/>
  <c r="E72" s="1"/>
  <c r="I72" s="1"/>
  <c r="X71"/>
  <c r="C71"/>
  <c r="E71" s="1"/>
  <c r="K71" s="1"/>
  <c r="K69"/>
  <c r="E69"/>
  <c r="I69" s="1"/>
  <c r="E68"/>
  <c r="AH64"/>
  <c r="AF60"/>
  <c r="BB56" s="1"/>
  <c r="AC60"/>
  <c r="Z60"/>
  <c r="V60"/>
  <c r="S60"/>
  <c r="P60"/>
  <c r="L60"/>
  <c r="AZ56" s="1"/>
  <c r="I60"/>
  <c r="F60"/>
  <c r="BA56"/>
  <c r="AM56"/>
  <c r="AL60" s="1"/>
  <c r="AJ56"/>
  <c r="AO56" s="1"/>
  <c r="AY56" s="1"/>
  <c r="AC56"/>
  <c r="Z56"/>
  <c r="AF56" s="1"/>
  <c r="AX56" s="1"/>
  <c r="V56"/>
  <c r="AW56" s="1"/>
  <c r="S56"/>
  <c r="P56"/>
  <c r="L56"/>
  <c r="AV56" s="1"/>
  <c r="I56"/>
  <c r="F56"/>
  <c r="B56"/>
  <c r="B60" s="1"/>
  <c r="C54"/>
  <c r="M54" s="1"/>
  <c r="W54" s="1"/>
  <c r="AG54" s="1"/>
  <c r="AW47"/>
  <c r="AF45"/>
  <c r="AC45"/>
  <c r="Z45"/>
  <c r="V45"/>
  <c r="S45"/>
  <c r="P45"/>
  <c r="L45"/>
  <c r="I45"/>
  <c r="F45"/>
  <c r="AF44"/>
  <c r="AC44"/>
  <c r="Z44"/>
  <c r="V44"/>
  <c r="S44"/>
  <c r="U44" s="1"/>
  <c r="AN44" s="1"/>
  <c r="P44"/>
  <c r="L44"/>
  <c r="I44"/>
  <c r="F44"/>
  <c r="AC43"/>
  <c r="Z43"/>
  <c r="AC42"/>
  <c r="Z42"/>
  <c r="AF42" s="1"/>
  <c r="BB21" s="1"/>
  <c r="S42"/>
  <c r="P42"/>
  <c r="I42"/>
  <c r="F42"/>
  <c r="L42" s="1"/>
  <c r="AZ21" s="1"/>
  <c r="AF41"/>
  <c r="AC41"/>
  <c r="Z41"/>
  <c r="V41"/>
  <c r="S41"/>
  <c r="P41"/>
  <c r="L41"/>
  <c r="I41"/>
  <c r="F41"/>
  <c r="AF40"/>
  <c r="AC40"/>
  <c r="Z40"/>
  <c r="V40"/>
  <c r="S40"/>
  <c r="P40"/>
  <c r="L40"/>
  <c r="I40"/>
  <c r="F40"/>
  <c r="AC39"/>
  <c r="Z39"/>
  <c r="S39"/>
  <c r="P39"/>
  <c r="I39"/>
  <c r="F39"/>
  <c r="AF38"/>
  <c r="AC38"/>
  <c r="Z38"/>
  <c r="S38"/>
  <c r="P38"/>
  <c r="I38"/>
  <c r="F38"/>
  <c r="AC37"/>
  <c r="Z37"/>
  <c r="S37"/>
  <c r="P37"/>
  <c r="I37"/>
  <c r="F37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S33"/>
  <c r="P33"/>
  <c r="I33"/>
  <c r="F33"/>
  <c r="AC32"/>
  <c r="Z32"/>
  <c r="S32"/>
  <c r="P32"/>
  <c r="I32"/>
  <c r="F32"/>
  <c r="AI26"/>
  <c r="AJ26" s="1"/>
  <c r="AK26" s="1"/>
  <c r="AL26" s="1"/>
  <c r="BB24"/>
  <c r="BA24"/>
  <c r="AZ24"/>
  <c r="AM24"/>
  <c r="AJ24"/>
  <c r="AC24"/>
  <c r="Z24"/>
  <c r="AF24" s="1"/>
  <c r="AX24" s="1"/>
  <c r="V24"/>
  <c r="AW24" s="1"/>
  <c r="S24"/>
  <c r="P24"/>
  <c r="L24"/>
  <c r="AV24" s="1"/>
  <c r="I24"/>
  <c r="F24"/>
  <c r="B24"/>
  <c r="B45" s="1"/>
  <c r="BB23"/>
  <c r="BA23"/>
  <c r="AZ23"/>
  <c r="AM23"/>
  <c r="AJ23"/>
  <c r="AC23"/>
  <c r="Z23"/>
  <c r="AF23" s="1"/>
  <c r="AX23" s="1"/>
  <c r="V23"/>
  <c r="AW23" s="1"/>
  <c r="S23"/>
  <c r="P23"/>
  <c r="L23"/>
  <c r="I23"/>
  <c r="F23"/>
  <c r="K23" s="1"/>
  <c r="B23"/>
  <c r="B44" s="1"/>
  <c r="BA22"/>
  <c r="AZ22"/>
  <c r="AW22"/>
  <c r="AV22"/>
  <c r="B22"/>
  <c r="B43" s="1"/>
  <c r="AM21"/>
  <c r="AJ21"/>
  <c r="AO21" s="1"/>
  <c r="AC21"/>
  <c r="Z21"/>
  <c r="AF21" s="1"/>
  <c r="AX21" s="1"/>
  <c r="S21"/>
  <c r="P21"/>
  <c r="I21"/>
  <c r="F21"/>
  <c r="B21"/>
  <c r="B42" s="1"/>
  <c r="BB20"/>
  <c r="BA20"/>
  <c r="AZ20"/>
  <c r="AM20"/>
  <c r="AJ20"/>
  <c r="AO20" s="1"/>
  <c r="AC20"/>
  <c r="Z20"/>
  <c r="AF20" s="1"/>
  <c r="AX20" s="1"/>
  <c r="V20"/>
  <c r="AW20" s="1"/>
  <c r="S20"/>
  <c r="U20" s="1"/>
  <c r="AJ41" s="1"/>
  <c r="P20"/>
  <c r="L20"/>
  <c r="AV20" s="1"/>
  <c r="I20"/>
  <c r="F20"/>
  <c r="B20"/>
  <c r="B41" s="1"/>
  <c r="BD19"/>
  <c r="BB19"/>
  <c r="BA19"/>
  <c r="AZ19"/>
  <c r="AM19"/>
  <c r="AJ19"/>
  <c r="AC19"/>
  <c r="Z19"/>
  <c r="AF19" s="1"/>
  <c r="AX19" s="1"/>
  <c r="V19"/>
  <c r="AW19" s="1"/>
  <c r="S19"/>
  <c r="P19"/>
  <c r="L19"/>
  <c r="AV19" s="1"/>
  <c r="I19"/>
  <c r="F19"/>
  <c r="B19"/>
  <c r="B40" s="1"/>
  <c r="BD18"/>
  <c r="AM18"/>
  <c r="AJ18"/>
  <c r="AC18"/>
  <c r="Z18"/>
  <c r="S18"/>
  <c r="P18"/>
  <c r="I18"/>
  <c r="F18"/>
  <c r="B18"/>
  <c r="B39" s="1"/>
  <c r="BB17"/>
  <c r="AM17"/>
  <c r="AJ17"/>
  <c r="AC17"/>
  <c r="Z17"/>
  <c r="S17"/>
  <c r="P17"/>
  <c r="I17"/>
  <c r="F17"/>
  <c r="B17"/>
  <c r="B38" s="1"/>
  <c r="BD16"/>
  <c r="AM16"/>
  <c r="AJ16"/>
  <c r="AC16"/>
  <c r="Z16"/>
  <c r="S16"/>
  <c r="P16"/>
  <c r="I16"/>
  <c r="F16"/>
  <c r="B16"/>
  <c r="B37" s="1"/>
  <c r="AM15"/>
  <c r="AJ15"/>
  <c r="AO15" s="1"/>
  <c r="AC15"/>
  <c r="Z15"/>
  <c r="S15"/>
  <c r="P15"/>
  <c r="I15"/>
  <c r="F15"/>
  <c r="B15"/>
  <c r="B36" s="1"/>
  <c r="BD14"/>
  <c r="AM14"/>
  <c r="AJ14"/>
  <c r="AC14"/>
  <c r="Z14"/>
  <c r="S14"/>
  <c r="P14"/>
  <c r="I14"/>
  <c r="F14"/>
  <c r="B14"/>
  <c r="B35" s="1"/>
  <c r="AM13"/>
  <c r="AJ13"/>
  <c r="AC13"/>
  <c r="Z13"/>
  <c r="S13"/>
  <c r="P13"/>
  <c r="I13"/>
  <c r="F13"/>
  <c r="B13"/>
  <c r="B34" s="1"/>
  <c r="AM12"/>
  <c r="AJ12"/>
  <c r="AC12"/>
  <c r="Z12"/>
  <c r="S12"/>
  <c r="P12"/>
  <c r="I12"/>
  <c r="F12"/>
  <c r="B12"/>
  <c r="B33" s="1"/>
  <c r="AM11"/>
  <c r="AJ11"/>
  <c r="AC11"/>
  <c r="Z11"/>
  <c r="S11"/>
  <c r="P11"/>
  <c r="I11"/>
  <c r="F11"/>
  <c r="B11"/>
  <c r="B32" s="1"/>
  <c r="AV7"/>
  <c r="M5"/>
  <c r="W5" s="1"/>
  <c r="AE115" i="16"/>
  <c r="AI115"/>
  <c r="AO111"/>
  <c r="AO110"/>
  <c r="AL110"/>
  <c r="AL111"/>
  <c r="AI112"/>
  <c r="BB7" i="31" l="1"/>
  <c r="B1"/>
  <c r="B3" s="1"/>
  <c r="BE25" i="25"/>
  <c r="AT46"/>
  <c r="AT11"/>
  <c r="W26"/>
  <c r="BA7"/>
  <c r="AR1"/>
  <c r="AT46" i="24"/>
  <c r="AT11"/>
  <c r="BE25"/>
  <c r="AQ64"/>
  <c r="AR1"/>
  <c r="BB7"/>
  <c r="B1"/>
  <c r="B3" s="1"/>
  <c r="BF25"/>
  <c r="BA7" i="23"/>
  <c r="W26"/>
  <c r="BE21"/>
  <c r="AR21"/>
  <c r="BF21"/>
  <c r="AT46"/>
  <c r="AR1" s="1"/>
  <c r="AQ64"/>
  <c r="BF25"/>
  <c r="BE25"/>
  <c r="AP39" i="22"/>
  <c r="AT36"/>
  <c r="AT15" s="1"/>
  <c r="AI36"/>
  <c r="AP36" s="1"/>
  <c r="AK38"/>
  <c r="AP38" s="1"/>
  <c r="AT38"/>
  <c r="AT17" s="1"/>
  <c r="U77"/>
  <c r="W77" s="1"/>
  <c r="AK42"/>
  <c r="AP42" s="1"/>
  <c r="AT42"/>
  <c r="AT21" s="1"/>
  <c r="U81"/>
  <c r="W81" s="1"/>
  <c r="BF18"/>
  <c r="BE18"/>
  <c r="AR18"/>
  <c r="BE23"/>
  <c r="AR23"/>
  <c r="AM35"/>
  <c r="AT34"/>
  <c r="AT13" s="1"/>
  <c r="AI34"/>
  <c r="AP34" s="1"/>
  <c r="AR37"/>
  <c r="AT33"/>
  <c r="AT12" s="1"/>
  <c r="AT35"/>
  <c r="AT14" s="1"/>
  <c r="U71"/>
  <c r="W71" s="1"/>
  <c r="U73"/>
  <c r="W73" s="1"/>
  <c r="U75"/>
  <c r="W75" s="1"/>
  <c r="AK44"/>
  <c r="AP44" s="1"/>
  <c r="U79"/>
  <c r="W79" s="1"/>
  <c r="AT44"/>
  <c r="AT23" s="1"/>
  <c r="U84"/>
  <c r="W84" s="1"/>
  <c r="U82"/>
  <c r="W82" s="1"/>
  <c r="U72"/>
  <c r="W72" s="1"/>
  <c r="AO33"/>
  <c r="AT32"/>
  <c r="AI32"/>
  <c r="AP32" s="1"/>
  <c r="AK40"/>
  <c r="AP40" s="1"/>
  <c r="AT40"/>
  <c r="AT19" s="1"/>
  <c r="U78"/>
  <c r="W78" s="1"/>
  <c r="BE19"/>
  <c r="AR19"/>
  <c r="BF19"/>
  <c r="C58"/>
  <c r="M58" s="1"/>
  <c r="W58" s="1"/>
  <c r="M26"/>
  <c r="AZ7"/>
  <c r="U74"/>
  <c r="W74" s="1"/>
  <c r="AO35"/>
  <c r="AT60" s="1"/>
  <c r="AT56" s="1"/>
  <c r="BE11"/>
  <c r="AR11"/>
  <c r="BF11"/>
  <c r="BE15"/>
  <c r="AR15"/>
  <c r="BF15"/>
  <c r="BE17"/>
  <c r="AR17"/>
  <c r="BF17"/>
  <c r="BF14"/>
  <c r="BE14"/>
  <c r="AR14"/>
  <c r="BF22"/>
  <c r="BE22"/>
  <c r="AR22"/>
  <c r="BE13"/>
  <c r="AR13"/>
  <c r="BF13"/>
  <c r="BF16"/>
  <c r="BE16"/>
  <c r="AR16"/>
  <c r="BF20"/>
  <c r="BE20"/>
  <c r="AR20"/>
  <c r="BF12"/>
  <c r="BE12"/>
  <c r="AR12"/>
  <c r="N81"/>
  <c r="BD21"/>
  <c r="BE56"/>
  <c r="AR56"/>
  <c r="BF56"/>
  <c r="AP33"/>
  <c r="AP35"/>
  <c r="AR46"/>
  <c r="AR46" i="21"/>
  <c r="BF19"/>
  <c r="BE19"/>
  <c r="AR19"/>
  <c r="BE14"/>
  <c r="AR14"/>
  <c r="BF14"/>
  <c r="BE22"/>
  <c r="AR22"/>
  <c r="BF22"/>
  <c r="AT33"/>
  <c r="AT12" s="1"/>
  <c r="AI33"/>
  <c r="AP33" s="1"/>
  <c r="AI39"/>
  <c r="AP39" s="1"/>
  <c r="AT39"/>
  <c r="AT18" s="1"/>
  <c r="U71"/>
  <c r="W71" s="1"/>
  <c r="AO32"/>
  <c r="U73"/>
  <c r="W73" s="1"/>
  <c r="AO34"/>
  <c r="AP34" s="1"/>
  <c r="W26"/>
  <c r="BA7"/>
  <c r="BF15"/>
  <c r="BE15"/>
  <c r="AR15"/>
  <c r="BF17"/>
  <c r="BE17"/>
  <c r="AR17"/>
  <c r="BF11"/>
  <c r="BE11"/>
  <c r="AR11"/>
  <c r="BE12"/>
  <c r="AR12"/>
  <c r="BF12"/>
  <c r="N81"/>
  <c r="BD21"/>
  <c r="BE56"/>
  <c r="AR56"/>
  <c r="BF56"/>
  <c r="BF13"/>
  <c r="BE13"/>
  <c r="AR13"/>
  <c r="BE16"/>
  <c r="AR16"/>
  <c r="BF16"/>
  <c r="BE20"/>
  <c r="AR20"/>
  <c r="BF20"/>
  <c r="AT36"/>
  <c r="AT15" s="1"/>
  <c r="Q81"/>
  <c r="AR42" s="1"/>
  <c r="AT32"/>
  <c r="BE18"/>
  <c r="AR18"/>
  <c r="BF18"/>
  <c r="U75"/>
  <c r="W75" s="1"/>
  <c r="AO36"/>
  <c r="AT43"/>
  <c r="AT22" s="1"/>
  <c r="AI43"/>
  <c r="AP43" s="1"/>
  <c r="AR39"/>
  <c r="AR37"/>
  <c r="AP36"/>
  <c r="U72"/>
  <c r="W72" s="1"/>
  <c r="Q216"/>
  <c r="AP32"/>
  <c r="AT60" i="20"/>
  <c r="AT56" s="1"/>
  <c r="AM35"/>
  <c r="U74"/>
  <c r="W74" s="1"/>
  <c r="AO42"/>
  <c r="U81"/>
  <c r="W81" s="1"/>
  <c r="BE19"/>
  <c r="AR19"/>
  <c r="BF19"/>
  <c r="AR39"/>
  <c r="AR37"/>
  <c r="AK38"/>
  <c r="AP38" s="1"/>
  <c r="U77"/>
  <c r="W77" s="1"/>
  <c r="C58"/>
  <c r="M58" s="1"/>
  <c r="W58" s="1"/>
  <c r="M26"/>
  <c r="AZ7"/>
  <c r="AP39"/>
  <c r="AP35"/>
  <c r="AP37"/>
  <c r="AT32"/>
  <c r="BE23"/>
  <c r="AR23"/>
  <c r="AT43"/>
  <c r="AT22" s="1"/>
  <c r="AI43"/>
  <c r="AP43" s="1"/>
  <c r="AK40"/>
  <c r="U78"/>
  <c r="W78" s="1"/>
  <c r="BF18"/>
  <c r="BE18"/>
  <c r="AR18"/>
  <c r="BF12"/>
  <c r="BE12"/>
  <c r="AR12"/>
  <c r="BE15"/>
  <c r="AR15"/>
  <c r="BF15"/>
  <c r="BF21"/>
  <c r="BE21"/>
  <c r="AR21"/>
  <c r="BE56"/>
  <c r="AR56"/>
  <c r="BF56"/>
  <c r="BE13"/>
  <c r="AR13"/>
  <c r="BF13"/>
  <c r="BF20"/>
  <c r="BE20"/>
  <c r="AR20"/>
  <c r="BF14"/>
  <c r="BE14"/>
  <c r="AR14"/>
  <c r="BE17"/>
  <c r="AR17"/>
  <c r="BF17"/>
  <c r="BF22"/>
  <c r="BE22"/>
  <c r="AR22"/>
  <c r="AK44"/>
  <c r="AP44" s="1"/>
  <c r="U79"/>
  <c r="W79" s="1"/>
  <c r="AT44"/>
  <c r="AT23" s="1"/>
  <c r="U84"/>
  <c r="W84" s="1"/>
  <c r="U82"/>
  <c r="W82" s="1"/>
  <c r="U72"/>
  <c r="W72" s="1"/>
  <c r="AO33"/>
  <c r="AP33" s="1"/>
  <c r="AI42"/>
  <c r="AP42" s="1"/>
  <c r="AT42"/>
  <c r="AT21" s="1"/>
  <c r="BE11"/>
  <c r="AR11"/>
  <c r="BF11"/>
  <c r="BF16"/>
  <c r="BE16"/>
  <c r="AR16"/>
  <c r="AR46"/>
  <c r="AT39"/>
  <c r="AT18" s="1"/>
  <c r="U71"/>
  <c r="W71" s="1"/>
  <c r="AP40"/>
  <c r="AT33"/>
  <c r="AT12" s="1"/>
  <c r="AT35"/>
  <c r="AT14" s="1"/>
  <c r="AP32"/>
  <c r="AP22" i="19"/>
  <c r="BE22" s="1"/>
  <c r="U14"/>
  <c r="AJ35" s="1"/>
  <c r="AV22"/>
  <c r="AR39"/>
  <c r="AR37"/>
  <c r="AI38"/>
  <c r="O168"/>
  <c r="O170" s="1"/>
  <c r="O167"/>
  <c r="AA166"/>
  <c r="AA154"/>
  <c r="O156"/>
  <c r="O158" s="1"/>
  <c r="O155"/>
  <c r="AA117"/>
  <c r="O119"/>
  <c r="O121" s="1"/>
  <c r="O118"/>
  <c r="AA91"/>
  <c r="O93"/>
  <c r="O95" s="1"/>
  <c r="O92"/>
  <c r="N73"/>
  <c r="BD13"/>
  <c r="AO38"/>
  <c r="N80"/>
  <c r="BD20"/>
  <c r="AV21"/>
  <c r="AP21"/>
  <c r="AI37"/>
  <c r="AI35"/>
  <c r="AT34"/>
  <c r="AT13" s="1"/>
  <c r="AI34"/>
  <c r="AV12"/>
  <c r="AP12"/>
  <c r="AP11"/>
  <c r="AV11"/>
  <c r="N78"/>
  <c r="BD18"/>
  <c r="BD19"/>
  <c r="N75"/>
  <c r="BD15"/>
  <c r="N72"/>
  <c r="BD12"/>
  <c r="K44"/>
  <c r="U42"/>
  <c r="AN42" s="1"/>
  <c r="AE39"/>
  <c r="AO39" s="1"/>
  <c r="K39"/>
  <c r="AM39" s="1"/>
  <c r="U37"/>
  <c r="AN37" s="1"/>
  <c r="AE35"/>
  <c r="K35"/>
  <c r="U33"/>
  <c r="AN33" s="1"/>
  <c r="B253"/>
  <c r="B255" s="1"/>
  <c r="B174"/>
  <c r="B176" s="1"/>
  <c r="B117"/>
  <c r="B119" s="1"/>
  <c r="AP23"/>
  <c r="AE17"/>
  <c r="AK38" s="1"/>
  <c r="U15"/>
  <c r="AJ36" s="1"/>
  <c r="U12"/>
  <c r="AJ33" s="1"/>
  <c r="U11"/>
  <c r="AJ32" s="1"/>
  <c r="U21"/>
  <c r="AJ42" s="1"/>
  <c r="AE19"/>
  <c r="AP18"/>
  <c r="AP16"/>
  <c r="AA253"/>
  <c r="O255"/>
  <c r="O257" s="1"/>
  <c r="O254"/>
  <c r="AA128"/>
  <c r="O130"/>
  <c r="O132" s="1"/>
  <c r="O129"/>
  <c r="N76"/>
  <c r="BD16"/>
  <c r="N71"/>
  <c r="BD11"/>
  <c r="AO36"/>
  <c r="U73"/>
  <c r="W73" s="1"/>
  <c r="AO34"/>
  <c r="AO32"/>
  <c r="N85"/>
  <c r="BD56"/>
  <c r="N77"/>
  <c r="BD17"/>
  <c r="N74"/>
  <c r="BD14"/>
  <c r="AT43"/>
  <c r="AT22" s="1"/>
  <c r="AI43"/>
  <c r="AP43" s="1"/>
  <c r="AI39"/>
  <c r="AV17"/>
  <c r="AP17"/>
  <c r="AV15"/>
  <c r="AP15"/>
  <c r="AG5"/>
  <c r="AX7"/>
  <c r="AE42"/>
  <c r="K42"/>
  <c r="AM42" s="1"/>
  <c r="U39"/>
  <c r="AN39" s="1"/>
  <c r="B154"/>
  <c r="B156" s="1"/>
  <c r="Q85"/>
  <c r="AR60" s="1"/>
  <c r="Q73"/>
  <c r="AR34" s="1"/>
  <c r="Q80"/>
  <c r="AE37"/>
  <c r="K37"/>
  <c r="AM37" s="1"/>
  <c r="U35"/>
  <c r="AN35" s="1"/>
  <c r="AE33"/>
  <c r="K33"/>
  <c r="AM33" s="1"/>
  <c r="AE23"/>
  <c r="AE15"/>
  <c r="AK36" s="1"/>
  <c r="K15"/>
  <c r="K12"/>
  <c r="K11"/>
  <c r="AP45"/>
  <c r="AP14"/>
  <c r="AE21"/>
  <c r="AK42" s="1"/>
  <c r="K21"/>
  <c r="AP19"/>
  <c r="AP41"/>
  <c r="AF42" i="18"/>
  <c r="BB21" s="1"/>
  <c r="AF39"/>
  <c r="BB18" s="1"/>
  <c r="AF38"/>
  <c r="BB17" s="1"/>
  <c r="AF37"/>
  <c r="BB16" s="1"/>
  <c r="AF33"/>
  <c r="BB12" s="1"/>
  <c r="V42"/>
  <c r="BA21" s="1"/>
  <c r="V37"/>
  <c r="BA16" s="1"/>
  <c r="V35"/>
  <c r="BA14" s="1"/>
  <c r="V33"/>
  <c r="BA12" s="1"/>
  <c r="Q83"/>
  <c r="BD23"/>
  <c r="N83"/>
  <c r="K44"/>
  <c r="AM44" s="1"/>
  <c r="L43"/>
  <c r="AZ22" s="1"/>
  <c r="L42"/>
  <c r="AZ21" s="1"/>
  <c r="L39"/>
  <c r="AZ18" s="1"/>
  <c r="L37"/>
  <c r="AZ16" s="1"/>
  <c r="L35"/>
  <c r="AZ14" s="1"/>
  <c r="L33"/>
  <c r="AZ12" s="1"/>
  <c r="L14"/>
  <c r="AV14" s="1"/>
  <c r="L12"/>
  <c r="AP12" s="1"/>
  <c r="AE41"/>
  <c r="AE45"/>
  <c r="AO45" s="1"/>
  <c r="U40"/>
  <c r="AN40" s="1"/>
  <c r="U43"/>
  <c r="AN43" s="1"/>
  <c r="U41"/>
  <c r="AN41" s="1"/>
  <c r="U45"/>
  <c r="AN45" s="1"/>
  <c r="AT44"/>
  <c r="AT40"/>
  <c r="K41"/>
  <c r="K45"/>
  <c r="AE19"/>
  <c r="AK40" s="1"/>
  <c r="AE23"/>
  <c r="AK44" s="1"/>
  <c r="U20"/>
  <c r="AJ41" s="1"/>
  <c r="U22"/>
  <c r="AJ43" s="1"/>
  <c r="U15"/>
  <c r="AJ36" s="1"/>
  <c r="U17"/>
  <c r="AJ38" s="1"/>
  <c r="U19"/>
  <c r="AJ40" s="1"/>
  <c r="U23"/>
  <c r="AJ44" s="1"/>
  <c r="AP24"/>
  <c r="K22"/>
  <c r="K17"/>
  <c r="K19"/>
  <c r="AV20"/>
  <c r="K23"/>
  <c r="AX7"/>
  <c r="AG5"/>
  <c r="AL33"/>
  <c r="AY12"/>
  <c r="AL34"/>
  <c r="AY13"/>
  <c r="AL36"/>
  <c r="AY15"/>
  <c r="AI38"/>
  <c r="AI40"/>
  <c r="AT19"/>
  <c r="AL40"/>
  <c r="AY19"/>
  <c r="AI41"/>
  <c r="AL41"/>
  <c r="AY20"/>
  <c r="AT23"/>
  <c r="AI44"/>
  <c r="AL44"/>
  <c r="AY23"/>
  <c r="AL32"/>
  <c r="AY11"/>
  <c r="AP14"/>
  <c r="AL35"/>
  <c r="AY14"/>
  <c r="AP16"/>
  <c r="AV16"/>
  <c r="AL37"/>
  <c r="AY16"/>
  <c r="AL38"/>
  <c r="AY17"/>
  <c r="AV18"/>
  <c r="AL39"/>
  <c r="AY18"/>
  <c r="AL42"/>
  <c r="AY21"/>
  <c r="AI43"/>
  <c r="AL43"/>
  <c r="AY22"/>
  <c r="AI45"/>
  <c r="BE24"/>
  <c r="AR24"/>
  <c r="AL45"/>
  <c r="AY24"/>
  <c r="BF24" s="1"/>
  <c r="AW26"/>
  <c r="AM26"/>
  <c r="AN26" s="1"/>
  <c r="AO26" s="1"/>
  <c r="U84"/>
  <c r="W84" s="1"/>
  <c r="U82"/>
  <c r="W82" s="1"/>
  <c r="U79"/>
  <c r="W79" s="1"/>
  <c r="AO44"/>
  <c r="Q84"/>
  <c r="AR45" s="1"/>
  <c r="Q79"/>
  <c r="Q77"/>
  <c r="AR38" s="1"/>
  <c r="N69"/>
  <c r="Q71"/>
  <c r="AR32" s="1"/>
  <c r="Q69"/>
  <c r="Q68"/>
  <c r="I71"/>
  <c r="K71"/>
  <c r="K72"/>
  <c r="I72"/>
  <c r="I73"/>
  <c r="K73"/>
  <c r="K74"/>
  <c r="I74"/>
  <c r="K78"/>
  <c r="I78"/>
  <c r="O101"/>
  <c r="O103" s="1"/>
  <c r="O100"/>
  <c r="AA99"/>
  <c r="O111"/>
  <c r="O113" s="1"/>
  <c r="O110"/>
  <c r="AA109"/>
  <c r="B132"/>
  <c r="B134" s="1"/>
  <c r="B135"/>
  <c r="B136" s="1"/>
  <c r="B138" s="1"/>
  <c r="B153"/>
  <c r="B150"/>
  <c r="B152" s="1"/>
  <c r="B173"/>
  <c r="B170"/>
  <c r="B172" s="1"/>
  <c r="O187"/>
  <c r="O189" s="1"/>
  <c r="O186"/>
  <c r="AA185"/>
  <c r="AW7"/>
  <c r="L11"/>
  <c r="K11" s="1"/>
  <c r="V11"/>
  <c r="AW11" s="1"/>
  <c r="AF11"/>
  <c r="AX11" s="1"/>
  <c r="K12"/>
  <c r="U12"/>
  <c r="AJ33" s="1"/>
  <c r="AE12"/>
  <c r="AK33" s="1"/>
  <c r="L13"/>
  <c r="V13"/>
  <c r="AW13" s="1"/>
  <c r="AF13"/>
  <c r="AX13" s="1"/>
  <c r="K14"/>
  <c r="U14"/>
  <c r="AJ35" s="1"/>
  <c r="AE14"/>
  <c r="AK35" s="1"/>
  <c r="L15"/>
  <c r="AF15"/>
  <c r="AX15" s="1"/>
  <c r="K16"/>
  <c r="U16"/>
  <c r="AJ37" s="1"/>
  <c r="AE16"/>
  <c r="AK37" s="1"/>
  <c r="AF17"/>
  <c r="AX17" s="1"/>
  <c r="K18"/>
  <c r="U18"/>
  <c r="AJ39" s="1"/>
  <c r="AE18"/>
  <c r="AK39" s="1"/>
  <c r="AP19"/>
  <c r="AE20"/>
  <c r="AK41" s="1"/>
  <c r="L21"/>
  <c r="V21"/>
  <c r="AW21" s="1"/>
  <c r="AF21"/>
  <c r="AX21" s="1"/>
  <c r="AE22"/>
  <c r="AK43" s="1"/>
  <c r="AP23"/>
  <c r="BE23" s="1"/>
  <c r="BF23"/>
  <c r="AE24"/>
  <c r="AK45" s="1"/>
  <c r="AV24"/>
  <c r="AO40"/>
  <c r="U78"/>
  <c r="W78" s="1"/>
  <c r="U80"/>
  <c r="W80" s="1"/>
  <c r="AO41"/>
  <c r="K75"/>
  <c r="I75"/>
  <c r="I76"/>
  <c r="K76"/>
  <c r="K77"/>
  <c r="I77"/>
  <c r="I80"/>
  <c r="K80"/>
  <c r="Z80" s="1"/>
  <c r="I85"/>
  <c r="K85"/>
  <c r="B95"/>
  <c r="B97" s="1"/>
  <c r="B98"/>
  <c r="B116"/>
  <c r="B117" s="1"/>
  <c r="B119" s="1"/>
  <c r="B113"/>
  <c r="B115" s="1"/>
  <c r="O138"/>
  <c r="O140" s="1"/>
  <c r="O137"/>
  <c r="AA136"/>
  <c r="O148"/>
  <c r="O150" s="1"/>
  <c r="O147"/>
  <c r="AA146"/>
  <c r="O176"/>
  <c r="O178" s="1"/>
  <c r="O175"/>
  <c r="AA174"/>
  <c r="B192"/>
  <c r="B189"/>
  <c r="B191" s="1"/>
  <c r="AD213"/>
  <c r="L32"/>
  <c r="AZ11" s="1"/>
  <c r="V32"/>
  <c r="BA11" s="1"/>
  <c r="AF32"/>
  <c r="BB11" s="1"/>
  <c r="K33"/>
  <c r="U33"/>
  <c r="AN33" s="1"/>
  <c r="AE33"/>
  <c r="L34"/>
  <c r="AZ13" s="1"/>
  <c r="V34"/>
  <c r="BA13" s="1"/>
  <c r="AF34"/>
  <c r="BB13" s="1"/>
  <c r="K35"/>
  <c r="U35"/>
  <c r="AN35" s="1"/>
  <c r="AE35"/>
  <c r="L36"/>
  <c r="AZ15" s="1"/>
  <c r="V36"/>
  <c r="BA15" s="1"/>
  <c r="AF36"/>
  <c r="BB15" s="1"/>
  <c r="K37"/>
  <c r="U37"/>
  <c r="AN37" s="1"/>
  <c r="AE37"/>
  <c r="L38"/>
  <c r="AZ17" s="1"/>
  <c r="V38"/>
  <c r="BA17" s="1"/>
  <c r="K39"/>
  <c r="U39"/>
  <c r="AN39" s="1"/>
  <c r="AE39"/>
  <c r="AO39" s="1"/>
  <c r="K42"/>
  <c r="U42"/>
  <c r="AN42" s="1"/>
  <c r="AF43"/>
  <c r="BB22" s="1"/>
  <c r="AV56"/>
  <c r="C68"/>
  <c r="E81"/>
  <c r="I82"/>
  <c r="O91"/>
  <c r="AL109"/>
  <c r="AL108" s="1"/>
  <c r="AO108" s="1"/>
  <c r="AO109" s="1"/>
  <c r="O116"/>
  <c r="O117" s="1"/>
  <c r="O128"/>
  <c r="O153"/>
  <c r="O154" s="1"/>
  <c r="O192"/>
  <c r="O193" s="1"/>
  <c r="C69"/>
  <c r="O166"/>
  <c r="N72" i="17"/>
  <c r="BD12"/>
  <c r="AO23"/>
  <c r="AP23" s="1"/>
  <c r="AO24"/>
  <c r="V32"/>
  <c r="BA11" s="1"/>
  <c r="AF32"/>
  <c r="BB11" s="1"/>
  <c r="L33"/>
  <c r="AZ12" s="1"/>
  <c r="V33"/>
  <c r="BA12" s="1"/>
  <c r="AF33"/>
  <c r="BB12" s="1"/>
  <c r="V34"/>
  <c r="BA13" s="1"/>
  <c r="L35"/>
  <c r="AZ14" s="1"/>
  <c r="V35"/>
  <c r="BA14" s="1"/>
  <c r="AF35"/>
  <c r="BB14" s="1"/>
  <c r="L36"/>
  <c r="AZ15" s="1"/>
  <c r="AF36"/>
  <c r="BB15" s="1"/>
  <c r="L37"/>
  <c r="AZ16" s="1"/>
  <c r="V37"/>
  <c r="BA16" s="1"/>
  <c r="AF37"/>
  <c r="BB16" s="1"/>
  <c r="L38"/>
  <c r="AZ17" s="1"/>
  <c r="V38"/>
  <c r="BA17" s="1"/>
  <c r="L12"/>
  <c r="V12"/>
  <c r="AW12" s="1"/>
  <c r="AF12"/>
  <c r="AX12" s="1"/>
  <c r="AO12"/>
  <c r="L16"/>
  <c r="V16"/>
  <c r="AW16" s="1"/>
  <c r="AF16"/>
  <c r="AX16" s="1"/>
  <c r="AO16"/>
  <c r="K56"/>
  <c r="AI60" s="1"/>
  <c r="C82"/>
  <c r="E82" s="1"/>
  <c r="I82"/>
  <c r="N82" s="1"/>
  <c r="I77"/>
  <c r="K77"/>
  <c r="I85"/>
  <c r="K85"/>
  <c r="N75"/>
  <c r="BD15"/>
  <c r="L11"/>
  <c r="AV11" s="1"/>
  <c r="AF11"/>
  <c r="AX11" s="1"/>
  <c r="AO11"/>
  <c r="L13"/>
  <c r="AV13" s="1"/>
  <c r="V13"/>
  <c r="AW13" s="1"/>
  <c r="AF13"/>
  <c r="AX13" s="1"/>
  <c r="AO13"/>
  <c r="L14"/>
  <c r="V14"/>
  <c r="AW14" s="1"/>
  <c r="AF14"/>
  <c r="AX14" s="1"/>
  <c r="AO14"/>
  <c r="L18"/>
  <c r="V18"/>
  <c r="AW18" s="1"/>
  <c r="AF18"/>
  <c r="AX18" s="1"/>
  <c r="AO18"/>
  <c r="AO19"/>
  <c r="L39"/>
  <c r="AZ18" s="1"/>
  <c r="V39"/>
  <c r="BA18" s="1"/>
  <c r="AF39"/>
  <c r="BB18" s="1"/>
  <c r="U40"/>
  <c r="AN40" s="1"/>
  <c r="U41"/>
  <c r="AN41" s="1"/>
  <c r="K60"/>
  <c r="AM60" s="1"/>
  <c r="AE60"/>
  <c r="AO60" s="1"/>
  <c r="C69"/>
  <c r="I73"/>
  <c r="K74"/>
  <c r="O116"/>
  <c r="O117" s="1"/>
  <c r="O153"/>
  <c r="O154" s="1"/>
  <c r="AA154" s="1"/>
  <c r="O192"/>
  <c r="O193" s="1"/>
  <c r="AA193" s="1"/>
  <c r="E81"/>
  <c r="I81" s="1"/>
  <c r="N81" s="1"/>
  <c r="AE56"/>
  <c r="AK60" s="1"/>
  <c r="O128"/>
  <c r="AA128" s="1"/>
  <c r="AK170"/>
  <c r="Q83"/>
  <c r="Q81"/>
  <c r="Q82"/>
  <c r="N83"/>
  <c r="BD23"/>
  <c r="AO17"/>
  <c r="AE22"/>
  <c r="AF43"/>
  <c r="AE43" s="1"/>
  <c r="V21"/>
  <c r="AW21" s="1"/>
  <c r="L21"/>
  <c r="AV21" s="1"/>
  <c r="AE38"/>
  <c r="AO38" s="1"/>
  <c r="U45"/>
  <c r="AN45" s="1"/>
  <c r="K38"/>
  <c r="AM38" s="1"/>
  <c r="AE11"/>
  <c r="AK32" s="1"/>
  <c r="AE13"/>
  <c r="AK34" s="1"/>
  <c r="AE19"/>
  <c r="AK40" s="1"/>
  <c r="AK43"/>
  <c r="AE20"/>
  <c r="AK41" s="1"/>
  <c r="AE24"/>
  <c r="AK45" s="1"/>
  <c r="U23"/>
  <c r="AJ44" s="1"/>
  <c r="U24"/>
  <c r="AJ45" s="1"/>
  <c r="U13"/>
  <c r="AJ34" s="1"/>
  <c r="U19"/>
  <c r="AJ40" s="1"/>
  <c r="AJ43"/>
  <c r="K11"/>
  <c r="AV23"/>
  <c r="K13"/>
  <c r="AI34" s="1"/>
  <c r="K19"/>
  <c r="K20"/>
  <c r="K24"/>
  <c r="AY11"/>
  <c r="AL32"/>
  <c r="AL34"/>
  <c r="AY13"/>
  <c r="AX7"/>
  <c r="AG5"/>
  <c r="AI32"/>
  <c r="AP14"/>
  <c r="AV14"/>
  <c r="AL35"/>
  <c r="AY14"/>
  <c r="AL38"/>
  <c r="AY17"/>
  <c r="AI44"/>
  <c r="AY23"/>
  <c r="AL44"/>
  <c r="AW26"/>
  <c r="AM26"/>
  <c r="AN26" s="1"/>
  <c r="AO26" s="1"/>
  <c r="U83" s="1"/>
  <c r="W83" s="1"/>
  <c r="B173"/>
  <c r="B170"/>
  <c r="B172" s="1"/>
  <c r="BF14"/>
  <c r="BF23"/>
  <c r="AP12"/>
  <c r="AV12"/>
  <c r="AL33"/>
  <c r="AY12"/>
  <c r="BF12" s="1"/>
  <c r="AL36"/>
  <c r="AY15"/>
  <c r="AP16"/>
  <c r="AV16"/>
  <c r="AL37"/>
  <c r="AY16"/>
  <c r="BF16" s="1"/>
  <c r="AP18"/>
  <c r="AV18"/>
  <c r="AL39"/>
  <c r="AY18"/>
  <c r="BF18" s="1"/>
  <c r="AI40"/>
  <c r="AL40"/>
  <c r="AY19"/>
  <c r="AI41"/>
  <c r="AL41"/>
  <c r="AY20"/>
  <c r="AY21"/>
  <c r="AL42"/>
  <c r="AI43"/>
  <c r="AL43"/>
  <c r="AY22"/>
  <c r="AI45"/>
  <c r="AL45"/>
  <c r="AY24"/>
  <c r="N84"/>
  <c r="BD24"/>
  <c r="B116"/>
  <c r="B113"/>
  <c r="B115" s="1"/>
  <c r="AA117"/>
  <c r="O119"/>
  <c r="O121" s="1"/>
  <c r="O118"/>
  <c r="B153"/>
  <c r="B150"/>
  <c r="B152" s="1"/>
  <c r="B192"/>
  <c r="B189"/>
  <c r="B191" s="1"/>
  <c r="O101"/>
  <c r="O103" s="1"/>
  <c r="O100"/>
  <c r="O173"/>
  <c r="O174" s="1"/>
  <c r="O166"/>
  <c r="V11"/>
  <c r="AW11" s="1"/>
  <c r="U12"/>
  <c r="AJ33" s="1"/>
  <c r="AE12"/>
  <c r="AK33" s="1"/>
  <c r="K14"/>
  <c r="U14"/>
  <c r="AJ35" s="1"/>
  <c r="AE14"/>
  <c r="AK35" s="1"/>
  <c r="L15"/>
  <c r="V15"/>
  <c r="AW15" s="1"/>
  <c r="AF15"/>
  <c r="AX15" s="1"/>
  <c r="BF15"/>
  <c r="K16"/>
  <c r="U16"/>
  <c r="AJ37" s="1"/>
  <c r="AE16"/>
  <c r="AK37" s="1"/>
  <c r="L17"/>
  <c r="V17"/>
  <c r="AW17" s="1"/>
  <c r="AF17"/>
  <c r="AX17" s="1"/>
  <c r="K18"/>
  <c r="U18"/>
  <c r="AJ39" s="1"/>
  <c r="AE18"/>
  <c r="AK39" s="1"/>
  <c r="AP19"/>
  <c r="BE19" s="1"/>
  <c r="BF19"/>
  <c r="AP20"/>
  <c r="AE21"/>
  <c r="AK42" s="1"/>
  <c r="AE23"/>
  <c r="AK44" s="1"/>
  <c r="AP24"/>
  <c r="L32"/>
  <c r="AZ11" s="1"/>
  <c r="U32"/>
  <c r="AN32" s="1"/>
  <c r="K33"/>
  <c r="AM33" s="1"/>
  <c r="AE33"/>
  <c r="U35"/>
  <c r="AN35" s="1"/>
  <c r="K37"/>
  <c r="AM37" s="1"/>
  <c r="AE37"/>
  <c r="U39"/>
  <c r="AN39" s="1"/>
  <c r="AP56"/>
  <c r="Q72"/>
  <c r="AR33" s="1"/>
  <c r="Q75"/>
  <c r="AR36" s="1"/>
  <c r="Q78"/>
  <c r="AR40" s="1"/>
  <c r="O110"/>
  <c r="O130"/>
  <c r="O132" s="1"/>
  <c r="B135"/>
  <c r="B136" s="1"/>
  <c r="B138" s="1"/>
  <c r="O156"/>
  <c r="O158" s="1"/>
  <c r="O195"/>
  <c r="O197" s="1"/>
  <c r="I68"/>
  <c r="N68" s="1"/>
  <c r="C68"/>
  <c r="Q84"/>
  <c r="Q76"/>
  <c r="Q73"/>
  <c r="Q69"/>
  <c r="Q68"/>
  <c r="O138"/>
  <c r="O140" s="1"/>
  <c r="O137"/>
  <c r="O148"/>
  <c r="O150" s="1"/>
  <c r="O147"/>
  <c r="O187"/>
  <c r="O189" s="1"/>
  <c r="O186"/>
  <c r="AW7"/>
  <c r="AP11"/>
  <c r="K12"/>
  <c r="AR19"/>
  <c r="AE32"/>
  <c r="U33"/>
  <c r="AN33" s="1"/>
  <c r="L34"/>
  <c r="AZ13" s="1"/>
  <c r="U34"/>
  <c r="AN34" s="1"/>
  <c r="AF34"/>
  <c r="BB13" s="1"/>
  <c r="K35"/>
  <c r="AE35"/>
  <c r="K36"/>
  <c r="AM36" s="1"/>
  <c r="V36"/>
  <c r="BA15" s="1"/>
  <c r="AE36"/>
  <c r="U37"/>
  <c r="AN37" s="1"/>
  <c r="U38"/>
  <c r="AN38" s="1"/>
  <c r="K39"/>
  <c r="AM39" s="1"/>
  <c r="AE39"/>
  <c r="AO39" s="1"/>
  <c r="K40"/>
  <c r="AM40" s="1"/>
  <c r="AE40"/>
  <c r="K41"/>
  <c r="AM41" s="1"/>
  <c r="AE41"/>
  <c r="K42"/>
  <c r="AM42" s="1"/>
  <c r="V42"/>
  <c r="BA21" s="1"/>
  <c r="AE42"/>
  <c r="K44"/>
  <c r="AM44" s="1"/>
  <c r="AE44"/>
  <c r="K45"/>
  <c r="AM45" s="1"/>
  <c r="AE45"/>
  <c r="AO45" s="1"/>
  <c r="U56"/>
  <c r="AJ60" s="1"/>
  <c r="U60"/>
  <c r="AN60" s="1"/>
  <c r="N69"/>
  <c r="I71"/>
  <c r="Q71" s="1"/>
  <c r="AR32" s="1"/>
  <c r="K72"/>
  <c r="AR34"/>
  <c r="Q74"/>
  <c r="AR35" s="1"/>
  <c r="K75"/>
  <c r="Q77"/>
  <c r="AR38" s="1"/>
  <c r="K78"/>
  <c r="Q79"/>
  <c r="I80"/>
  <c r="Q80" s="1"/>
  <c r="AR45"/>
  <c r="Q85"/>
  <c r="AR60" s="1"/>
  <c r="O91"/>
  <c r="B98"/>
  <c r="B99" s="1"/>
  <c r="B101" s="1"/>
  <c r="AA99"/>
  <c r="AA109"/>
  <c r="O129"/>
  <c r="AA146"/>
  <c r="O155"/>
  <c r="AA185"/>
  <c r="O194"/>
  <c r="AI111" i="16"/>
  <c r="C87"/>
  <c r="E87" s="1"/>
  <c r="I87" s="1"/>
  <c r="C80"/>
  <c r="C79"/>
  <c r="B19"/>
  <c r="B18"/>
  <c r="B40" s="1"/>
  <c r="C83"/>
  <c r="E83" s="1"/>
  <c r="E80"/>
  <c r="I80" s="1"/>
  <c r="AM18"/>
  <c r="AJ18"/>
  <c r="AO18" s="1"/>
  <c r="AC18"/>
  <c r="Z18"/>
  <c r="AF18" s="1"/>
  <c r="S18"/>
  <c r="P18"/>
  <c r="I18"/>
  <c r="F18"/>
  <c r="O110"/>
  <c r="O118" s="1"/>
  <c r="O119" s="1"/>
  <c r="B109"/>
  <c r="B110" s="1"/>
  <c r="B111" s="1"/>
  <c r="B113" s="1"/>
  <c r="O92"/>
  <c r="O100" s="1"/>
  <c r="O101" s="1"/>
  <c r="B91"/>
  <c r="B92" s="1"/>
  <c r="B93" s="1"/>
  <c r="B95" s="1"/>
  <c r="C82"/>
  <c r="E82" s="1"/>
  <c r="AD212"/>
  <c r="U212"/>
  <c r="X212" s="1"/>
  <c r="R212"/>
  <c r="AD211"/>
  <c r="U211"/>
  <c r="X211" s="1"/>
  <c r="R211"/>
  <c r="AD210"/>
  <c r="U210"/>
  <c r="X210" s="1"/>
  <c r="R210"/>
  <c r="AD209"/>
  <c r="U209"/>
  <c r="X209" s="1"/>
  <c r="R209"/>
  <c r="AD208"/>
  <c r="U208"/>
  <c r="X208" s="1"/>
  <c r="R208"/>
  <c r="AD207"/>
  <c r="U207"/>
  <c r="X207" s="1"/>
  <c r="R207"/>
  <c r="AD206"/>
  <c r="AD213" s="1"/>
  <c r="U206"/>
  <c r="X206" s="1"/>
  <c r="X213" s="1"/>
  <c r="R206"/>
  <c r="O186"/>
  <c r="O187" s="1"/>
  <c r="B185"/>
  <c r="B186" s="1"/>
  <c r="B187" s="1"/>
  <c r="B189" s="1"/>
  <c r="AJ171"/>
  <c r="AG171"/>
  <c r="AJ170"/>
  <c r="AG170"/>
  <c r="AJ169"/>
  <c r="AG169"/>
  <c r="AG168"/>
  <c r="AJ168" s="1"/>
  <c r="AJ167"/>
  <c r="AK172" s="1"/>
  <c r="O167"/>
  <c r="O175" s="1"/>
  <c r="O176" s="1"/>
  <c r="B167"/>
  <c r="B168" s="1"/>
  <c r="B170" s="1"/>
  <c r="B166"/>
  <c r="O147"/>
  <c r="O148" s="1"/>
  <c r="B146"/>
  <c r="B147" s="1"/>
  <c r="B148" s="1"/>
  <c r="B150" s="1"/>
  <c r="O129"/>
  <c r="O137" s="1"/>
  <c r="O138" s="1"/>
  <c r="B128"/>
  <c r="B129" s="1"/>
  <c r="B130" s="1"/>
  <c r="B132" s="1"/>
  <c r="X87"/>
  <c r="U87"/>
  <c r="W87" s="1"/>
  <c r="X86"/>
  <c r="G86"/>
  <c r="K86" s="1"/>
  <c r="E86"/>
  <c r="I86" s="1"/>
  <c r="X85"/>
  <c r="K85"/>
  <c r="I85"/>
  <c r="N85" s="1"/>
  <c r="C85"/>
  <c r="E85" s="1"/>
  <c r="X84"/>
  <c r="I84"/>
  <c r="N84" s="1"/>
  <c r="C84"/>
  <c r="E84" s="1"/>
  <c r="X83"/>
  <c r="X82"/>
  <c r="X81"/>
  <c r="K81"/>
  <c r="X80"/>
  <c r="X79"/>
  <c r="S79"/>
  <c r="E79"/>
  <c r="I79" s="1"/>
  <c r="X78"/>
  <c r="C78"/>
  <c r="E78" s="1"/>
  <c r="K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C73"/>
  <c r="E73" s="1"/>
  <c r="I73" s="1"/>
  <c r="K71"/>
  <c r="E71"/>
  <c r="I71" s="1"/>
  <c r="E70"/>
  <c r="I70" s="1"/>
  <c r="N70" s="1"/>
  <c r="AH66"/>
  <c r="AF62"/>
  <c r="AC62"/>
  <c r="Z62"/>
  <c r="V62"/>
  <c r="BA58" s="1"/>
  <c r="S62"/>
  <c r="P62"/>
  <c r="U62" s="1"/>
  <c r="AN62" s="1"/>
  <c r="L62"/>
  <c r="I62"/>
  <c r="F62"/>
  <c r="BB58"/>
  <c r="AZ58"/>
  <c r="AM58"/>
  <c r="AL62" s="1"/>
  <c r="AJ58"/>
  <c r="AC58"/>
  <c r="Z58"/>
  <c r="AF58" s="1"/>
  <c r="AX58" s="1"/>
  <c r="V58"/>
  <c r="AW58" s="1"/>
  <c r="S58"/>
  <c r="P58"/>
  <c r="U58" s="1"/>
  <c r="AJ62" s="1"/>
  <c r="L58"/>
  <c r="I58"/>
  <c r="F58"/>
  <c r="B58"/>
  <c r="B62" s="1"/>
  <c r="C56"/>
  <c r="M56" s="1"/>
  <c r="W56" s="1"/>
  <c r="AG56" s="1"/>
  <c r="AW49"/>
  <c r="AF47"/>
  <c r="AC47"/>
  <c r="Z47"/>
  <c r="V47"/>
  <c r="S47"/>
  <c r="P47"/>
  <c r="U47" s="1"/>
  <c r="AN47" s="1"/>
  <c r="L47"/>
  <c r="I47"/>
  <c r="F47"/>
  <c r="AF46"/>
  <c r="AC46"/>
  <c r="Z46"/>
  <c r="AE46" s="1"/>
  <c r="V46"/>
  <c r="S46"/>
  <c r="U46" s="1"/>
  <c r="AN46" s="1"/>
  <c r="P46"/>
  <c r="L46"/>
  <c r="I46"/>
  <c r="F46"/>
  <c r="AC45"/>
  <c r="Z45"/>
  <c r="AF45" s="1"/>
  <c r="S45"/>
  <c r="P45"/>
  <c r="I45"/>
  <c r="F45"/>
  <c r="AC44"/>
  <c r="Z44"/>
  <c r="AF44" s="1"/>
  <c r="BB22" s="1"/>
  <c r="S44"/>
  <c r="P44"/>
  <c r="I44"/>
  <c r="F44"/>
  <c r="AF43"/>
  <c r="AC43"/>
  <c r="Z43"/>
  <c r="V43"/>
  <c r="S43"/>
  <c r="P43"/>
  <c r="L43"/>
  <c r="I43"/>
  <c r="F43"/>
  <c r="AF42"/>
  <c r="AC42"/>
  <c r="Z42"/>
  <c r="V42"/>
  <c r="S42"/>
  <c r="P42"/>
  <c r="L42"/>
  <c r="I42"/>
  <c r="F42"/>
  <c r="AF41"/>
  <c r="AC41"/>
  <c r="Z41"/>
  <c r="V41"/>
  <c r="S41"/>
  <c r="P41"/>
  <c r="U41" s="1"/>
  <c r="AN41" s="1"/>
  <c r="L41"/>
  <c r="I41"/>
  <c r="F41"/>
  <c r="AC40"/>
  <c r="Z40"/>
  <c r="AF40" s="1"/>
  <c r="BB18" s="1"/>
  <c r="S40"/>
  <c r="P40"/>
  <c r="V40" s="1"/>
  <c r="BA18" s="1"/>
  <c r="I40"/>
  <c r="F40"/>
  <c r="AC39"/>
  <c r="Z39"/>
  <c r="AF39" s="1"/>
  <c r="S39"/>
  <c r="P39"/>
  <c r="V39" s="1"/>
  <c r="I39"/>
  <c r="F39"/>
  <c r="L39" s="1"/>
  <c r="AC38"/>
  <c r="Z38"/>
  <c r="S38"/>
  <c r="P38"/>
  <c r="I38"/>
  <c r="F38"/>
  <c r="AC37"/>
  <c r="Z37"/>
  <c r="AF37" s="1"/>
  <c r="S37"/>
  <c r="P37"/>
  <c r="V37" s="1"/>
  <c r="I37"/>
  <c r="F37"/>
  <c r="AC36"/>
  <c r="Z36"/>
  <c r="S36"/>
  <c r="P36"/>
  <c r="I36"/>
  <c r="F36"/>
  <c r="AC35"/>
  <c r="Z35"/>
  <c r="S35"/>
  <c r="P35"/>
  <c r="I35"/>
  <c r="F35"/>
  <c r="AC34"/>
  <c r="Z34"/>
  <c r="S34"/>
  <c r="P34"/>
  <c r="I34"/>
  <c r="F34"/>
  <c r="AC33"/>
  <c r="Z33"/>
  <c r="AF33" s="1"/>
  <c r="S33"/>
  <c r="P33"/>
  <c r="V33" s="1"/>
  <c r="I33"/>
  <c r="F33"/>
  <c r="AI27"/>
  <c r="AJ27" s="1"/>
  <c r="AK27" s="1"/>
  <c r="AL27" s="1"/>
  <c r="BB25"/>
  <c r="BA25"/>
  <c r="AZ25"/>
  <c r="AM25"/>
  <c r="AJ25"/>
  <c r="AC25"/>
  <c r="Z25"/>
  <c r="AF25" s="1"/>
  <c r="AX25" s="1"/>
  <c r="V25"/>
  <c r="AW25" s="1"/>
  <c r="S25"/>
  <c r="P25"/>
  <c r="U25" s="1"/>
  <c r="AJ47" s="1"/>
  <c r="L25"/>
  <c r="I25"/>
  <c r="F25"/>
  <c r="B25"/>
  <c r="B47" s="1"/>
  <c r="BD24"/>
  <c r="BB24"/>
  <c r="BA24"/>
  <c r="AZ24"/>
  <c r="AM24"/>
  <c r="AJ24"/>
  <c r="AO24" s="1"/>
  <c r="AC24"/>
  <c r="Z24"/>
  <c r="V24"/>
  <c r="AW24" s="1"/>
  <c r="S24"/>
  <c r="P24"/>
  <c r="L24"/>
  <c r="I24"/>
  <c r="F24"/>
  <c r="B24"/>
  <c r="B46" s="1"/>
  <c r="BD23"/>
  <c r="BB23"/>
  <c r="AM23"/>
  <c r="AJ23"/>
  <c r="AC23"/>
  <c r="Z23"/>
  <c r="S23"/>
  <c r="P23"/>
  <c r="I23"/>
  <c r="F23"/>
  <c r="B23"/>
  <c r="B45" s="1"/>
  <c r="AM22"/>
  <c r="AJ22"/>
  <c r="AO22" s="1"/>
  <c r="AC22"/>
  <c r="Z22"/>
  <c r="V22"/>
  <c r="AW22" s="1"/>
  <c r="S22"/>
  <c r="P22"/>
  <c r="L22"/>
  <c r="AV22" s="1"/>
  <c r="I22"/>
  <c r="F22"/>
  <c r="K22" s="1"/>
  <c r="B22"/>
  <c r="B44" s="1"/>
  <c r="BB21"/>
  <c r="BA21"/>
  <c r="AZ21"/>
  <c r="AM21"/>
  <c r="AJ21"/>
  <c r="AC21"/>
  <c r="Z21"/>
  <c r="AF21" s="1"/>
  <c r="AX21" s="1"/>
  <c r="V21"/>
  <c r="AW21" s="1"/>
  <c r="S21"/>
  <c r="P21"/>
  <c r="L21"/>
  <c r="I21"/>
  <c r="F21"/>
  <c r="B21"/>
  <c r="B43" s="1"/>
  <c r="BB20"/>
  <c r="AM20"/>
  <c r="AJ20"/>
  <c r="AO20" s="1"/>
  <c r="AC20"/>
  <c r="Z20"/>
  <c r="V20"/>
  <c r="AW20" s="1"/>
  <c r="S20"/>
  <c r="P20"/>
  <c r="L20"/>
  <c r="AV20" s="1"/>
  <c r="I20"/>
  <c r="F20"/>
  <c r="K20" s="1"/>
  <c r="B20"/>
  <c r="B42" s="1"/>
  <c r="BB19"/>
  <c r="BA19"/>
  <c r="AZ19"/>
  <c r="AM19"/>
  <c r="AJ19"/>
  <c r="AO19" s="1"/>
  <c r="AC19"/>
  <c r="Z19"/>
  <c r="AF19" s="1"/>
  <c r="AX19" s="1"/>
  <c r="V19"/>
  <c r="AW19" s="1"/>
  <c r="S19"/>
  <c r="P19"/>
  <c r="L19"/>
  <c r="I19"/>
  <c r="F19"/>
  <c r="B41"/>
  <c r="BB17"/>
  <c r="BA17"/>
  <c r="AZ17"/>
  <c r="AM17"/>
  <c r="AJ17"/>
  <c r="AC17"/>
  <c r="Z17"/>
  <c r="S17"/>
  <c r="P17"/>
  <c r="I17"/>
  <c r="F17"/>
  <c r="B17"/>
  <c r="B39" s="1"/>
  <c r="AM16"/>
  <c r="AJ16"/>
  <c r="AO16" s="1"/>
  <c r="AC16"/>
  <c r="Z16"/>
  <c r="S16"/>
  <c r="P16"/>
  <c r="I16"/>
  <c r="F16"/>
  <c r="B16"/>
  <c r="B38" s="1"/>
  <c r="BB15"/>
  <c r="BA15"/>
  <c r="AM15"/>
  <c r="AJ15"/>
  <c r="AO15" s="1"/>
  <c r="AC15"/>
  <c r="Z15"/>
  <c r="S15"/>
  <c r="P15"/>
  <c r="I15"/>
  <c r="F15"/>
  <c r="B15"/>
  <c r="B37" s="1"/>
  <c r="AM14"/>
  <c r="AJ14"/>
  <c r="AC14"/>
  <c r="Z14"/>
  <c r="S14"/>
  <c r="P14"/>
  <c r="I14"/>
  <c r="F14"/>
  <c r="B14"/>
  <c r="B36" s="1"/>
  <c r="BD13"/>
  <c r="AM13"/>
  <c r="AJ13"/>
  <c r="AC13"/>
  <c r="Z13"/>
  <c r="V13"/>
  <c r="AW13" s="1"/>
  <c r="S13"/>
  <c r="P13"/>
  <c r="I13"/>
  <c r="F13"/>
  <c r="B13"/>
  <c r="B35" s="1"/>
  <c r="AM12"/>
  <c r="AJ12"/>
  <c r="AC12"/>
  <c r="Z12"/>
  <c r="S12"/>
  <c r="P12"/>
  <c r="I12"/>
  <c r="F12"/>
  <c r="B12"/>
  <c r="B34" s="1"/>
  <c r="BB11"/>
  <c r="BA11"/>
  <c r="AM11"/>
  <c r="AJ11"/>
  <c r="AO11" s="1"/>
  <c r="AC11"/>
  <c r="Z11"/>
  <c r="S11"/>
  <c r="P11"/>
  <c r="I11"/>
  <c r="F11"/>
  <c r="B11"/>
  <c r="B33" s="1"/>
  <c r="AV7"/>
  <c r="M5"/>
  <c r="AW7" s="1"/>
  <c r="AD178" i="15"/>
  <c r="U178"/>
  <c r="X178" s="1"/>
  <c r="R178"/>
  <c r="AD177"/>
  <c r="U177"/>
  <c r="X177" s="1"/>
  <c r="R177"/>
  <c r="AD176"/>
  <c r="U176"/>
  <c r="X176" s="1"/>
  <c r="R176"/>
  <c r="AD175"/>
  <c r="U175"/>
  <c r="X175" s="1"/>
  <c r="R175"/>
  <c r="AD174"/>
  <c r="U174"/>
  <c r="X174" s="1"/>
  <c r="R174"/>
  <c r="AD173"/>
  <c r="U173"/>
  <c r="X173" s="1"/>
  <c r="R173"/>
  <c r="AD172"/>
  <c r="AD179" s="1"/>
  <c r="U172"/>
  <c r="X172" s="1"/>
  <c r="R172"/>
  <c r="O152"/>
  <c r="O153" s="1"/>
  <c r="B151"/>
  <c r="B152" s="1"/>
  <c r="B153" s="1"/>
  <c r="B155" s="1"/>
  <c r="AG137"/>
  <c r="AJ137" s="1"/>
  <c r="AJ136"/>
  <c r="AG136"/>
  <c r="AJ135"/>
  <c r="AG135"/>
  <c r="AG134"/>
  <c r="AJ134" s="1"/>
  <c r="O134"/>
  <c r="O136" s="1"/>
  <c r="O138" s="1"/>
  <c r="AJ133"/>
  <c r="AK138" s="1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AT85"/>
  <c r="X85"/>
  <c r="K85"/>
  <c r="I85"/>
  <c r="N85" s="1"/>
  <c r="E85"/>
  <c r="C85"/>
  <c r="X84"/>
  <c r="G84"/>
  <c r="I84" s="1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K79"/>
  <c r="I79"/>
  <c r="N79" s="1"/>
  <c r="E79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V46"/>
  <c r="S46"/>
  <c r="P46"/>
  <c r="U46" s="1"/>
  <c r="AN46" s="1"/>
  <c r="L46"/>
  <c r="I46"/>
  <c r="F46"/>
  <c r="K46" s="1"/>
  <c r="AM46" s="1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V43"/>
  <c r="S43"/>
  <c r="P43"/>
  <c r="U43" s="1"/>
  <c r="AN43" s="1"/>
  <c r="L43"/>
  <c r="I43"/>
  <c r="F43"/>
  <c r="K43" s="1"/>
  <c r="AM43" s="1"/>
  <c r="AF42"/>
  <c r="AC42"/>
  <c r="Z42"/>
  <c r="V42"/>
  <c r="S42"/>
  <c r="P42"/>
  <c r="L42"/>
  <c r="I42"/>
  <c r="F42"/>
  <c r="AF41"/>
  <c r="AC41"/>
  <c r="Z41"/>
  <c r="V41"/>
  <c r="S41"/>
  <c r="P41"/>
  <c r="U41" s="1"/>
  <c r="AN41" s="1"/>
  <c r="L41"/>
  <c r="I41"/>
  <c r="F41"/>
  <c r="K41" s="1"/>
  <c r="AM41" s="1"/>
  <c r="AF40"/>
  <c r="AC40"/>
  <c r="Z40"/>
  <c r="V40"/>
  <c r="S40"/>
  <c r="U40" s="1"/>
  <c r="AN40" s="1"/>
  <c r="P40"/>
  <c r="L40"/>
  <c r="I40"/>
  <c r="K40" s="1"/>
  <c r="AM40" s="1"/>
  <c r="F40"/>
  <c r="B40"/>
  <c r="AC39"/>
  <c r="Z39"/>
  <c r="AF39" s="1"/>
  <c r="S39"/>
  <c r="P39"/>
  <c r="V39" s="1"/>
  <c r="I39"/>
  <c r="F39"/>
  <c r="AC38"/>
  <c r="Z38"/>
  <c r="S38"/>
  <c r="P38"/>
  <c r="I38"/>
  <c r="F38"/>
  <c r="AC37"/>
  <c r="Z37"/>
  <c r="AF37" s="1"/>
  <c r="BB15" s="1"/>
  <c r="S37"/>
  <c r="P37"/>
  <c r="V37" s="1"/>
  <c r="I37"/>
  <c r="F37"/>
  <c r="L37" s="1"/>
  <c r="AC36"/>
  <c r="Z36"/>
  <c r="S36"/>
  <c r="P36"/>
  <c r="I36"/>
  <c r="F36"/>
  <c r="AF35"/>
  <c r="AC35"/>
  <c r="Z35"/>
  <c r="AE35" s="1"/>
  <c r="S35"/>
  <c r="P35"/>
  <c r="V35" s="1"/>
  <c r="I35"/>
  <c r="F35"/>
  <c r="L35" s="1"/>
  <c r="AC34"/>
  <c r="Z34"/>
  <c r="S34"/>
  <c r="P34"/>
  <c r="I34"/>
  <c r="F34"/>
  <c r="AC33"/>
  <c r="Z33"/>
  <c r="AF33" s="1"/>
  <c r="BB11" s="1"/>
  <c r="S33"/>
  <c r="P33"/>
  <c r="V33" s="1"/>
  <c r="BA11" s="1"/>
  <c r="I33"/>
  <c r="F33"/>
  <c r="L33" s="1"/>
  <c r="AI27"/>
  <c r="AJ27" s="1"/>
  <c r="AK27" s="1"/>
  <c r="AL27" s="1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K25" s="1"/>
  <c r="B25"/>
  <c r="B47" s="1"/>
  <c r="BD24"/>
  <c r="BB24"/>
  <c r="BA24"/>
  <c r="AZ24"/>
  <c r="AM24"/>
  <c r="AJ24"/>
  <c r="AO24" s="1"/>
  <c r="AC24"/>
  <c r="Z24"/>
  <c r="AF24" s="1"/>
  <c r="AX24" s="1"/>
  <c r="V24"/>
  <c r="AW24" s="1"/>
  <c r="S24"/>
  <c r="P24"/>
  <c r="L24"/>
  <c r="I24"/>
  <c r="F24"/>
  <c r="B24"/>
  <c r="B46" s="1"/>
  <c r="BD23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L22"/>
  <c r="AV22" s="1"/>
  <c r="I22"/>
  <c r="F22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P21"/>
  <c r="U21" s="1"/>
  <c r="AJ43" s="1"/>
  <c r="L21"/>
  <c r="AP21" s="1"/>
  <c r="I21"/>
  <c r="F21"/>
  <c r="K21" s="1"/>
  <c r="B21"/>
  <c r="B43" s="1"/>
  <c r="AM20"/>
  <c r="AJ20"/>
  <c r="AO20" s="1"/>
  <c r="AC20"/>
  <c r="Z20"/>
  <c r="AF20" s="1"/>
  <c r="AX20" s="1"/>
  <c r="V20"/>
  <c r="AW20" s="1"/>
  <c r="S20"/>
  <c r="U20" s="1"/>
  <c r="AJ42" s="1"/>
  <c r="P20"/>
  <c r="L20"/>
  <c r="AV20" s="1"/>
  <c r="I20"/>
  <c r="F20"/>
  <c r="B20"/>
  <c r="B42" s="1"/>
  <c r="BD19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1" s="1"/>
  <c r="L19"/>
  <c r="I19"/>
  <c r="F19"/>
  <c r="K19" s="1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P18"/>
  <c r="L18"/>
  <c r="AV18" s="1"/>
  <c r="I18"/>
  <c r="F18"/>
  <c r="BD17"/>
  <c r="BB17"/>
  <c r="BA17"/>
  <c r="AM17"/>
  <c r="AJ17"/>
  <c r="AO17" s="1"/>
  <c r="AC17"/>
  <c r="Z17"/>
  <c r="S17"/>
  <c r="P17"/>
  <c r="I17"/>
  <c r="F17"/>
  <c r="B17"/>
  <c r="B39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BA15"/>
  <c r="AZ15"/>
  <c r="AM15"/>
  <c r="AJ15"/>
  <c r="AO15" s="1"/>
  <c r="AC15"/>
  <c r="Z15"/>
  <c r="AF15" s="1"/>
  <c r="AX15" s="1"/>
  <c r="S15"/>
  <c r="P15"/>
  <c r="I15"/>
  <c r="F15"/>
  <c r="B15"/>
  <c r="B37" s="1"/>
  <c r="AM14"/>
  <c r="AJ14"/>
  <c r="AO14" s="1"/>
  <c r="AC14"/>
  <c r="Z14"/>
  <c r="AF14" s="1"/>
  <c r="AX14" s="1"/>
  <c r="S14"/>
  <c r="P14"/>
  <c r="I14"/>
  <c r="F14"/>
  <c r="B14"/>
  <c r="B36" s="1"/>
  <c r="BD13"/>
  <c r="BB13"/>
  <c r="BA13"/>
  <c r="AZ13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5" s="1"/>
  <c r="AM12"/>
  <c r="AJ12"/>
  <c r="AO12" s="1"/>
  <c r="AC12"/>
  <c r="Z12"/>
  <c r="AF12" s="1"/>
  <c r="AX12" s="1"/>
  <c r="S12"/>
  <c r="P12"/>
  <c r="I12"/>
  <c r="F12"/>
  <c r="B12"/>
  <c r="B34" s="1"/>
  <c r="BD11"/>
  <c r="AZ1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3" s="1"/>
  <c r="AV7"/>
  <c r="M5"/>
  <c r="AW7" s="1"/>
  <c r="AC39" i="14"/>
  <c r="G84"/>
  <c r="BB7" i="25" l="1"/>
  <c r="B1"/>
  <c r="B3" s="1"/>
  <c r="BB7" i="23"/>
  <c r="B1"/>
  <c r="B3" s="1"/>
  <c r="BE21" i="22"/>
  <c r="AR21"/>
  <c r="BF21"/>
  <c r="W26"/>
  <c r="BA7"/>
  <c r="BF25"/>
  <c r="BE25"/>
  <c r="AQ64"/>
  <c r="AT46"/>
  <c r="AR1" s="1"/>
  <c r="AT11"/>
  <c r="AQ64" i="21"/>
  <c r="BF21"/>
  <c r="BE21"/>
  <c r="AR21"/>
  <c r="BE25"/>
  <c r="AT46"/>
  <c r="AR1" s="1"/>
  <c r="AT11"/>
  <c r="BB7"/>
  <c r="B1"/>
  <c r="B3" s="1"/>
  <c r="BF25"/>
  <c r="AT46" i="20"/>
  <c r="AR1" s="1"/>
  <c r="AT11"/>
  <c r="AQ64"/>
  <c r="BF25"/>
  <c r="BE25"/>
  <c r="W26"/>
  <c r="BA7"/>
  <c r="AT39" i="19"/>
  <c r="AT18" s="1"/>
  <c r="AR22"/>
  <c r="AI42"/>
  <c r="AT42"/>
  <c r="AT21" s="1"/>
  <c r="AT32"/>
  <c r="AI32"/>
  <c r="AP32" s="1"/>
  <c r="AT36"/>
  <c r="AT15" s="1"/>
  <c r="AI36"/>
  <c r="AP36" s="1"/>
  <c r="AK44"/>
  <c r="AT44"/>
  <c r="AT23" s="1"/>
  <c r="U72"/>
  <c r="W72" s="1"/>
  <c r="AO33"/>
  <c r="U81"/>
  <c r="W81" s="1"/>
  <c r="AO42"/>
  <c r="AY7"/>
  <c r="C26"/>
  <c r="BE23"/>
  <c r="AR23"/>
  <c r="AO35"/>
  <c r="U74"/>
  <c r="W74" s="1"/>
  <c r="BE12"/>
  <c r="BF12"/>
  <c r="AR12"/>
  <c r="BE15"/>
  <c r="AR15"/>
  <c r="BF15"/>
  <c r="BE19"/>
  <c r="AR19"/>
  <c r="BF19"/>
  <c r="AP39"/>
  <c r="U71"/>
  <c r="W71" s="1"/>
  <c r="U75"/>
  <c r="W75" s="1"/>
  <c r="AR46"/>
  <c r="U77"/>
  <c r="W77" s="1"/>
  <c r="AT38"/>
  <c r="AT17" s="1"/>
  <c r="AI33"/>
  <c r="AP33" s="1"/>
  <c r="AT33"/>
  <c r="AT12" s="1"/>
  <c r="AO37"/>
  <c r="AP37" s="1"/>
  <c r="U76"/>
  <c r="W76" s="1"/>
  <c r="BF14"/>
  <c r="BE14"/>
  <c r="AR14"/>
  <c r="BE17"/>
  <c r="AR17"/>
  <c r="BF17"/>
  <c r="BE56"/>
  <c r="AR56"/>
  <c r="BF56"/>
  <c r="BF11"/>
  <c r="BE11"/>
  <c r="AR11"/>
  <c r="BF16"/>
  <c r="BE16"/>
  <c r="AR16"/>
  <c r="AK40"/>
  <c r="AP40" s="1"/>
  <c r="AT40"/>
  <c r="AT19" s="1"/>
  <c r="U78"/>
  <c r="W78" s="1"/>
  <c r="AM35"/>
  <c r="AP35" s="1"/>
  <c r="AT60"/>
  <c r="AT56" s="1"/>
  <c r="AM44"/>
  <c r="U79"/>
  <c r="W79" s="1"/>
  <c r="U84"/>
  <c r="W84" s="1"/>
  <c r="U82"/>
  <c r="W82" s="1"/>
  <c r="BF18"/>
  <c r="BE18"/>
  <c r="AR18"/>
  <c r="BE21"/>
  <c r="AR21"/>
  <c r="BF20"/>
  <c r="BE20"/>
  <c r="AR20"/>
  <c r="BE13"/>
  <c r="AR13"/>
  <c r="BF13"/>
  <c r="AZ27"/>
  <c r="BD29" s="1"/>
  <c r="AP34"/>
  <c r="AT35"/>
  <c r="AT14" s="1"/>
  <c r="AT37"/>
  <c r="AT16" s="1"/>
  <c r="AP38"/>
  <c r="AE38" i="18"/>
  <c r="AO38" s="1"/>
  <c r="K43"/>
  <c r="AM43" s="1"/>
  <c r="AP18"/>
  <c r="AV12"/>
  <c r="AT35"/>
  <c r="AT14" s="1"/>
  <c r="U36"/>
  <c r="AN36" s="1"/>
  <c r="U32"/>
  <c r="AN32" s="1"/>
  <c r="AM42"/>
  <c r="AM37"/>
  <c r="AT37"/>
  <c r="AM33"/>
  <c r="AT33"/>
  <c r="AT12" s="1"/>
  <c r="AM41"/>
  <c r="AT41"/>
  <c r="AT20" s="1"/>
  <c r="AM39"/>
  <c r="AT39"/>
  <c r="AM45"/>
  <c r="AT45"/>
  <c r="AR23"/>
  <c r="AI32"/>
  <c r="O168"/>
  <c r="O170" s="1"/>
  <c r="O167"/>
  <c r="AA166"/>
  <c r="AA193"/>
  <c r="O195"/>
  <c r="O197" s="1"/>
  <c r="O194"/>
  <c r="AA128"/>
  <c r="O130"/>
  <c r="O132" s="1"/>
  <c r="O129"/>
  <c r="N82"/>
  <c r="BD22"/>
  <c r="N85"/>
  <c r="BD56"/>
  <c r="N80"/>
  <c r="BD20"/>
  <c r="N76"/>
  <c r="BD16"/>
  <c r="AT18"/>
  <c r="AI39"/>
  <c r="AP39" s="1"/>
  <c r="AI35"/>
  <c r="AI33"/>
  <c r="N78"/>
  <c r="BD18"/>
  <c r="BD19"/>
  <c r="N74"/>
  <c r="BD14"/>
  <c r="N72"/>
  <c r="BD12"/>
  <c r="AE43"/>
  <c r="K38"/>
  <c r="AE34"/>
  <c r="K34"/>
  <c r="Q76"/>
  <c r="Q74"/>
  <c r="AR35" s="1"/>
  <c r="Q82"/>
  <c r="AR43" s="1"/>
  <c r="AE15"/>
  <c r="AK36" s="1"/>
  <c r="U13"/>
  <c r="AJ34" s="1"/>
  <c r="AP45"/>
  <c r="U21"/>
  <c r="AJ42" s="1"/>
  <c r="AE17"/>
  <c r="AE11"/>
  <c r="AK32" s="1"/>
  <c r="AP40"/>
  <c r="AA154"/>
  <c r="O156"/>
  <c r="O158" s="1"/>
  <c r="O155"/>
  <c r="AA117"/>
  <c r="O119"/>
  <c r="O121" s="1"/>
  <c r="O118"/>
  <c r="AA91"/>
  <c r="O93"/>
  <c r="O95" s="1"/>
  <c r="O92"/>
  <c r="K81"/>
  <c r="I81"/>
  <c r="AO42"/>
  <c r="U76"/>
  <c r="W76" s="1"/>
  <c r="AO37"/>
  <c r="U74"/>
  <c r="W74" s="1"/>
  <c r="AO35"/>
  <c r="AT60" s="1"/>
  <c r="AT56" s="1"/>
  <c r="AM35"/>
  <c r="U72"/>
  <c r="W72" s="1"/>
  <c r="AO33"/>
  <c r="N77"/>
  <c r="BD17"/>
  <c r="N75"/>
  <c r="BD15"/>
  <c r="AV21"/>
  <c r="AP21"/>
  <c r="AT16"/>
  <c r="AI37"/>
  <c r="AV15"/>
  <c r="AP15"/>
  <c r="AV13"/>
  <c r="AP13"/>
  <c r="AV11"/>
  <c r="AZ27" s="1"/>
  <c r="BD29" s="1"/>
  <c r="AP11"/>
  <c r="N73"/>
  <c r="BD13"/>
  <c r="N71"/>
  <c r="BD11"/>
  <c r="C26"/>
  <c r="AY7"/>
  <c r="B193"/>
  <c r="B195" s="1"/>
  <c r="B99"/>
  <c r="B101" s="1"/>
  <c r="U38"/>
  <c r="AE36"/>
  <c r="K36"/>
  <c r="U34"/>
  <c r="AN34" s="1"/>
  <c r="AE32"/>
  <c r="K32"/>
  <c r="AP17"/>
  <c r="B174"/>
  <c r="B176" s="1"/>
  <c r="B154"/>
  <c r="B156" s="1"/>
  <c r="Q73"/>
  <c r="AR34" s="1"/>
  <c r="Q80"/>
  <c r="Q85"/>
  <c r="AR60" s="1"/>
  <c r="Q72"/>
  <c r="AR33" s="1"/>
  <c r="Q75"/>
  <c r="AR36" s="1"/>
  <c r="Q78"/>
  <c r="AR40" s="1"/>
  <c r="AP22"/>
  <c r="AE13"/>
  <c r="AK34" s="1"/>
  <c r="K13"/>
  <c r="AT24"/>
  <c r="AE21"/>
  <c r="AK42" s="1"/>
  <c r="K21"/>
  <c r="AT42" s="1"/>
  <c r="K15"/>
  <c r="U11"/>
  <c r="AJ32" s="1"/>
  <c r="AP44"/>
  <c r="AP41"/>
  <c r="BE23" i="17"/>
  <c r="AR23"/>
  <c r="B117"/>
  <c r="B119" s="1"/>
  <c r="K81"/>
  <c r="AP60"/>
  <c r="N85"/>
  <c r="BD56"/>
  <c r="N77"/>
  <c r="BD17"/>
  <c r="BF17" s="1"/>
  <c r="U82"/>
  <c r="W82" s="1"/>
  <c r="BE56"/>
  <c r="N73"/>
  <c r="BD13"/>
  <c r="BF13" s="1"/>
  <c r="AP22"/>
  <c r="AR42"/>
  <c r="BD21"/>
  <c r="BF21" s="1"/>
  <c r="BD22"/>
  <c r="AR43"/>
  <c r="AO43"/>
  <c r="AT43"/>
  <c r="AT22" s="1"/>
  <c r="BB22"/>
  <c r="U21"/>
  <c r="AJ42" s="1"/>
  <c r="K21"/>
  <c r="AI42" s="1"/>
  <c r="K34"/>
  <c r="AM34" s="1"/>
  <c r="AA91"/>
  <c r="O93"/>
  <c r="O95" s="1"/>
  <c r="O92"/>
  <c r="BD11"/>
  <c r="N71"/>
  <c r="U79"/>
  <c r="W79" s="1"/>
  <c r="AO44"/>
  <c r="U84"/>
  <c r="W84" s="1"/>
  <c r="AO42"/>
  <c r="U74"/>
  <c r="W74" s="1"/>
  <c r="AO35"/>
  <c r="AO32"/>
  <c r="AT33"/>
  <c r="AT12" s="1"/>
  <c r="AI33"/>
  <c r="U76"/>
  <c r="W76" s="1"/>
  <c r="AO37"/>
  <c r="U72"/>
  <c r="W72" s="1"/>
  <c r="AO33"/>
  <c r="AT37"/>
  <c r="AT16" s="1"/>
  <c r="AI37"/>
  <c r="AP37" s="1"/>
  <c r="AV15"/>
  <c r="AP15"/>
  <c r="O176"/>
  <c r="O178" s="1"/>
  <c r="O175"/>
  <c r="AA174"/>
  <c r="BE24"/>
  <c r="AR24"/>
  <c r="BF24"/>
  <c r="BE14"/>
  <c r="AR14"/>
  <c r="U42"/>
  <c r="AN42" s="1"/>
  <c r="U36"/>
  <c r="AN36" s="1"/>
  <c r="AE34"/>
  <c r="U17"/>
  <c r="AJ38" s="1"/>
  <c r="B193"/>
  <c r="B195" s="1"/>
  <c r="B154"/>
  <c r="B156" s="1"/>
  <c r="AT45"/>
  <c r="AT24" s="1"/>
  <c r="AP43"/>
  <c r="AT42"/>
  <c r="AT21" s="1"/>
  <c r="AT40"/>
  <c r="AT19" s="1"/>
  <c r="U15"/>
  <c r="AJ36" s="1"/>
  <c r="B174"/>
  <c r="B176" s="1"/>
  <c r="AT44"/>
  <c r="AT23" s="1"/>
  <c r="N80"/>
  <c r="BD20"/>
  <c r="AO41"/>
  <c r="AP41" s="1"/>
  <c r="U80"/>
  <c r="W80" s="1"/>
  <c r="U78"/>
  <c r="W78" s="1"/>
  <c r="AO40"/>
  <c r="AO36"/>
  <c r="AT60"/>
  <c r="AT56" s="1"/>
  <c r="AM35"/>
  <c r="AR37"/>
  <c r="AR39"/>
  <c r="AT39"/>
  <c r="AT18" s="1"/>
  <c r="AI39"/>
  <c r="AP39" s="1"/>
  <c r="AV17"/>
  <c r="AP17"/>
  <c r="AT35"/>
  <c r="AT14" s="1"/>
  <c r="AI35"/>
  <c r="AP35" s="1"/>
  <c r="O168"/>
  <c r="O170" s="1"/>
  <c r="O167"/>
  <c r="AA166"/>
  <c r="BE18"/>
  <c r="AR18"/>
  <c r="BE16"/>
  <c r="AR16"/>
  <c r="BE12"/>
  <c r="AR12"/>
  <c r="C26"/>
  <c r="AY7"/>
  <c r="AP13"/>
  <c r="AP21"/>
  <c r="AE17"/>
  <c r="AK38" s="1"/>
  <c r="K17"/>
  <c r="AP45"/>
  <c r="AP42"/>
  <c r="AT41"/>
  <c r="AT20" s="1"/>
  <c r="AP40"/>
  <c r="K32"/>
  <c r="AM32" s="1"/>
  <c r="AE15"/>
  <c r="AK36" s="1"/>
  <c r="K15"/>
  <c r="U11"/>
  <c r="AP44"/>
  <c r="AT34"/>
  <c r="AT13" s="1"/>
  <c r="AF35" i="16"/>
  <c r="BB13" s="1"/>
  <c r="V44"/>
  <c r="BA22" s="1"/>
  <c r="V35"/>
  <c r="BA13" s="1"/>
  <c r="K87"/>
  <c r="N73"/>
  <c r="BD11"/>
  <c r="BD17"/>
  <c r="N79"/>
  <c r="AO12"/>
  <c r="AO13"/>
  <c r="AO14"/>
  <c r="AO17"/>
  <c r="AO23"/>
  <c r="K25"/>
  <c r="AO25"/>
  <c r="L33"/>
  <c r="AZ11" s="1"/>
  <c r="U35"/>
  <c r="AN35" s="1"/>
  <c r="L37"/>
  <c r="AZ15" s="1"/>
  <c r="L40"/>
  <c r="AZ18" s="1"/>
  <c r="K41"/>
  <c r="AM41" s="1"/>
  <c r="AE41"/>
  <c r="U43"/>
  <c r="AN43" s="1"/>
  <c r="AE43"/>
  <c r="AO43" s="1"/>
  <c r="AE44"/>
  <c r="K46"/>
  <c r="AM46" s="1"/>
  <c r="K47"/>
  <c r="AM47" s="1"/>
  <c r="AE47"/>
  <c r="AO47" s="1"/>
  <c r="K58"/>
  <c r="AI62" s="1"/>
  <c r="AO58"/>
  <c r="AY58" s="1"/>
  <c r="AV58"/>
  <c r="K62"/>
  <c r="AM62" s="1"/>
  <c r="AE62"/>
  <c r="AO62" s="1"/>
  <c r="C70"/>
  <c r="O168"/>
  <c r="O170" s="1"/>
  <c r="O172" s="1"/>
  <c r="L18"/>
  <c r="AV18" s="1"/>
  <c r="V18"/>
  <c r="AW18" s="1"/>
  <c r="K79"/>
  <c r="K80"/>
  <c r="G83"/>
  <c r="I83"/>
  <c r="BD22" s="1"/>
  <c r="K83"/>
  <c r="N83"/>
  <c r="AE18"/>
  <c r="K18"/>
  <c r="U18"/>
  <c r="AJ40" s="1"/>
  <c r="O121"/>
  <c r="O123" s="1"/>
  <c r="O120"/>
  <c r="AA119"/>
  <c r="B118"/>
  <c r="B119" s="1"/>
  <c r="B121" s="1"/>
  <c r="B115"/>
  <c r="B117" s="1"/>
  <c r="O111"/>
  <c r="L44"/>
  <c r="AZ22" s="1"/>
  <c r="L35"/>
  <c r="AZ13" s="1"/>
  <c r="AF16"/>
  <c r="AX16" s="1"/>
  <c r="AF14"/>
  <c r="AX14" s="1"/>
  <c r="O103"/>
  <c r="O105" s="1"/>
  <c r="O102"/>
  <c r="AA101"/>
  <c r="B97"/>
  <c r="B99" s="1"/>
  <c r="B100"/>
  <c r="O93"/>
  <c r="K43"/>
  <c r="AM43" s="1"/>
  <c r="AO21"/>
  <c r="I82"/>
  <c r="K82"/>
  <c r="Z82" s="1"/>
  <c r="V23"/>
  <c r="AW23" s="1"/>
  <c r="V16"/>
  <c r="AW16" s="1"/>
  <c r="V14"/>
  <c r="AW14" s="1"/>
  <c r="V12"/>
  <c r="AW12" s="1"/>
  <c r="L23"/>
  <c r="AV23" s="1"/>
  <c r="L16"/>
  <c r="L14"/>
  <c r="AV14" s="1"/>
  <c r="L12"/>
  <c r="AV12" s="1"/>
  <c r="AE40"/>
  <c r="AO40" s="1"/>
  <c r="AE42"/>
  <c r="AO42" s="1"/>
  <c r="U40"/>
  <c r="AN40" s="1"/>
  <c r="U42"/>
  <c r="AN42" s="1"/>
  <c r="K40"/>
  <c r="AM40" s="1"/>
  <c r="K42"/>
  <c r="AM42" s="1"/>
  <c r="AF12"/>
  <c r="AX12" s="1"/>
  <c r="AF23"/>
  <c r="AX23" s="1"/>
  <c r="AE14"/>
  <c r="AK36" s="1"/>
  <c r="AE19"/>
  <c r="AK41" s="1"/>
  <c r="AE21"/>
  <c r="AK43" s="1"/>
  <c r="U13"/>
  <c r="AJ35" s="1"/>
  <c r="U20"/>
  <c r="AJ42" s="1"/>
  <c r="U22"/>
  <c r="AJ44" s="1"/>
  <c r="U24"/>
  <c r="AJ46" s="1"/>
  <c r="AP19"/>
  <c r="U19"/>
  <c r="AJ41" s="1"/>
  <c r="U21"/>
  <c r="AJ43" s="1"/>
  <c r="AP25"/>
  <c r="K24"/>
  <c r="K21"/>
  <c r="K19"/>
  <c r="L13"/>
  <c r="AV13" s="1"/>
  <c r="W5"/>
  <c r="AX7" s="1"/>
  <c r="AL34"/>
  <c r="AY12"/>
  <c r="AL36"/>
  <c r="AY14"/>
  <c r="AV16"/>
  <c r="AL39"/>
  <c r="AY17"/>
  <c r="AI40"/>
  <c r="AL40"/>
  <c r="AY18"/>
  <c r="AI42"/>
  <c r="AL42"/>
  <c r="AY20"/>
  <c r="AT43"/>
  <c r="AT21" s="1"/>
  <c r="AI43"/>
  <c r="AL43"/>
  <c r="AY21"/>
  <c r="AI46"/>
  <c r="AL46"/>
  <c r="AY24"/>
  <c r="AL33"/>
  <c r="AY11"/>
  <c r="BF11" s="1"/>
  <c r="AL35"/>
  <c r="AY13"/>
  <c r="AL37"/>
  <c r="AY15"/>
  <c r="AL38"/>
  <c r="AY16"/>
  <c r="AT41"/>
  <c r="AT19" s="1"/>
  <c r="AI41"/>
  <c r="AL41"/>
  <c r="AY19"/>
  <c r="AI44"/>
  <c r="AL44"/>
  <c r="AY22"/>
  <c r="AL45"/>
  <c r="AY23"/>
  <c r="BF23" s="1"/>
  <c r="BF13"/>
  <c r="BF17"/>
  <c r="AP21"/>
  <c r="AV24"/>
  <c r="AO44"/>
  <c r="N71"/>
  <c r="Q86"/>
  <c r="AR47" s="1"/>
  <c r="Q85"/>
  <c r="Q84"/>
  <c r="AR45" s="1"/>
  <c r="Q83"/>
  <c r="AR44" s="1"/>
  <c r="Q79"/>
  <c r="AR39" s="1"/>
  <c r="Q75"/>
  <c r="AR35" s="1"/>
  <c r="Q73"/>
  <c r="AR33" s="1"/>
  <c r="Q71"/>
  <c r="Q70"/>
  <c r="K76"/>
  <c r="I76"/>
  <c r="B134"/>
  <c r="B136" s="1"/>
  <c r="B137"/>
  <c r="B138" s="1"/>
  <c r="B140" s="1"/>
  <c r="B155"/>
  <c r="B152"/>
  <c r="B154" s="1"/>
  <c r="O178"/>
  <c r="O180" s="1"/>
  <c r="O177"/>
  <c r="AA176"/>
  <c r="B194"/>
  <c r="B195" s="1"/>
  <c r="B197" s="1"/>
  <c r="B191"/>
  <c r="B193" s="1"/>
  <c r="AG5"/>
  <c r="L11"/>
  <c r="K11" s="1"/>
  <c r="V11"/>
  <c r="AW11" s="1"/>
  <c r="AF11"/>
  <c r="AX11" s="1"/>
  <c r="K12"/>
  <c r="U12"/>
  <c r="AJ34" s="1"/>
  <c r="AE12"/>
  <c r="AK34" s="1"/>
  <c r="AF13"/>
  <c r="AX13" s="1"/>
  <c r="K14"/>
  <c r="U14"/>
  <c r="AJ36" s="1"/>
  <c r="L15"/>
  <c r="V15"/>
  <c r="AW15" s="1"/>
  <c r="AF15"/>
  <c r="AX15" s="1"/>
  <c r="K16"/>
  <c r="U16"/>
  <c r="AJ38" s="1"/>
  <c r="AE16"/>
  <c r="AK38" s="1"/>
  <c r="L17"/>
  <c r="V17"/>
  <c r="AW17" s="1"/>
  <c r="AF17"/>
  <c r="AX17" s="1"/>
  <c r="AX18"/>
  <c r="AV19"/>
  <c r="AF20"/>
  <c r="AX20" s="1"/>
  <c r="AV21"/>
  <c r="AF22"/>
  <c r="AX22" s="1"/>
  <c r="K23"/>
  <c r="U23"/>
  <c r="AJ45" s="1"/>
  <c r="AF24"/>
  <c r="AX24" s="1"/>
  <c r="AE45"/>
  <c r="AI47"/>
  <c r="AL47"/>
  <c r="AY25"/>
  <c r="AM27"/>
  <c r="AN27" s="1"/>
  <c r="AO27" s="1"/>
  <c r="U85" s="1"/>
  <c r="W85" s="1"/>
  <c r="AW27"/>
  <c r="U80"/>
  <c r="W80" s="1"/>
  <c r="AO41"/>
  <c r="AO46"/>
  <c r="K74"/>
  <c r="I74"/>
  <c r="K77"/>
  <c r="I77"/>
  <c r="N86"/>
  <c r="BD25"/>
  <c r="O140"/>
  <c r="O142" s="1"/>
  <c r="O139"/>
  <c r="AA138"/>
  <c r="O150"/>
  <c r="O152" s="1"/>
  <c r="O149"/>
  <c r="AA148"/>
  <c r="B175"/>
  <c r="B172"/>
  <c r="B174" s="1"/>
  <c r="O189"/>
  <c r="O191" s="1"/>
  <c r="O188"/>
  <c r="AA187"/>
  <c r="AD215"/>
  <c r="BF24"/>
  <c r="AE25"/>
  <c r="AK47" s="1"/>
  <c r="AV25"/>
  <c r="K33"/>
  <c r="AM33" s="1"/>
  <c r="U33"/>
  <c r="AN33" s="1"/>
  <c r="AE33"/>
  <c r="L34"/>
  <c r="AZ12" s="1"/>
  <c r="V34"/>
  <c r="BA12" s="1"/>
  <c r="AF34"/>
  <c r="BB12" s="1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K39"/>
  <c r="AM39" s="1"/>
  <c r="U39"/>
  <c r="AN39" s="1"/>
  <c r="AE39"/>
  <c r="L45"/>
  <c r="V45"/>
  <c r="AE58"/>
  <c r="AK62" s="1"/>
  <c r="AP62" s="1"/>
  <c r="K73"/>
  <c r="K75"/>
  <c r="I78"/>
  <c r="K84"/>
  <c r="O130"/>
  <c r="O155"/>
  <c r="O156" s="1"/>
  <c r="AA168"/>
  <c r="O194"/>
  <c r="O195" s="1"/>
  <c r="C71"/>
  <c r="O169"/>
  <c r="L39" i="15"/>
  <c r="AZ17" s="1"/>
  <c r="V17"/>
  <c r="AW17" s="1"/>
  <c r="V14"/>
  <c r="AW14" s="1"/>
  <c r="L14"/>
  <c r="AV14" s="1"/>
  <c r="AE40"/>
  <c r="AO40" s="1"/>
  <c r="AE41"/>
  <c r="AE43"/>
  <c r="AO43" s="1"/>
  <c r="AE46"/>
  <c r="AE42"/>
  <c r="AO42" s="1"/>
  <c r="U42"/>
  <c r="AN42" s="1"/>
  <c r="K42"/>
  <c r="AM42" s="1"/>
  <c r="AE12"/>
  <c r="AK34" s="1"/>
  <c r="AE18"/>
  <c r="AK40" s="1"/>
  <c r="AE22"/>
  <c r="AK44" s="1"/>
  <c r="AE24"/>
  <c r="AK46" s="1"/>
  <c r="AE15"/>
  <c r="AK37" s="1"/>
  <c r="AE20"/>
  <c r="AK42" s="1"/>
  <c r="U17"/>
  <c r="AJ39" s="1"/>
  <c r="U18"/>
  <c r="AJ40" s="1"/>
  <c r="AP19"/>
  <c r="U22"/>
  <c r="AJ44" s="1"/>
  <c r="U24"/>
  <c r="AJ46" s="1"/>
  <c r="AP25"/>
  <c r="K18"/>
  <c r="K20"/>
  <c r="K22"/>
  <c r="K24"/>
  <c r="AV19"/>
  <c r="AV21"/>
  <c r="W5"/>
  <c r="AG5" s="1"/>
  <c r="AV13"/>
  <c r="AP13"/>
  <c r="AL35"/>
  <c r="AY13"/>
  <c r="AP11"/>
  <c r="AV11"/>
  <c r="AL33"/>
  <c r="AY11"/>
  <c r="AL34"/>
  <c r="AY12"/>
  <c r="AI40"/>
  <c r="AL40"/>
  <c r="AY18"/>
  <c r="AI42"/>
  <c r="AT42"/>
  <c r="AT20" s="1"/>
  <c r="AL42"/>
  <c r="AY20"/>
  <c r="AT44"/>
  <c r="AT22" s="1"/>
  <c r="AI44"/>
  <c r="AL44"/>
  <c r="AY22"/>
  <c r="AT46"/>
  <c r="AT24" s="1"/>
  <c r="AI46"/>
  <c r="AL46"/>
  <c r="AY24"/>
  <c r="BF11"/>
  <c r="BE13"/>
  <c r="C27"/>
  <c r="AY7"/>
  <c r="AL36"/>
  <c r="AY14"/>
  <c r="AL37"/>
  <c r="AY15"/>
  <c r="AV16"/>
  <c r="AL38"/>
  <c r="AY16"/>
  <c r="AL39"/>
  <c r="AY17"/>
  <c r="AI41"/>
  <c r="BE19"/>
  <c r="AR19"/>
  <c r="AL41"/>
  <c r="AY19"/>
  <c r="BF19" s="1"/>
  <c r="AI43"/>
  <c r="BE21"/>
  <c r="AR21"/>
  <c r="AL43"/>
  <c r="AY21"/>
  <c r="AV23"/>
  <c r="AL45"/>
  <c r="AY23"/>
  <c r="BF21"/>
  <c r="BF23"/>
  <c r="AV24"/>
  <c r="AP24"/>
  <c r="AO35"/>
  <c r="AO41"/>
  <c r="U86"/>
  <c r="W86" s="1"/>
  <c r="U84"/>
  <c r="W84" s="1"/>
  <c r="U81"/>
  <c r="W81" s="1"/>
  <c r="AO46"/>
  <c r="K74"/>
  <c r="I74"/>
  <c r="K77"/>
  <c r="I77"/>
  <c r="N86"/>
  <c r="BD25"/>
  <c r="O106"/>
  <c r="O108" s="1"/>
  <c r="O105"/>
  <c r="AA104"/>
  <c r="O116"/>
  <c r="O118" s="1"/>
  <c r="O115"/>
  <c r="AA114"/>
  <c r="B141"/>
  <c r="B138"/>
  <c r="B140" s="1"/>
  <c r="B160"/>
  <c r="B157"/>
  <c r="B159" s="1"/>
  <c r="AX7"/>
  <c r="K11"/>
  <c r="AE11"/>
  <c r="AK33" s="1"/>
  <c r="L12"/>
  <c r="K12" s="1"/>
  <c r="V12"/>
  <c r="AW12" s="1"/>
  <c r="K13"/>
  <c r="U13"/>
  <c r="AJ35" s="1"/>
  <c r="AE13"/>
  <c r="AK35" s="1"/>
  <c r="BF13"/>
  <c r="K14"/>
  <c r="U14"/>
  <c r="AJ36" s="1"/>
  <c r="AE14"/>
  <c r="AK36" s="1"/>
  <c r="L15"/>
  <c r="V15"/>
  <c r="AW15" s="1"/>
  <c r="K16"/>
  <c r="U16"/>
  <c r="AJ38" s="1"/>
  <c r="AE16"/>
  <c r="AK38" s="1"/>
  <c r="L17"/>
  <c r="K17" s="1"/>
  <c r="AF17"/>
  <c r="AX17" s="1"/>
  <c r="BF17"/>
  <c r="AP18"/>
  <c r="BE18" s="1"/>
  <c r="BF18"/>
  <c r="AE19"/>
  <c r="AK41" s="1"/>
  <c r="AP20"/>
  <c r="AE21"/>
  <c r="AK43" s="1"/>
  <c r="AP22"/>
  <c r="BE22" s="1"/>
  <c r="BF22"/>
  <c r="K23"/>
  <c r="U23"/>
  <c r="AJ45" s="1"/>
  <c r="AE23"/>
  <c r="AK45" s="1"/>
  <c r="AI47"/>
  <c r="AL47"/>
  <c r="AY25"/>
  <c r="AM27"/>
  <c r="AN27" s="1"/>
  <c r="AO27" s="1"/>
  <c r="U85" s="1"/>
  <c r="W85" s="1"/>
  <c r="AW27"/>
  <c r="U83"/>
  <c r="W83" s="1"/>
  <c r="AO44"/>
  <c r="Q89"/>
  <c r="Q81"/>
  <c r="AR42" s="1"/>
  <c r="Q77"/>
  <c r="AR37" s="1"/>
  <c r="Q74"/>
  <c r="AR34" s="1"/>
  <c r="N71"/>
  <c r="Q86"/>
  <c r="AR47" s="1"/>
  <c r="Q85"/>
  <c r="Q84"/>
  <c r="AR45" s="1"/>
  <c r="Q83"/>
  <c r="AR44" s="1"/>
  <c r="Q82"/>
  <c r="Q80"/>
  <c r="AR41" s="1"/>
  <c r="Q79"/>
  <c r="AR39" s="1"/>
  <c r="Q75"/>
  <c r="AR35" s="1"/>
  <c r="Q73"/>
  <c r="AR33" s="1"/>
  <c r="Q71"/>
  <c r="Q70"/>
  <c r="K76"/>
  <c r="I76"/>
  <c r="I87"/>
  <c r="K87"/>
  <c r="K88"/>
  <c r="I88"/>
  <c r="N88" s="1"/>
  <c r="B100"/>
  <c r="B102" s="1"/>
  <c r="B103"/>
  <c r="B121"/>
  <c r="B122" s="1"/>
  <c r="B124" s="1"/>
  <c r="B118"/>
  <c r="B120" s="1"/>
  <c r="O144"/>
  <c r="O146" s="1"/>
  <c r="O143"/>
  <c r="AA142"/>
  <c r="O155"/>
  <c r="O157" s="1"/>
  <c r="O154"/>
  <c r="AA153"/>
  <c r="U11"/>
  <c r="AJ33" s="1"/>
  <c r="AR13"/>
  <c r="AR18"/>
  <c r="AR22"/>
  <c r="BF24"/>
  <c r="X179"/>
  <c r="AD181" s="1"/>
  <c r="AE25"/>
  <c r="AK47" s="1"/>
  <c r="AV25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U39"/>
  <c r="AN39" s="1"/>
  <c r="AE39"/>
  <c r="L45"/>
  <c r="V45"/>
  <c r="U45" s="1"/>
  <c r="AN45" s="1"/>
  <c r="AF45"/>
  <c r="AE45" s="1"/>
  <c r="AE58"/>
  <c r="AK62" s="1"/>
  <c r="AP62" s="1"/>
  <c r="K73"/>
  <c r="K75"/>
  <c r="I78"/>
  <c r="Q78" s="1"/>
  <c r="I81"/>
  <c r="K83"/>
  <c r="K84"/>
  <c r="Z84" s="1"/>
  <c r="G87"/>
  <c r="I89"/>
  <c r="N89" s="1"/>
  <c r="O96"/>
  <c r="O121"/>
  <c r="O122" s="1"/>
  <c r="AA134"/>
  <c r="O160"/>
  <c r="O161" s="1"/>
  <c r="C71"/>
  <c r="G81"/>
  <c r="O135"/>
  <c r="AN13" i="14"/>
  <c r="AD178"/>
  <c r="X178"/>
  <c r="U178"/>
  <c r="R178"/>
  <c r="AD177"/>
  <c r="X177"/>
  <c r="U177"/>
  <c r="R177"/>
  <c r="AD176"/>
  <c r="X176"/>
  <c r="U176"/>
  <c r="R176"/>
  <c r="AD175"/>
  <c r="X175"/>
  <c r="U175"/>
  <c r="R175"/>
  <c r="AD174"/>
  <c r="X174"/>
  <c r="U174"/>
  <c r="R174"/>
  <c r="AD173"/>
  <c r="X173"/>
  <c r="U173"/>
  <c r="R173"/>
  <c r="AD172"/>
  <c r="AD179" s="1"/>
  <c r="X172"/>
  <c r="X179" s="1"/>
  <c r="U172"/>
  <c r="R172"/>
  <c r="O152"/>
  <c r="O153" s="1"/>
  <c r="B152"/>
  <c r="B153" s="1"/>
  <c r="B155" s="1"/>
  <c r="B151"/>
  <c r="AG137"/>
  <c r="AJ137" s="1"/>
  <c r="AG136"/>
  <c r="AJ136" s="1"/>
  <c r="AG135"/>
  <c r="AJ135" s="1"/>
  <c r="AG134"/>
  <c r="AJ134" s="1"/>
  <c r="AJ133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5"/>
  <c r="B96" s="1"/>
  <c r="B98" s="1"/>
  <c r="B94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AT85"/>
  <c r="X85"/>
  <c r="K85"/>
  <c r="I85"/>
  <c r="N85" s="1"/>
  <c r="E85"/>
  <c r="C85"/>
  <c r="X84"/>
  <c r="I84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K79"/>
  <c r="I79"/>
  <c r="N79" s="1"/>
  <c r="E79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M56"/>
  <c r="W56" s="1"/>
  <c r="AG56" s="1"/>
  <c r="C56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AE46" s="1"/>
  <c r="V46"/>
  <c r="S46"/>
  <c r="P46"/>
  <c r="U46" s="1"/>
  <c r="AN46" s="1"/>
  <c r="L46"/>
  <c r="I46"/>
  <c r="F46"/>
  <c r="K46" s="1"/>
  <c r="AM46" s="1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F43"/>
  <c r="K43" s="1"/>
  <c r="AM43" s="1"/>
  <c r="AF42"/>
  <c r="AC42"/>
  <c r="AE42" s="1"/>
  <c r="AO42" s="1"/>
  <c r="Z42"/>
  <c r="V42"/>
  <c r="S42"/>
  <c r="P42"/>
  <c r="L42"/>
  <c r="I42"/>
  <c r="K42" s="1"/>
  <c r="AM42" s="1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AE40" s="1"/>
  <c r="AO40" s="1"/>
  <c r="Z40"/>
  <c r="V40"/>
  <c r="S40"/>
  <c r="U40" s="1"/>
  <c r="AN40" s="1"/>
  <c r="P40"/>
  <c r="L40"/>
  <c r="I40"/>
  <c r="K40" s="1"/>
  <c r="AM40" s="1"/>
  <c r="F40"/>
  <c r="B40"/>
  <c r="Z39"/>
  <c r="S39"/>
  <c r="P39"/>
  <c r="I39"/>
  <c r="F39"/>
  <c r="L39" s="1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AC35"/>
  <c r="Z35"/>
  <c r="AF35" s="1"/>
  <c r="S35"/>
  <c r="P35"/>
  <c r="I35"/>
  <c r="F35"/>
  <c r="L35" s="1"/>
  <c r="AC34"/>
  <c r="Z34"/>
  <c r="S34"/>
  <c r="P34"/>
  <c r="I34"/>
  <c r="F34"/>
  <c r="AC33"/>
  <c r="Z33"/>
  <c r="AF33" s="1"/>
  <c r="S33"/>
  <c r="P33"/>
  <c r="V33" s="1"/>
  <c r="I33"/>
  <c r="F33"/>
  <c r="AJ27"/>
  <c r="AK27" s="1"/>
  <c r="AL27" s="1"/>
  <c r="AI27"/>
  <c r="BB25"/>
  <c r="BA25"/>
  <c r="AZ25"/>
  <c r="AM25"/>
  <c r="AJ25"/>
  <c r="AO25" s="1"/>
  <c r="AC25"/>
  <c r="Z25"/>
  <c r="AF25" s="1"/>
  <c r="AX25" s="1"/>
  <c r="V25"/>
  <c r="AW25" s="1"/>
  <c r="S25"/>
  <c r="P25"/>
  <c r="L25"/>
  <c r="I25"/>
  <c r="F25"/>
  <c r="B25"/>
  <c r="B47" s="1"/>
  <c r="BD24"/>
  <c r="BB24"/>
  <c r="BA24"/>
  <c r="AZ24"/>
  <c r="AM24"/>
  <c r="AJ24"/>
  <c r="AO24" s="1"/>
  <c r="AC24"/>
  <c r="Z24"/>
  <c r="V24"/>
  <c r="AW24" s="1"/>
  <c r="S24"/>
  <c r="P24"/>
  <c r="U24" s="1"/>
  <c r="AJ46" s="1"/>
  <c r="L24"/>
  <c r="AV24" s="1"/>
  <c r="I24"/>
  <c r="F24"/>
  <c r="K24" s="1"/>
  <c r="B24"/>
  <c r="B46" s="1"/>
  <c r="AM23"/>
  <c r="AJ23"/>
  <c r="AO23" s="1"/>
  <c r="AC23"/>
  <c r="Z23"/>
  <c r="AF23" s="1"/>
  <c r="AX23" s="1"/>
  <c r="S23"/>
  <c r="P23"/>
  <c r="V23" s="1"/>
  <c r="AW23" s="1"/>
  <c r="I23"/>
  <c r="F23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U22" s="1"/>
  <c r="AJ44" s="1"/>
  <c r="L22"/>
  <c r="I22"/>
  <c r="F22"/>
  <c r="K22" s="1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U21" s="1"/>
  <c r="AJ43" s="1"/>
  <c r="P21"/>
  <c r="L21"/>
  <c r="AV21" s="1"/>
  <c r="I21"/>
  <c r="K21" s="1"/>
  <c r="F21"/>
  <c r="B21"/>
  <c r="B43" s="1"/>
  <c r="AM20"/>
  <c r="AJ20"/>
  <c r="AO20" s="1"/>
  <c r="AC20"/>
  <c r="Z20"/>
  <c r="AF20" s="1"/>
  <c r="AX20" s="1"/>
  <c r="V20"/>
  <c r="AW20" s="1"/>
  <c r="S20"/>
  <c r="P20"/>
  <c r="U20" s="1"/>
  <c r="AJ42" s="1"/>
  <c r="L20"/>
  <c r="I20"/>
  <c r="F20"/>
  <c r="K20" s="1"/>
  <c r="B20"/>
  <c r="B42" s="1"/>
  <c r="BD19"/>
  <c r="BB19"/>
  <c r="BA19"/>
  <c r="AZ19"/>
  <c r="AM19"/>
  <c r="AJ19"/>
  <c r="AO19" s="1"/>
  <c r="AC19"/>
  <c r="Z19"/>
  <c r="V19"/>
  <c r="AW19" s="1"/>
  <c r="S19"/>
  <c r="U19" s="1"/>
  <c r="AJ41" s="1"/>
  <c r="P19"/>
  <c r="L19"/>
  <c r="AV19" s="1"/>
  <c r="I19"/>
  <c r="K19" s="1"/>
  <c r="F19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P18"/>
  <c r="U18" s="1"/>
  <c r="AJ40" s="1"/>
  <c r="L18"/>
  <c r="I18"/>
  <c r="F18"/>
  <c r="K18" s="1"/>
  <c r="BD17"/>
  <c r="AZ17"/>
  <c r="AM17"/>
  <c r="AJ17"/>
  <c r="AO17" s="1"/>
  <c r="AC17"/>
  <c r="Z17"/>
  <c r="AF17" s="1"/>
  <c r="AX17" s="1"/>
  <c r="V17"/>
  <c r="AW17" s="1"/>
  <c r="S17"/>
  <c r="P17"/>
  <c r="U17" s="1"/>
  <c r="AJ39" s="1"/>
  <c r="I17"/>
  <c r="F17"/>
  <c r="L17" s="1"/>
  <c r="B17"/>
  <c r="B39" s="1"/>
  <c r="AM16"/>
  <c r="AJ16"/>
  <c r="AO16" s="1"/>
  <c r="AC16"/>
  <c r="Z16"/>
  <c r="S16"/>
  <c r="P16"/>
  <c r="I16"/>
  <c r="F16"/>
  <c r="B16"/>
  <c r="B38" s="1"/>
  <c r="BB15"/>
  <c r="BA15"/>
  <c r="AZ15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7" s="1"/>
  <c r="AM14"/>
  <c r="AJ14"/>
  <c r="AO14" s="1"/>
  <c r="AC14"/>
  <c r="Z14"/>
  <c r="AF14" s="1"/>
  <c r="AX14" s="1"/>
  <c r="S14"/>
  <c r="P14"/>
  <c r="V14" s="1"/>
  <c r="AW14" s="1"/>
  <c r="I14"/>
  <c r="F14"/>
  <c r="L14" s="1"/>
  <c r="B14"/>
  <c r="B36" s="1"/>
  <c r="BD13"/>
  <c r="BB13"/>
  <c r="AZ13"/>
  <c r="AM13"/>
  <c r="AJ13"/>
  <c r="AC13"/>
  <c r="Z13"/>
  <c r="AF13" s="1"/>
  <c r="AX13" s="1"/>
  <c r="S13"/>
  <c r="P13"/>
  <c r="V13" s="1"/>
  <c r="AW13" s="1"/>
  <c r="I13"/>
  <c r="F13"/>
  <c r="L13" s="1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4" s="1"/>
  <c r="BD11"/>
  <c r="BB11"/>
  <c r="BA11"/>
  <c r="AM11"/>
  <c r="AJ11"/>
  <c r="AO11" s="1"/>
  <c r="AC11"/>
  <c r="Z11"/>
  <c r="S11"/>
  <c r="P11"/>
  <c r="I11"/>
  <c r="F11"/>
  <c r="B11"/>
  <c r="B33" s="1"/>
  <c r="AV7"/>
  <c r="M5"/>
  <c r="W5" s="1"/>
  <c r="AN13" i="13"/>
  <c r="AT20"/>
  <c r="AR20"/>
  <c r="AD178"/>
  <c r="X178"/>
  <c r="U178"/>
  <c r="R178"/>
  <c r="AD177"/>
  <c r="X177"/>
  <c r="U177"/>
  <c r="R177"/>
  <c r="AD176"/>
  <c r="X176"/>
  <c r="U176"/>
  <c r="R176"/>
  <c r="AD175"/>
  <c r="X175"/>
  <c r="U175"/>
  <c r="R175"/>
  <c r="AD174"/>
  <c r="X174"/>
  <c r="U174"/>
  <c r="R174"/>
  <c r="AD173"/>
  <c r="X173"/>
  <c r="U173"/>
  <c r="R173"/>
  <c r="AD172"/>
  <c r="AD179" s="1"/>
  <c r="X172"/>
  <c r="X179" s="1"/>
  <c r="U172"/>
  <c r="R172"/>
  <c r="O160"/>
  <c r="O161" s="1"/>
  <c r="O152"/>
  <c r="O153" s="1"/>
  <c r="B152"/>
  <c r="B153" s="1"/>
  <c r="B155" s="1"/>
  <c r="B151"/>
  <c r="AG137"/>
  <c r="AJ137" s="1"/>
  <c r="AG136"/>
  <c r="AJ136" s="1"/>
  <c r="AG135"/>
  <c r="AJ135" s="1"/>
  <c r="AJ134"/>
  <c r="AG134"/>
  <c r="AJ133"/>
  <c r="O133"/>
  <c r="O141" s="1"/>
  <c r="O142" s="1"/>
  <c r="B132"/>
  <c r="B133" s="1"/>
  <c r="B134" s="1"/>
  <c r="B136" s="1"/>
  <c r="O113"/>
  <c r="O114" s="1"/>
  <c r="B113"/>
  <c r="B114" s="1"/>
  <c r="B116" s="1"/>
  <c r="B112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AT85"/>
  <c r="X85"/>
  <c r="K85"/>
  <c r="I85"/>
  <c r="N85" s="1"/>
  <c r="E85"/>
  <c r="C85"/>
  <c r="X84"/>
  <c r="G84"/>
  <c r="I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K79"/>
  <c r="I79"/>
  <c r="N79" s="1"/>
  <c r="E79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AE46" s="1"/>
  <c r="Z46"/>
  <c r="V46"/>
  <c r="S46"/>
  <c r="U46" s="1"/>
  <c r="AN46" s="1"/>
  <c r="P46"/>
  <c r="L46"/>
  <c r="I46"/>
  <c r="K46" s="1"/>
  <c r="AM46" s="1"/>
  <c r="F46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K43" s="1"/>
  <c r="AM43" s="1"/>
  <c r="F43"/>
  <c r="AF42"/>
  <c r="AC42"/>
  <c r="Z42"/>
  <c r="V42"/>
  <c r="S42"/>
  <c r="P42"/>
  <c r="L42"/>
  <c r="I42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Z40"/>
  <c r="V40"/>
  <c r="S40"/>
  <c r="P40"/>
  <c r="L40"/>
  <c r="I40"/>
  <c r="F40"/>
  <c r="B40"/>
  <c r="AC39"/>
  <c r="Z39"/>
  <c r="S39"/>
  <c r="P39"/>
  <c r="V39" s="1"/>
  <c r="I39"/>
  <c r="F39"/>
  <c r="L39" s="1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L36" s="1"/>
  <c r="AZ14" s="1"/>
  <c r="AC35"/>
  <c r="Z35"/>
  <c r="V35"/>
  <c r="S35"/>
  <c r="P35"/>
  <c r="U35" s="1"/>
  <c r="AN35" s="1"/>
  <c r="I35"/>
  <c r="F35"/>
  <c r="L35" s="1"/>
  <c r="AC34"/>
  <c r="Z34"/>
  <c r="S34"/>
  <c r="P34"/>
  <c r="I34"/>
  <c r="F34"/>
  <c r="AC33"/>
  <c r="Z33"/>
  <c r="AF33" s="1"/>
  <c r="S33"/>
  <c r="P33"/>
  <c r="V33" s="1"/>
  <c r="I33"/>
  <c r="F33"/>
  <c r="L33" s="1"/>
  <c r="AI27"/>
  <c r="AJ27" s="1"/>
  <c r="AK27" s="1"/>
  <c r="AL27" s="1"/>
  <c r="BB25"/>
  <c r="BA25"/>
  <c r="AZ25"/>
  <c r="AM25"/>
  <c r="AJ25"/>
  <c r="AO25" s="1"/>
  <c r="AC25"/>
  <c r="Z25"/>
  <c r="AF25" s="1"/>
  <c r="AX25" s="1"/>
  <c r="V25"/>
  <c r="AW25" s="1"/>
  <c r="S25"/>
  <c r="P25"/>
  <c r="L25"/>
  <c r="I25"/>
  <c r="F25"/>
  <c r="B25"/>
  <c r="B47" s="1"/>
  <c r="BD24"/>
  <c r="BB24"/>
  <c r="BA24"/>
  <c r="AZ24"/>
  <c r="AM24"/>
  <c r="AJ24"/>
  <c r="AO24" s="1"/>
  <c r="AC24"/>
  <c r="Z24"/>
  <c r="V24"/>
  <c r="AW24" s="1"/>
  <c r="S24"/>
  <c r="P24"/>
  <c r="L24"/>
  <c r="AV24" s="1"/>
  <c r="I24"/>
  <c r="F24"/>
  <c r="B24"/>
  <c r="B46" s="1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U22" s="1"/>
  <c r="AJ44" s="1"/>
  <c r="P22"/>
  <c r="L22"/>
  <c r="I22"/>
  <c r="F22"/>
  <c r="B22"/>
  <c r="B44" s="1"/>
  <c r="BD21"/>
  <c r="BB21"/>
  <c r="BA21"/>
  <c r="AZ21"/>
  <c r="AM21"/>
  <c r="AJ21"/>
  <c r="AO21" s="1"/>
  <c r="AC21"/>
  <c r="Z21"/>
  <c r="V21"/>
  <c r="AW21" s="1"/>
  <c r="S21"/>
  <c r="P21"/>
  <c r="U21" s="1"/>
  <c r="AJ43" s="1"/>
  <c r="L21"/>
  <c r="AV21" s="1"/>
  <c r="I21"/>
  <c r="F21"/>
  <c r="K21" s="1"/>
  <c r="B21"/>
  <c r="B43" s="1"/>
  <c r="AM20"/>
  <c r="AJ20"/>
  <c r="AO20" s="1"/>
  <c r="AC20"/>
  <c r="Z20"/>
  <c r="AF20" s="1"/>
  <c r="AX20" s="1"/>
  <c r="V20"/>
  <c r="AW20" s="1"/>
  <c r="S20"/>
  <c r="P20"/>
  <c r="L20"/>
  <c r="I20"/>
  <c r="F20"/>
  <c r="B20"/>
  <c r="B42" s="1"/>
  <c r="BD19"/>
  <c r="BB19"/>
  <c r="BA19"/>
  <c r="AZ19"/>
  <c r="AM19"/>
  <c r="AJ19"/>
  <c r="AO19" s="1"/>
  <c r="AC19"/>
  <c r="Z19"/>
  <c r="V19"/>
  <c r="AW19" s="1"/>
  <c r="S19"/>
  <c r="P19"/>
  <c r="L19"/>
  <c r="AV19" s="1"/>
  <c r="I19"/>
  <c r="F19"/>
  <c r="K19" s="1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P18"/>
  <c r="L18"/>
  <c r="I18"/>
  <c r="F18"/>
  <c r="BD17"/>
  <c r="BA17"/>
  <c r="AZ17"/>
  <c r="AM17"/>
  <c r="AJ17"/>
  <c r="AO17" s="1"/>
  <c r="AC17"/>
  <c r="Z17"/>
  <c r="S17"/>
  <c r="V17" s="1"/>
  <c r="AW17" s="1"/>
  <c r="P17"/>
  <c r="I17"/>
  <c r="L17" s="1"/>
  <c r="F17"/>
  <c r="B17"/>
  <c r="B39" s="1"/>
  <c r="AM16"/>
  <c r="AJ16"/>
  <c r="AO16" s="1"/>
  <c r="AC16"/>
  <c r="Z16"/>
  <c r="S16"/>
  <c r="P16"/>
  <c r="I16"/>
  <c r="F16"/>
  <c r="B16"/>
  <c r="B38" s="1"/>
  <c r="BB15"/>
  <c r="BA15"/>
  <c r="AZ15"/>
  <c r="AM15"/>
  <c r="AJ15"/>
  <c r="AO15" s="1"/>
  <c r="AC15"/>
  <c r="Z15"/>
  <c r="AF15" s="1"/>
  <c r="AX15" s="1"/>
  <c r="S15"/>
  <c r="P15"/>
  <c r="I15"/>
  <c r="F15"/>
  <c r="B15"/>
  <c r="B37" s="1"/>
  <c r="AM14"/>
  <c r="AJ14"/>
  <c r="AO14" s="1"/>
  <c r="AC14"/>
  <c r="Z14"/>
  <c r="S14"/>
  <c r="P14"/>
  <c r="I14"/>
  <c r="F14"/>
  <c r="B14"/>
  <c r="B36" s="1"/>
  <c r="BD13"/>
  <c r="BA13"/>
  <c r="AZ13"/>
  <c r="AM13"/>
  <c r="AJ13"/>
  <c r="AO13" s="1"/>
  <c r="AC13"/>
  <c r="Z13"/>
  <c r="S13"/>
  <c r="P13"/>
  <c r="L13"/>
  <c r="AV13" s="1"/>
  <c r="I13"/>
  <c r="F13"/>
  <c r="K13" s="1"/>
  <c r="B13"/>
  <c r="B35" s="1"/>
  <c r="AM12"/>
  <c r="AJ12"/>
  <c r="AO12" s="1"/>
  <c r="AC12"/>
  <c r="Z12"/>
  <c r="S12"/>
  <c r="P12"/>
  <c r="I12"/>
  <c r="F12"/>
  <c r="B12"/>
  <c r="B34" s="1"/>
  <c r="BD11"/>
  <c r="BB11"/>
  <c r="BA11"/>
  <c r="AZ1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3" s="1"/>
  <c r="AV7"/>
  <c r="M5"/>
  <c r="AW7" s="1"/>
  <c r="AN13" i="12"/>
  <c r="AT85"/>
  <c r="BB7" i="22" l="1"/>
  <c r="B1"/>
  <c r="B3" s="1"/>
  <c r="BB7" i="20"/>
  <c r="B1"/>
  <c r="B3" s="1"/>
  <c r="AT46" i="19"/>
  <c r="AR1" s="1"/>
  <c r="AT11"/>
  <c r="BF25"/>
  <c r="AP44"/>
  <c r="AP42"/>
  <c r="C58"/>
  <c r="M58" s="1"/>
  <c r="W58" s="1"/>
  <c r="M26"/>
  <c r="AZ7"/>
  <c r="BE25"/>
  <c r="AQ64"/>
  <c r="AP37" i="18"/>
  <c r="AO43"/>
  <c r="AP43" s="1"/>
  <c r="AT43"/>
  <c r="AT22" s="1"/>
  <c r="AM36"/>
  <c r="AT36"/>
  <c r="AM32"/>
  <c r="AT32"/>
  <c r="AM34"/>
  <c r="AT34"/>
  <c r="AM38"/>
  <c r="AT38"/>
  <c r="AT17" s="1"/>
  <c r="AI36"/>
  <c r="AT15"/>
  <c r="U71"/>
  <c r="W71" s="1"/>
  <c r="AO32"/>
  <c r="AP32" s="1"/>
  <c r="AN38"/>
  <c r="U77"/>
  <c r="W77" s="1"/>
  <c r="C58"/>
  <c r="M58" s="1"/>
  <c r="W58" s="1"/>
  <c r="M26"/>
  <c r="AZ7"/>
  <c r="AK38"/>
  <c r="AP38" s="1"/>
  <c r="AR39"/>
  <c r="AR37"/>
  <c r="U73"/>
  <c r="W73" s="1"/>
  <c r="AO34"/>
  <c r="BF18"/>
  <c r="BE18"/>
  <c r="AR18"/>
  <c r="BF16"/>
  <c r="BE16"/>
  <c r="AR16"/>
  <c r="BF20"/>
  <c r="BE20"/>
  <c r="AR20"/>
  <c r="BF56"/>
  <c r="BE56"/>
  <c r="AR56"/>
  <c r="BF22"/>
  <c r="BE22"/>
  <c r="AR22"/>
  <c r="U81"/>
  <c r="W81" s="1"/>
  <c r="AP33"/>
  <c r="AP35"/>
  <c r="AT21"/>
  <c r="AI42"/>
  <c r="AP42" s="1"/>
  <c r="AI34"/>
  <c r="AT13"/>
  <c r="AO36"/>
  <c r="U75"/>
  <c r="W75" s="1"/>
  <c r="BE11"/>
  <c r="AR11"/>
  <c r="BF11"/>
  <c r="BE13"/>
  <c r="AR13"/>
  <c r="BF13"/>
  <c r="BE15"/>
  <c r="AR15"/>
  <c r="BF15"/>
  <c r="BE17"/>
  <c r="AR17"/>
  <c r="BF17"/>
  <c r="N81"/>
  <c r="BD21"/>
  <c r="Q81"/>
  <c r="AR42" s="1"/>
  <c r="BF12"/>
  <c r="BE12"/>
  <c r="AR12"/>
  <c r="BF14"/>
  <c r="BE14"/>
  <c r="AR14"/>
  <c r="BE19"/>
  <c r="AR19"/>
  <c r="BF19"/>
  <c r="AR46"/>
  <c r="AR56" i="17"/>
  <c r="BF56"/>
  <c r="U81"/>
  <c r="W81" s="1"/>
  <c r="BE22"/>
  <c r="BF22"/>
  <c r="AR22"/>
  <c r="AZ27"/>
  <c r="BD29" s="1"/>
  <c r="AI36"/>
  <c r="AP36" s="1"/>
  <c r="AT36"/>
  <c r="AT15" s="1"/>
  <c r="AR13"/>
  <c r="BE13"/>
  <c r="BE11"/>
  <c r="AR11"/>
  <c r="BF11"/>
  <c r="U75"/>
  <c r="W75" s="1"/>
  <c r="U77"/>
  <c r="W77" s="1"/>
  <c r="AJ32"/>
  <c r="AP32" s="1"/>
  <c r="AT32"/>
  <c r="AI38"/>
  <c r="AP38" s="1"/>
  <c r="AT38"/>
  <c r="AT17" s="1"/>
  <c r="BE21"/>
  <c r="AR21"/>
  <c r="C58"/>
  <c r="M58" s="1"/>
  <c r="W58" s="1"/>
  <c r="AZ7"/>
  <c r="M26"/>
  <c r="AR17"/>
  <c r="BE17"/>
  <c r="BE20"/>
  <c r="AR20"/>
  <c r="BF20"/>
  <c r="AO34"/>
  <c r="AP34" s="1"/>
  <c r="U73"/>
  <c r="W73" s="1"/>
  <c r="BE15"/>
  <c r="AR15"/>
  <c r="AR46"/>
  <c r="AP33"/>
  <c r="U71"/>
  <c r="W71" s="1"/>
  <c r="AE35" i="16"/>
  <c r="AO35" s="1"/>
  <c r="U44"/>
  <c r="AN44" s="1"/>
  <c r="AP58"/>
  <c r="BF22"/>
  <c r="B101"/>
  <c r="B103" s="1"/>
  <c r="O113"/>
  <c r="O115" s="1"/>
  <c r="O112"/>
  <c r="AA111"/>
  <c r="K44"/>
  <c r="AM44" s="1"/>
  <c r="K35"/>
  <c r="AM35" s="1"/>
  <c r="AE23"/>
  <c r="AK45" s="1"/>
  <c r="AA93"/>
  <c r="O95"/>
  <c r="O97" s="1"/>
  <c r="O94"/>
  <c r="U82"/>
  <c r="W82" s="1"/>
  <c r="N82"/>
  <c r="BD21"/>
  <c r="Q82"/>
  <c r="AE36"/>
  <c r="AO36" s="1"/>
  <c r="AP23"/>
  <c r="BE23" s="1"/>
  <c r="U34"/>
  <c r="AN34" s="1"/>
  <c r="K45"/>
  <c r="AM45" s="1"/>
  <c r="K36"/>
  <c r="AP47"/>
  <c r="K13"/>
  <c r="AI35" s="1"/>
  <c r="AR23"/>
  <c r="AI33"/>
  <c r="AA130"/>
  <c r="O132"/>
  <c r="O134" s="1"/>
  <c r="O131"/>
  <c r="N78"/>
  <c r="BD16"/>
  <c r="BF25"/>
  <c r="BE25"/>
  <c r="AR25"/>
  <c r="AM36"/>
  <c r="AI45"/>
  <c r="AV17"/>
  <c r="AP17"/>
  <c r="AV15"/>
  <c r="AP15"/>
  <c r="AI36"/>
  <c r="AI34"/>
  <c r="C27"/>
  <c r="AY7"/>
  <c r="N76"/>
  <c r="BD14"/>
  <c r="U38"/>
  <c r="AN38" s="1"/>
  <c r="Q76"/>
  <c r="AR36" s="1"/>
  <c r="Q78"/>
  <c r="AP24"/>
  <c r="AP22"/>
  <c r="AE15"/>
  <c r="AK37" s="1"/>
  <c r="K15"/>
  <c r="AE13"/>
  <c r="AE11"/>
  <c r="AK33" s="1"/>
  <c r="AP12"/>
  <c r="AP20"/>
  <c r="AP18"/>
  <c r="U17"/>
  <c r="AJ39" s="1"/>
  <c r="AP16"/>
  <c r="AP14"/>
  <c r="BA23"/>
  <c r="BA20"/>
  <c r="AO39"/>
  <c r="AO37"/>
  <c r="N77"/>
  <c r="BD15"/>
  <c r="N74"/>
  <c r="BD12"/>
  <c r="AO45"/>
  <c r="AA195"/>
  <c r="O197"/>
  <c r="O199" s="1"/>
  <c r="O196"/>
  <c r="AA156"/>
  <c r="O158"/>
  <c r="O160" s="1"/>
  <c r="O157"/>
  <c r="N81"/>
  <c r="BD20"/>
  <c r="AZ20"/>
  <c r="AZ23"/>
  <c r="AO33"/>
  <c r="AI38"/>
  <c r="AV11"/>
  <c r="AP11"/>
  <c r="N87"/>
  <c r="BD58"/>
  <c r="AE34"/>
  <c r="K34"/>
  <c r="AM34" s="1"/>
  <c r="B176"/>
  <c r="B178" s="1"/>
  <c r="AT47"/>
  <c r="AT25" s="1"/>
  <c r="U45"/>
  <c r="AN45" s="1"/>
  <c r="AE38"/>
  <c r="K38"/>
  <c r="AM38" s="1"/>
  <c r="U36"/>
  <c r="AN36" s="1"/>
  <c r="B156"/>
  <c r="B158" s="1"/>
  <c r="Q87"/>
  <c r="AR62" s="1"/>
  <c r="Q74"/>
  <c r="AR34" s="1"/>
  <c r="Q77"/>
  <c r="AR37" s="1"/>
  <c r="Q81"/>
  <c r="AR42" s="1"/>
  <c r="AE22"/>
  <c r="U15"/>
  <c r="AJ37" s="1"/>
  <c r="AP13"/>
  <c r="U11"/>
  <c r="AJ33" s="1"/>
  <c r="AP41"/>
  <c r="AE24"/>
  <c r="AE20"/>
  <c r="AE17"/>
  <c r="AK39" s="1"/>
  <c r="K17"/>
  <c r="AP43"/>
  <c r="AT40" i="15"/>
  <c r="AT18" s="1"/>
  <c r="K39"/>
  <c r="AM39" s="1"/>
  <c r="AP23"/>
  <c r="AR23" s="1"/>
  <c r="AE38"/>
  <c r="K38"/>
  <c r="AM38" s="1"/>
  <c r="AT47"/>
  <c r="AT25" s="1"/>
  <c r="AP43"/>
  <c r="AR40"/>
  <c r="AR38"/>
  <c r="AO45"/>
  <c r="BE23"/>
  <c r="AI39"/>
  <c r="AI34"/>
  <c r="AA161"/>
  <c r="O163"/>
  <c r="O165" s="1"/>
  <c r="O162"/>
  <c r="AA122"/>
  <c r="O124"/>
  <c r="O126" s="1"/>
  <c r="O123"/>
  <c r="N81"/>
  <c r="BD20"/>
  <c r="BA23"/>
  <c r="BA20"/>
  <c r="AO39"/>
  <c r="U73"/>
  <c r="W73" s="1"/>
  <c r="AO33"/>
  <c r="N76"/>
  <c r="BD14"/>
  <c r="AI38"/>
  <c r="AV15"/>
  <c r="AP15"/>
  <c r="M27"/>
  <c r="C60"/>
  <c r="M60" s="1"/>
  <c r="W60" s="1"/>
  <c r="AZ7"/>
  <c r="BE11"/>
  <c r="AR11"/>
  <c r="K45"/>
  <c r="AM45" s="1"/>
  <c r="U34"/>
  <c r="AN34" s="1"/>
  <c r="B104"/>
  <c r="B106" s="1"/>
  <c r="Q76"/>
  <c r="AR36" s="1"/>
  <c r="Q88"/>
  <c r="AP47"/>
  <c r="U38"/>
  <c r="AN38" s="1"/>
  <c r="AE36"/>
  <c r="K36"/>
  <c r="B161"/>
  <c r="B163" s="1"/>
  <c r="B142"/>
  <c r="B144" s="1"/>
  <c r="U80"/>
  <c r="W80" s="1"/>
  <c r="U75"/>
  <c r="W75" s="1"/>
  <c r="K15"/>
  <c r="AT43"/>
  <c r="AT21" s="1"/>
  <c r="AT41"/>
  <c r="AT19" s="1"/>
  <c r="AP16"/>
  <c r="AP14"/>
  <c r="AE17"/>
  <c r="AK39" s="1"/>
  <c r="AP42"/>
  <c r="AP40"/>
  <c r="AA96"/>
  <c r="O98"/>
  <c r="O100" s="1"/>
  <c r="O97"/>
  <c r="N78"/>
  <c r="BD16"/>
  <c r="BB20"/>
  <c r="BB23"/>
  <c r="AZ20"/>
  <c r="AZ23"/>
  <c r="AO37"/>
  <c r="N87"/>
  <c r="BD58"/>
  <c r="AO38"/>
  <c r="U78"/>
  <c r="W78" s="1"/>
  <c r="AI45"/>
  <c r="AT45"/>
  <c r="AT23" s="1"/>
  <c r="AV17"/>
  <c r="AP17"/>
  <c r="AI36"/>
  <c r="AT35"/>
  <c r="AT13" s="1"/>
  <c r="AI35"/>
  <c r="AP35" s="1"/>
  <c r="AV12"/>
  <c r="AP12"/>
  <c r="AT33"/>
  <c r="AI33"/>
  <c r="AP33" s="1"/>
  <c r="BF25"/>
  <c r="BE25"/>
  <c r="AR25"/>
  <c r="N77"/>
  <c r="BD15"/>
  <c r="N74"/>
  <c r="BD12"/>
  <c r="BE24"/>
  <c r="AR24"/>
  <c r="AE34"/>
  <c r="K34"/>
  <c r="AM34" s="1"/>
  <c r="Q87"/>
  <c r="AR62" s="1"/>
  <c r="U36"/>
  <c r="AN36" s="1"/>
  <c r="U15"/>
  <c r="AJ37" s="1"/>
  <c r="AP41"/>
  <c r="U12"/>
  <c r="AJ34" s="1"/>
  <c r="AP46"/>
  <c r="AP44"/>
  <c r="AZ28"/>
  <c r="BD30" s="1"/>
  <c r="AF39" i="14"/>
  <c r="BB17" s="1"/>
  <c r="V39"/>
  <c r="BA17" s="1"/>
  <c r="V35"/>
  <c r="BA13" s="1"/>
  <c r="L33"/>
  <c r="AZ11" s="1"/>
  <c r="U14"/>
  <c r="AJ36" s="1"/>
  <c r="U13"/>
  <c r="AJ35" s="1"/>
  <c r="K13"/>
  <c r="U42"/>
  <c r="AN42" s="1"/>
  <c r="AO13"/>
  <c r="AP13" s="1"/>
  <c r="AE14"/>
  <c r="AK36" s="1"/>
  <c r="AE13"/>
  <c r="AK35" s="1"/>
  <c r="AE25"/>
  <c r="AK47" s="1"/>
  <c r="AP25"/>
  <c r="U25"/>
  <c r="AJ47" s="1"/>
  <c r="AP18"/>
  <c r="AP20"/>
  <c r="AP22"/>
  <c r="K14"/>
  <c r="AI36" s="1"/>
  <c r="K17"/>
  <c r="K25"/>
  <c r="AI47" s="1"/>
  <c r="AL33"/>
  <c r="AY11"/>
  <c r="AL35"/>
  <c r="AY13"/>
  <c r="AP15"/>
  <c r="AV15"/>
  <c r="AL37"/>
  <c r="AY15"/>
  <c r="AL38"/>
  <c r="AY16"/>
  <c r="AI39"/>
  <c r="AL41"/>
  <c r="AY19"/>
  <c r="AL43"/>
  <c r="AY21"/>
  <c r="AX7"/>
  <c r="AG5"/>
  <c r="AV12"/>
  <c r="AL34"/>
  <c r="AY12"/>
  <c r="AI35"/>
  <c r="AV14"/>
  <c r="AL36"/>
  <c r="AY14"/>
  <c r="AL39"/>
  <c r="AY17"/>
  <c r="BF17" s="1"/>
  <c r="AI40"/>
  <c r="BE18"/>
  <c r="AR18"/>
  <c r="AL40"/>
  <c r="AY18"/>
  <c r="BF18" s="1"/>
  <c r="AI41"/>
  <c r="AI42"/>
  <c r="AL42"/>
  <c r="AY20"/>
  <c r="AI43"/>
  <c r="AI44"/>
  <c r="BE22"/>
  <c r="AR22"/>
  <c r="AL44"/>
  <c r="AY22"/>
  <c r="BF22" s="1"/>
  <c r="BF13"/>
  <c r="AE21"/>
  <c r="AK43" s="1"/>
  <c r="U23"/>
  <c r="AJ45" s="1"/>
  <c r="AE23"/>
  <c r="AK45" s="1"/>
  <c r="AL47"/>
  <c r="AY25"/>
  <c r="AM27"/>
  <c r="AN27" s="1"/>
  <c r="AO27" s="1"/>
  <c r="U85" s="1"/>
  <c r="W85" s="1"/>
  <c r="AW27"/>
  <c r="AO41"/>
  <c r="AO46"/>
  <c r="K74"/>
  <c r="I74"/>
  <c r="K77"/>
  <c r="I77"/>
  <c r="N84"/>
  <c r="BD23"/>
  <c r="N86"/>
  <c r="BD25"/>
  <c r="B100"/>
  <c r="B102" s="1"/>
  <c r="B103"/>
  <c r="B104" s="1"/>
  <c r="B106" s="1"/>
  <c r="B121"/>
  <c r="B118"/>
  <c r="B120" s="1"/>
  <c r="O144"/>
  <c r="O146" s="1"/>
  <c r="O143"/>
  <c r="AA142"/>
  <c r="O155"/>
  <c r="O157" s="1"/>
  <c r="O154"/>
  <c r="AA153"/>
  <c r="AW7"/>
  <c r="L11"/>
  <c r="V11"/>
  <c r="AW11" s="1"/>
  <c r="AF11"/>
  <c r="AX11" s="1"/>
  <c r="BF11"/>
  <c r="K12"/>
  <c r="U12"/>
  <c r="AJ34" s="1"/>
  <c r="AE12"/>
  <c r="AK34" s="1"/>
  <c r="AV13"/>
  <c r="K15"/>
  <c r="U15"/>
  <c r="AJ37" s="1"/>
  <c r="AE15"/>
  <c r="AK37" s="1"/>
  <c r="L16"/>
  <c r="V16"/>
  <c r="AW16" s="1"/>
  <c r="AF16"/>
  <c r="AX16" s="1"/>
  <c r="AE17"/>
  <c r="AK39" s="1"/>
  <c r="AV17"/>
  <c r="AE18"/>
  <c r="AK40" s="1"/>
  <c r="AV18"/>
  <c r="AF19"/>
  <c r="AX19" s="1"/>
  <c r="BF19"/>
  <c r="AE20"/>
  <c r="AK42" s="1"/>
  <c r="AV20"/>
  <c r="AP21"/>
  <c r="AR21" s="1"/>
  <c r="BF21"/>
  <c r="AE22"/>
  <c r="AK44" s="1"/>
  <c r="AV22"/>
  <c r="L23"/>
  <c r="AY23"/>
  <c r="AL45"/>
  <c r="AI46"/>
  <c r="AL46"/>
  <c r="AY24"/>
  <c r="BF24" s="1"/>
  <c r="AT47"/>
  <c r="AT25" s="1"/>
  <c r="U83"/>
  <c r="W83" s="1"/>
  <c r="AO44"/>
  <c r="Q77"/>
  <c r="AR37" s="1"/>
  <c r="Q74"/>
  <c r="AR34" s="1"/>
  <c r="N71"/>
  <c r="Q86"/>
  <c r="AR47" s="1"/>
  <c r="Q85"/>
  <c r="Q84"/>
  <c r="AR45" s="1"/>
  <c r="Q83"/>
  <c r="AR44" s="1"/>
  <c r="Q82"/>
  <c r="Q80"/>
  <c r="AR41" s="1"/>
  <c r="Q79"/>
  <c r="AR39" s="1"/>
  <c r="Q75"/>
  <c r="AR35" s="1"/>
  <c r="Q73"/>
  <c r="AR33" s="1"/>
  <c r="Q71"/>
  <c r="Q70"/>
  <c r="K76"/>
  <c r="I76"/>
  <c r="I87"/>
  <c r="K87"/>
  <c r="K88"/>
  <c r="I88"/>
  <c r="N88" s="1"/>
  <c r="O106"/>
  <c r="O108" s="1"/>
  <c r="O105"/>
  <c r="AA104"/>
  <c r="O116"/>
  <c r="O118" s="1"/>
  <c r="O115"/>
  <c r="AA114"/>
  <c r="B141"/>
  <c r="B142" s="1"/>
  <c r="B144" s="1"/>
  <c r="B138"/>
  <c r="B140" s="1"/>
  <c r="B160"/>
  <c r="B161" s="1"/>
  <c r="B163" s="1"/>
  <c r="B157"/>
  <c r="B159" s="1"/>
  <c r="AK138"/>
  <c r="AD181"/>
  <c r="AF24"/>
  <c r="AX24" s="1"/>
  <c r="AV25"/>
  <c r="U33"/>
  <c r="AN33" s="1"/>
  <c r="AE33"/>
  <c r="L34"/>
  <c r="AZ12" s="1"/>
  <c r="V34"/>
  <c r="BA12" s="1"/>
  <c r="AF34"/>
  <c r="BB12" s="1"/>
  <c r="K35"/>
  <c r="AM35" s="1"/>
  <c r="AE35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K39"/>
  <c r="AM39" s="1"/>
  <c r="AE39"/>
  <c r="L45"/>
  <c r="V45"/>
  <c r="AF45"/>
  <c r="AE58"/>
  <c r="AK62" s="1"/>
  <c r="AP62" s="1"/>
  <c r="K73"/>
  <c r="K75"/>
  <c r="I78"/>
  <c r="I81"/>
  <c r="K83"/>
  <c r="K84"/>
  <c r="Z84" s="1"/>
  <c r="G87"/>
  <c r="I89"/>
  <c r="N89" s="1"/>
  <c r="O96"/>
  <c r="O121"/>
  <c r="O122" s="1"/>
  <c r="O160"/>
  <c r="O161" s="1"/>
  <c r="C71"/>
  <c r="G81"/>
  <c r="O134"/>
  <c r="AF39" i="13"/>
  <c r="BB17" s="1"/>
  <c r="AF35"/>
  <c r="BB13" s="1"/>
  <c r="K36"/>
  <c r="U23"/>
  <c r="AJ45" s="1"/>
  <c r="V15"/>
  <c r="AW15" s="1"/>
  <c r="V12"/>
  <c r="AW12" s="1"/>
  <c r="L15"/>
  <c r="AP15" s="1"/>
  <c r="L12"/>
  <c r="AE40"/>
  <c r="AO40" s="1"/>
  <c r="AE42"/>
  <c r="AO42" s="1"/>
  <c r="U40"/>
  <c r="AN40" s="1"/>
  <c r="U42"/>
  <c r="AN42" s="1"/>
  <c r="K40"/>
  <c r="AM40" s="1"/>
  <c r="K42"/>
  <c r="AM42" s="1"/>
  <c r="AP18"/>
  <c r="AE20"/>
  <c r="AK42" s="1"/>
  <c r="AP22"/>
  <c r="BE22" s="1"/>
  <c r="AF12"/>
  <c r="AX12" s="1"/>
  <c r="AE15"/>
  <c r="AK37" s="1"/>
  <c r="AF17"/>
  <c r="AX17" s="1"/>
  <c r="AE18"/>
  <c r="AK40" s="1"/>
  <c r="AE22"/>
  <c r="AK44" s="1"/>
  <c r="AE23"/>
  <c r="AK45" s="1"/>
  <c r="U24"/>
  <c r="AJ46" s="1"/>
  <c r="U19"/>
  <c r="AJ41" s="1"/>
  <c r="U18"/>
  <c r="AJ40" s="1"/>
  <c r="AP25"/>
  <c r="U25"/>
  <c r="AJ47" s="1"/>
  <c r="AP20"/>
  <c r="U20"/>
  <c r="AJ42" s="1"/>
  <c r="K24"/>
  <c r="K18"/>
  <c r="K20"/>
  <c r="K22"/>
  <c r="K23"/>
  <c r="K25"/>
  <c r="W5"/>
  <c r="AX7" s="1"/>
  <c r="AL34"/>
  <c r="AY12"/>
  <c r="AL35"/>
  <c r="AY13"/>
  <c r="AL36"/>
  <c r="AY14"/>
  <c r="AL39"/>
  <c r="AY17"/>
  <c r="AI41"/>
  <c r="AL41"/>
  <c r="AY19"/>
  <c r="BF19" s="1"/>
  <c r="AI43"/>
  <c r="AL43"/>
  <c r="AY21"/>
  <c r="BF13"/>
  <c r="BF21"/>
  <c r="AV11"/>
  <c r="AP11"/>
  <c r="AL33"/>
  <c r="AY11"/>
  <c r="BF11" s="1"/>
  <c r="AV12"/>
  <c r="AI35"/>
  <c r="AL37"/>
  <c r="AY15"/>
  <c r="AL38"/>
  <c r="AY16"/>
  <c r="AV17"/>
  <c r="AI40"/>
  <c r="AT40"/>
  <c r="AT18" s="1"/>
  <c r="AL40"/>
  <c r="AY18"/>
  <c r="BF18" s="1"/>
  <c r="AI42"/>
  <c r="AT42"/>
  <c r="AL42"/>
  <c r="AY20"/>
  <c r="AT44"/>
  <c r="AT22" s="1"/>
  <c r="AI44"/>
  <c r="AL44"/>
  <c r="AY22"/>
  <c r="BF17"/>
  <c r="AY23"/>
  <c r="AL45"/>
  <c r="AL47"/>
  <c r="AY25"/>
  <c r="AM27"/>
  <c r="AN27" s="1"/>
  <c r="AO27" s="1"/>
  <c r="U85" s="1"/>
  <c r="W85" s="1"/>
  <c r="AW27"/>
  <c r="AM36"/>
  <c r="U83"/>
  <c r="W83" s="1"/>
  <c r="AO44"/>
  <c r="AO46"/>
  <c r="N71"/>
  <c r="Q86"/>
  <c r="AR47" s="1"/>
  <c r="Q85"/>
  <c r="Q84"/>
  <c r="AR45" s="1"/>
  <c r="Q83"/>
  <c r="AR44" s="1"/>
  <c r="Q82"/>
  <c r="Q80"/>
  <c r="AR41" s="1"/>
  <c r="Q79"/>
  <c r="AR39" s="1"/>
  <c r="Q75"/>
  <c r="AR35" s="1"/>
  <c r="Q73"/>
  <c r="AR33" s="1"/>
  <c r="Q71"/>
  <c r="Q70"/>
  <c r="K76"/>
  <c r="I76"/>
  <c r="I87"/>
  <c r="K87"/>
  <c r="K88"/>
  <c r="I88"/>
  <c r="N88" s="1"/>
  <c r="B100"/>
  <c r="B102" s="1"/>
  <c r="B103"/>
  <c r="O116"/>
  <c r="O118" s="1"/>
  <c r="O115"/>
  <c r="AA114"/>
  <c r="O144"/>
  <c r="O146" s="1"/>
  <c r="O143"/>
  <c r="AA142"/>
  <c r="B160"/>
  <c r="B161" s="1"/>
  <c r="B163" s="1"/>
  <c r="B157"/>
  <c r="B159" s="1"/>
  <c r="AA161"/>
  <c r="O163"/>
  <c r="O165" s="1"/>
  <c r="O162"/>
  <c r="K11"/>
  <c r="U11"/>
  <c r="AJ33" s="1"/>
  <c r="AE11"/>
  <c r="AK33" s="1"/>
  <c r="AG5"/>
  <c r="K12"/>
  <c r="U12"/>
  <c r="AJ34" s="1"/>
  <c r="AE12"/>
  <c r="AK34" s="1"/>
  <c r="V13"/>
  <c r="AF13"/>
  <c r="AX13" s="1"/>
  <c r="L14"/>
  <c r="K14" s="1"/>
  <c r="V14"/>
  <c r="AW14" s="1"/>
  <c r="AF14"/>
  <c r="AX14" s="1"/>
  <c r="K15"/>
  <c r="U15"/>
  <c r="AJ37" s="1"/>
  <c r="L16"/>
  <c r="V16"/>
  <c r="AW16" s="1"/>
  <c r="AF16"/>
  <c r="AX16" s="1"/>
  <c r="K17"/>
  <c r="U17"/>
  <c r="AJ39" s="1"/>
  <c r="AE17"/>
  <c r="AK39" s="1"/>
  <c r="AR18"/>
  <c r="AV18"/>
  <c r="BE18"/>
  <c r="AF19"/>
  <c r="AX19" s="1"/>
  <c r="AV20"/>
  <c r="AF21"/>
  <c r="AX21" s="1"/>
  <c r="AR22"/>
  <c r="AV22"/>
  <c r="AI45"/>
  <c r="AI46"/>
  <c r="AL46"/>
  <c r="AY24"/>
  <c r="BF24" s="1"/>
  <c r="AI47"/>
  <c r="AO41"/>
  <c r="K74"/>
  <c r="I74"/>
  <c r="K77"/>
  <c r="I77"/>
  <c r="N84"/>
  <c r="BD23"/>
  <c r="N86"/>
  <c r="BD25"/>
  <c r="O106"/>
  <c r="O108" s="1"/>
  <c r="O105"/>
  <c r="AA104"/>
  <c r="B121"/>
  <c r="B118"/>
  <c r="B120" s="1"/>
  <c r="B141"/>
  <c r="B138"/>
  <c r="B140" s="1"/>
  <c r="O155"/>
  <c r="O157" s="1"/>
  <c r="O154"/>
  <c r="AA153"/>
  <c r="BF22"/>
  <c r="AK138"/>
  <c r="AD181"/>
  <c r="AV23"/>
  <c r="AF24"/>
  <c r="AX24" s="1"/>
  <c r="AE25"/>
  <c r="AK47" s="1"/>
  <c r="AV25"/>
  <c r="K33"/>
  <c r="AM33" s="1"/>
  <c r="U33"/>
  <c r="AN33" s="1"/>
  <c r="AE33"/>
  <c r="L34"/>
  <c r="AZ12" s="1"/>
  <c r="V34"/>
  <c r="BA12" s="1"/>
  <c r="AF34"/>
  <c r="BB12" s="1"/>
  <c r="K35"/>
  <c r="AM35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K39"/>
  <c r="AM39" s="1"/>
  <c r="U39"/>
  <c r="AN39" s="1"/>
  <c r="L45"/>
  <c r="V45"/>
  <c r="U45" s="1"/>
  <c r="AN45" s="1"/>
  <c r="AF45"/>
  <c r="AE58"/>
  <c r="AK62" s="1"/>
  <c r="AP62" s="1"/>
  <c r="K73"/>
  <c r="K75"/>
  <c r="I78"/>
  <c r="I81"/>
  <c r="K83"/>
  <c r="K84"/>
  <c r="Z84" s="1"/>
  <c r="G87"/>
  <c r="I89"/>
  <c r="N89" s="1"/>
  <c r="O96"/>
  <c r="O121"/>
  <c r="O122" s="1"/>
  <c r="C71"/>
  <c r="G81"/>
  <c r="O134"/>
  <c r="G84" i="12"/>
  <c r="K79"/>
  <c r="I79"/>
  <c r="C79"/>
  <c r="E79" s="1"/>
  <c r="AM23"/>
  <c r="AJ23"/>
  <c r="AO23" s="1"/>
  <c r="AC23"/>
  <c r="AE23" s="1"/>
  <c r="Z23"/>
  <c r="AF23" s="1"/>
  <c r="AX23" s="1"/>
  <c r="V23"/>
  <c r="S23"/>
  <c r="U23" s="1"/>
  <c r="P23"/>
  <c r="L23"/>
  <c r="I23"/>
  <c r="K23" s="1"/>
  <c r="F23"/>
  <c r="AC17"/>
  <c r="Z17"/>
  <c r="AF17" s="1"/>
  <c r="AX17" s="1"/>
  <c r="S17"/>
  <c r="P17"/>
  <c r="I17"/>
  <c r="F17"/>
  <c r="AD178"/>
  <c r="U178"/>
  <c r="X178" s="1"/>
  <c r="R178"/>
  <c r="AD177"/>
  <c r="U177"/>
  <c r="X177" s="1"/>
  <c r="R177"/>
  <c r="AD176"/>
  <c r="U176"/>
  <c r="X176" s="1"/>
  <c r="R176"/>
  <c r="AD175"/>
  <c r="U175"/>
  <c r="X175" s="1"/>
  <c r="R175"/>
  <c r="AD174"/>
  <c r="U174"/>
  <c r="X174" s="1"/>
  <c r="R174"/>
  <c r="AD173"/>
  <c r="U173"/>
  <c r="X173" s="1"/>
  <c r="R173"/>
  <c r="AD172"/>
  <c r="AD179" s="1"/>
  <c r="U172"/>
  <c r="X172" s="1"/>
  <c r="R172"/>
  <c r="O152"/>
  <c r="O153" s="1"/>
  <c r="B151"/>
  <c r="B152" s="1"/>
  <c r="B153" s="1"/>
  <c r="B155" s="1"/>
  <c r="AG137"/>
  <c r="AJ137" s="1"/>
  <c r="AJ136"/>
  <c r="AG136"/>
  <c r="AJ135"/>
  <c r="AG135"/>
  <c r="AG134"/>
  <c r="AJ134" s="1"/>
  <c r="O134"/>
  <c r="O136" s="1"/>
  <c r="O138" s="1"/>
  <c r="AJ133"/>
  <c r="AK138" s="1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5"/>
  <c r="B96" s="1"/>
  <c r="B98" s="1"/>
  <c r="B94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N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V46"/>
  <c r="S46"/>
  <c r="P46"/>
  <c r="U46" s="1"/>
  <c r="AN46" s="1"/>
  <c r="L46"/>
  <c r="I46"/>
  <c r="F46"/>
  <c r="K46" s="1"/>
  <c r="AM46" s="1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V43"/>
  <c r="S43"/>
  <c r="P43"/>
  <c r="U43" s="1"/>
  <c r="AN43" s="1"/>
  <c r="L43"/>
  <c r="I43"/>
  <c r="F43"/>
  <c r="K43" s="1"/>
  <c r="AM43" s="1"/>
  <c r="AF42"/>
  <c r="AC42"/>
  <c r="Z42"/>
  <c r="V42"/>
  <c r="S42"/>
  <c r="P42"/>
  <c r="L42"/>
  <c r="I42"/>
  <c r="F42"/>
  <c r="AF41"/>
  <c r="AC41"/>
  <c r="Z41"/>
  <c r="V41"/>
  <c r="S41"/>
  <c r="P41"/>
  <c r="U41" s="1"/>
  <c r="AN41" s="1"/>
  <c r="L41"/>
  <c r="I41"/>
  <c r="F41"/>
  <c r="K41" s="1"/>
  <c r="AM41" s="1"/>
  <c r="AF40"/>
  <c r="AC40"/>
  <c r="Z40"/>
  <c r="V40"/>
  <c r="S40"/>
  <c r="U40" s="1"/>
  <c r="AN40" s="1"/>
  <c r="P40"/>
  <c r="L40"/>
  <c r="I40"/>
  <c r="K40" s="1"/>
  <c r="AM40" s="1"/>
  <c r="F40"/>
  <c r="B40"/>
  <c r="AF39"/>
  <c r="AC39"/>
  <c r="Z39"/>
  <c r="AE39" s="1"/>
  <c r="S39"/>
  <c r="P39"/>
  <c r="I39"/>
  <c r="F39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AC35"/>
  <c r="Z35"/>
  <c r="AF35" s="1"/>
  <c r="S35"/>
  <c r="P35"/>
  <c r="V35" s="1"/>
  <c r="I35"/>
  <c r="F35"/>
  <c r="L35" s="1"/>
  <c r="AC34"/>
  <c r="Z34"/>
  <c r="S34"/>
  <c r="P34"/>
  <c r="I34"/>
  <c r="F34"/>
  <c r="AC33"/>
  <c r="Z33"/>
  <c r="AF33" s="1"/>
  <c r="S33"/>
  <c r="P33"/>
  <c r="V33" s="1"/>
  <c r="I33"/>
  <c r="F33"/>
  <c r="L33" s="1"/>
  <c r="AI27"/>
  <c r="AJ27" s="1"/>
  <c r="AK27" s="1"/>
  <c r="AL27" s="1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K25" s="1"/>
  <c r="B25"/>
  <c r="B47" s="1"/>
  <c r="BD24"/>
  <c r="BB24"/>
  <c r="BA24"/>
  <c r="AZ24"/>
  <c r="AM24"/>
  <c r="AJ24"/>
  <c r="AO24" s="1"/>
  <c r="AC24"/>
  <c r="AE24" s="1"/>
  <c r="AK46" s="1"/>
  <c r="Z24"/>
  <c r="AF24" s="1"/>
  <c r="AX24" s="1"/>
  <c r="V24"/>
  <c r="AW24" s="1"/>
  <c r="S24"/>
  <c r="U24" s="1"/>
  <c r="AJ46" s="1"/>
  <c r="P24"/>
  <c r="L24"/>
  <c r="I24"/>
  <c r="K24" s="1"/>
  <c r="F24"/>
  <c r="B24"/>
  <c r="B46" s="1"/>
  <c r="BD23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U22" s="1"/>
  <c r="AJ44" s="1"/>
  <c r="P22"/>
  <c r="L22"/>
  <c r="AV22" s="1"/>
  <c r="I22"/>
  <c r="K22" s="1"/>
  <c r="F22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P21"/>
  <c r="U21" s="1"/>
  <c r="AJ43" s="1"/>
  <c r="L21"/>
  <c r="I21"/>
  <c r="F21"/>
  <c r="K21" s="1"/>
  <c r="B21"/>
  <c r="B43" s="1"/>
  <c r="AM20"/>
  <c r="AJ20"/>
  <c r="AO20" s="1"/>
  <c r="AC20"/>
  <c r="Z20"/>
  <c r="AF20" s="1"/>
  <c r="AX20" s="1"/>
  <c r="V20"/>
  <c r="AW20" s="1"/>
  <c r="S20"/>
  <c r="P20"/>
  <c r="L20"/>
  <c r="AV20" s="1"/>
  <c r="I20"/>
  <c r="F20"/>
  <c r="B20"/>
  <c r="B42" s="1"/>
  <c r="BD19"/>
  <c r="BB19"/>
  <c r="BA19"/>
  <c r="AZ19"/>
  <c r="AM19"/>
  <c r="AJ19"/>
  <c r="AO19" s="1"/>
  <c r="AC19"/>
  <c r="Z19"/>
  <c r="AF19" s="1"/>
  <c r="AX19" s="1"/>
  <c r="V19"/>
  <c r="AW19" s="1"/>
  <c r="S19"/>
  <c r="P19"/>
  <c r="L19"/>
  <c r="AP19" s="1"/>
  <c r="I19"/>
  <c r="F19"/>
  <c r="K19" s="1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U18" s="1"/>
  <c r="AJ40" s="1"/>
  <c r="P18"/>
  <c r="L18"/>
  <c r="AV18" s="1"/>
  <c r="I18"/>
  <c r="F18"/>
  <c r="BD17"/>
  <c r="BB17"/>
  <c r="AM17"/>
  <c r="AJ17"/>
  <c r="AO17" s="1"/>
  <c r="B17"/>
  <c r="B39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BB15"/>
  <c r="BA15"/>
  <c r="AZ15"/>
  <c r="AM15"/>
  <c r="AJ15"/>
  <c r="AO15" s="1"/>
  <c r="AC15"/>
  <c r="Z15"/>
  <c r="S15"/>
  <c r="P15"/>
  <c r="I15"/>
  <c r="F15"/>
  <c r="B15"/>
  <c r="B37" s="1"/>
  <c r="AM14"/>
  <c r="AJ14"/>
  <c r="AO14" s="1"/>
  <c r="AC14"/>
  <c r="Z14"/>
  <c r="AF14" s="1"/>
  <c r="AX14" s="1"/>
  <c r="S14"/>
  <c r="P14"/>
  <c r="I14"/>
  <c r="F14"/>
  <c r="L14" s="1"/>
  <c r="B14"/>
  <c r="B36" s="1"/>
  <c r="BD13"/>
  <c r="BB13"/>
  <c r="BA13"/>
  <c r="AZ13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5" s="1"/>
  <c r="AM12"/>
  <c r="AJ12"/>
  <c r="AO12" s="1"/>
  <c r="AC12"/>
  <c r="Z12"/>
  <c r="S12"/>
  <c r="P12"/>
  <c r="I12"/>
  <c r="F12"/>
  <c r="B12"/>
  <c r="B34" s="1"/>
  <c r="BD11"/>
  <c r="BB11"/>
  <c r="BA11"/>
  <c r="AZ1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3" s="1"/>
  <c r="AV7"/>
  <c r="M5"/>
  <c r="AW7" s="1"/>
  <c r="AN13" i="11"/>
  <c r="AJ14"/>
  <c r="AC14"/>
  <c r="AD178"/>
  <c r="X178"/>
  <c r="U178"/>
  <c r="R178"/>
  <c r="AD177"/>
  <c r="X177"/>
  <c r="U177"/>
  <c r="R177"/>
  <c r="AD176"/>
  <c r="X176"/>
  <c r="U176"/>
  <c r="R176"/>
  <c r="AD175"/>
  <c r="X175"/>
  <c r="U175"/>
  <c r="R175"/>
  <c r="AD174"/>
  <c r="X174"/>
  <c r="U174"/>
  <c r="R174"/>
  <c r="AD173"/>
  <c r="X173"/>
  <c r="U173"/>
  <c r="R173"/>
  <c r="AD172"/>
  <c r="AD179" s="1"/>
  <c r="X172"/>
  <c r="X179" s="1"/>
  <c r="U172"/>
  <c r="R172"/>
  <c r="O160"/>
  <c r="O161" s="1"/>
  <c r="O152"/>
  <c r="O153" s="1"/>
  <c r="B152"/>
  <c r="B153" s="1"/>
  <c r="B155" s="1"/>
  <c r="B151"/>
  <c r="AG137"/>
  <c r="AJ137" s="1"/>
  <c r="AG136"/>
  <c r="AJ136" s="1"/>
  <c r="AG135"/>
  <c r="AJ135" s="1"/>
  <c r="AJ134"/>
  <c r="AG134"/>
  <c r="AJ133"/>
  <c r="O133"/>
  <c r="O141" s="1"/>
  <c r="O142" s="1"/>
  <c r="B132"/>
  <c r="B133" s="1"/>
  <c r="B134" s="1"/>
  <c r="B136" s="1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V47"/>
  <c r="S47"/>
  <c r="P47"/>
  <c r="L47"/>
  <c r="I47"/>
  <c r="F47"/>
  <c r="AF46"/>
  <c r="AC46"/>
  <c r="AE46" s="1"/>
  <c r="Z46"/>
  <c r="V46"/>
  <c r="S46"/>
  <c r="U46" s="1"/>
  <c r="AN46" s="1"/>
  <c r="P46"/>
  <c r="L46"/>
  <c r="I46"/>
  <c r="K46" s="1"/>
  <c r="AM46" s="1"/>
  <c r="F46"/>
  <c r="AC45"/>
  <c r="Z45"/>
  <c r="S45"/>
  <c r="P45"/>
  <c r="I45"/>
  <c r="F45"/>
  <c r="AF44"/>
  <c r="AC44"/>
  <c r="Z44"/>
  <c r="V44"/>
  <c r="S44"/>
  <c r="P44"/>
  <c r="L44"/>
  <c r="I44"/>
  <c r="F44"/>
  <c r="AF43"/>
  <c r="AC43"/>
  <c r="AE43" s="1"/>
  <c r="AO43" s="1"/>
  <c r="Z43"/>
  <c r="V43"/>
  <c r="S43"/>
  <c r="U43" s="1"/>
  <c r="AN43" s="1"/>
  <c r="P43"/>
  <c r="L43"/>
  <c r="I43"/>
  <c r="K43" s="1"/>
  <c r="AM43" s="1"/>
  <c r="F43"/>
  <c r="AF42"/>
  <c r="AC42"/>
  <c r="Z42"/>
  <c r="AE42" s="1"/>
  <c r="AO42" s="1"/>
  <c r="V42"/>
  <c r="S42"/>
  <c r="P42"/>
  <c r="U42" s="1"/>
  <c r="AN42" s="1"/>
  <c r="L42"/>
  <c r="I42"/>
  <c r="F42"/>
  <c r="K42" s="1"/>
  <c r="AM42" s="1"/>
  <c r="AF41"/>
  <c r="AC41"/>
  <c r="AE41" s="1"/>
  <c r="Z41"/>
  <c r="V41"/>
  <c r="S41"/>
  <c r="U41" s="1"/>
  <c r="AN41" s="1"/>
  <c r="P41"/>
  <c r="L41"/>
  <c r="I41"/>
  <c r="K41" s="1"/>
  <c r="AM41" s="1"/>
  <c r="F41"/>
  <c r="AF40"/>
  <c r="AC40"/>
  <c r="Z40"/>
  <c r="AE40" s="1"/>
  <c r="AO40" s="1"/>
  <c r="V40"/>
  <c r="S40"/>
  <c r="P40"/>
  <c r="U40" s="1"/>
  <c r="AN40" s="1"/>
  <c r="L40"/>
  <c r="I40"/>
  <c r="F40"/>
  <c r="B40"/>
  <c r="AF39"/>
  <c r="AC39"/>
  <c r="Z39"/>
  <c r="AE39" s="1"/>
  <c r="V39"/>
  <c r="S39"/>
  <c r="P39"/>
  <c r="U39" s="1"/>
  <c r="AN39" s="1"/>
  <c r="L39"/>
  <c r="I39"/>
  <c r="F39"/>
  <c r="AC38"/>
  <c r="Z38"/>
  <c r="AF38" s="1"/>
  <c r="S38"/>
  <c r="P38"/>
  <c r="V38" s="1"/>
  <c r="I38"/>
  <c r="F38"/>
  <c r="L38" s="1"/>
  <c r="AC37"/>
  <c r="Z37"/>
  <c r="AF37" s="1"/>
  <c r="S37"/>
  <c r="V37" s="1"/>
  <c r="P37"/>
  <c r="I37"/>
  <c r="F37"/>
  <c r="AC36"/>
  <c r="Z36"/>
  <c r="S36"/>
  <c r="P36"/>
  <c r="I36"/>
  <c r="F36"/>
  <c r="AC35"/>
  <c r="AF35" s="1"/>
  <c r="Z35"/>
  <c r="S35"/>
  <c r="P35"/>
  <c r="I35"/>
  <c r="F35"/>
  <c r="AC34"/>
  <c r="Z34"/>
  <c r="S34"/>
  <c r="P34"/>
  <c r="I34"/>
  <c r="F34"/>
  <c r="AC33"/>
  <c r="AF33" s="1"/>
  <c r="Z33"/>
  <c r="S33"/>
  <c r="P33"/>
  <c r="I33"/>
  <c r="F33"/>
  <c r="AI27"/>
  <c r="AJ27" s="1"/>
  <c r="AK27" s="1"/>
  <c r="AL27" s="1"/>
  <c r="BB25"/>
  <c r="BA25"/>
  <c r="AZ25"/>
  <c r="AM25"/>
  <c r="AJ25"/>
  <c r="AO25" s="1"/>
  <c r="AC25"/>
  <c r="Z25"/>
  <c r="AF25" s="1"/>
  <c r="AX25" s="1"/>
  <c r="V25"/>
  <c r="AW25" s="1"/>
  <c r="S25"/>
  <c r="P25"/>
  <c r="L25"/>
  <c r="I25"/>
  <c r="F25"/>
  <c r="B25"/>
  <c r="B47" s="1"/>
  <c r="BD24"/>
  <c r="BB24"/>
  <c r="BA24"/>
  <c r="AZ24"/>
  <c r="AM24"/>
  <c r="AJ24"/>
  <c r="AO24" s="1"/>
  <c r="AC24"/>
  <c r="Z24"/>
  <c r="V24"/>
  <c r="AW24" s="1"/>
  <c r="S24"/>
  <c r="P24"/>
  <c r="U24" s="1"/>
  <c r="AJ46" s="1"/>
  <c r="L24"/>
  <c r="AV24" s="1"/>
  <c r="I24"/>
  <c r="F24"/>
  <c r="K24" s="1"/>
  <c r="B24"/>
  <c r="B46" s="1"/>
  <c r="BD23"/>
  <c r="AM23"/>
  <c r="AJ23"/>
  <c r="AO23" s="1"/>
  <c r="AL45" s="1"/>
  <c r="AC23"/>
  <c r="Z23"/>
  <c r="S23"/>
  <c r="P23"/>
  <c r="I23"/>
  <c r="F23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L22"/>
  <c r="AP22" s="1"/>
  <c r="I22"/>
  <c r="F22"/>
  <c r="K22" s="1"/>
  <c r="B22"/>
  <c r="B44" s="1"/>
  <c r="BD21"/>
  <c r="BB21"/>
  <c r="BA21"/>
  <c r="AZ21"/>
  <c r="AM21"/>
  <c r="AJ21"/>
  <c r="AO21" s="1"/>
  <c r="AC21"/>
  <c r="Z21"/>
  <c r="V21"/>
  <c r="AW21" s="1"/>
  <c r="S21"/>
  <c r="P21"/>
  <c r="U21" s="1"/>
  <c r="AJ43" s="1"/>
  <c r="L21"/>
  <c r="AV21" s="1"/>
  <c r="I21"/>
  <c r="F21"/>
  <c r="B21"/>
  <c r="B43" s="1"/>
  <c r="AM20"/>
  <c r="AJ20"/>
  <c r="AO20" s="1"/>
  <c r="AC20"/>
  <c r="Z20"/>
  <c r="AF20" s="1"/>
  <c r="AX20" s="1"/>
  <c r="V20"/>
  <c r="AW20" s="1"/>
  <c r="S20"/>
  <c r="P20"/>
  <c r="L20"/>
  <c r="AP20" s="1"/>
  <c r="I20"/>
  <c r="F20"/>
  <c r="K20" s="1"/>
  <c r="B20"/>
  <c r="B42" s="1"/>
  <c r="BD19"/>
  <c r="BB19"/>
  <c r="BA19"/>
  <c r="AZ19"/>
  <c r="AM19"/>
  <c r="AJ19"/>
  <c r="AO19" s="1"/>
  <c r="AC19"/>
  <c r="Z19"/>
  <c r="V19"/>
  <c r="AW19" s="1"/>
  <c r="S19"/>
  <c r="P19"/>
  <c r="U19" s="1"/>
  <c r="AJ41" s="1"/>
  <c r="L19"/>
  <c r="AV19" s="1"/>
  <c r="I19"/>
  <c r="F19"/>
  <c r="K19" s="1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U18" s="1"/>
  <c r="AJ40" s="1"/>
  <c r="P18"/>
  <c r="L18"/>
  <c r="AP18" s="1"/>
  <c r="AR18" s="1"/>
  <c r="I18"/>
  <c r="F18"/>
  <c r="BD17"/>
  <c r="BB17"/>
  <c r="BA17"/>
  <c r="AZ17"/>
  <c r="AM17"/>
  <c r="AJ17"/>
  <c r="AO17" s="1"/>
  <c r="AC17"/>
  <c r="Z17"/>
  <c r="AF17" s="1"/>
  <c r="AX17" s="1"/>
  <c r="V17"/>
  <c r="AW17" s="1"/>
  <c r="S17"/>
  <c r="U17" s="1"/>
  <c r="AJ39" s="1"/>
  <c r="P17"/>
  <c r="L17"/>
  <c r="I17"/>
  <c r="F17"/>
  <c r="B17"/>
  <c r="B39" s="1"/>
  <c r="BB16"/>
  <c r="BA16"/>
  <c r="AZ16"/>
  <c r="AM16"/>
  <c r="AJ16"/>
  <c r="AO16" s="1"/>
  <c r="AC16"/>
  <c r="Z16"/>
  <c r="S16"/>
  <c r="P16"/>
  <c r="I16"/>
  <c r="F16"/>
  <c r="B16"/>
  <c r="B38" s="1"/>
  <c r="BB15"/>
  <c r="BA15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7" s="1"/>
  <c r="AM14"/>
  <c r="AO14" s="1"/>
  <c r="Z14"/>
  <c r="AF14" s="1"/>
  <c r="AX14" s="1"/>
  <c r="S14"/>
  <c r="P14"/>
  <c r="I14"/>
  <c r="F14"/>
  <c r="B14"/>
  <c r="B36" s="1"/>
  <c r="BD13"/>
  <c r="BB13"/>
  <c r="AM13"/>
  <c r="AJ13"/>
  <c r="AC13"/>
  <c r="Z13"/>
  <c r="AF13" s="1"/>
  <c r="AX13" s="1"/>
  <c r="S13"/>
  <c r="P13"/>
  <c r="I13"/>
  <c r="F13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4" s="1"/>
  <c r="BD11"/>
  <c r="BB11"/>
  <c r="AM11"/>
  <c r="AJ11"/>
  <c r="AO11" s="1"/>
  <c r="AC11"/>
  <c r="Z11"/>
  <c r="S11"/>
  <c r="P11"/>
  <c r="I11"/>
  <c r="F11"/>
  <c r="L11" s="1"/>
  <c r="AV11" s="1"/>
  <c r="B11"/>
  <c r="B33" s="1"/>
  <c r="AV7"/>
  <c r="M5"/>
  <c r="W5" s="1"/>
  <c r="AN13" i="10"/>
  <c r="W26" i="19" l="1"/>
  <c r="BA7"/>
  <c r="AP34" i="18"/>
  <c r="AP36"/>
  <c r="AT46"/>
  <c r="AR1" s="1"/>
  <c r="AT11"/>
  <c r="BE21"/>
  <c r="BE25" s="1"/>
  <c r="AR21"/>
  <c r="BF21"/>
  <c r="BF25" s="1"/>
  <c r="W26"/>
  <c r="BA7"/>
  <c r="AQ64"/>
  <c r="W26" i="17"/>
  <c r="BA7"/>
  <c r="AQ64"/>
  <c r="BF25"/>
  <c r="BE25"/>
  <c r="AT11"/>
  <c r="AT46"/>
  <c r="AR1" s="1"/>
  <c r="BF21" i="16"/>
  <c r="AR21"/>
  <c r="BE21"/>
  <c r="AT39"/>
  <c r="AT17" s="1"/>
  <c r="AI39"/>
  <c r="AP39" s="1"/>
  <c r="AK40"/>
  <c r="AP40" s="1"/>
  <c r="AT40"/>
  <c r="AT18" s="1"/>
  <c r="AK46"/>
  <c r="AP46" s="1"/>
  <c r="U86"/>
  <c r="W86" s="1"/>
  <c r="U81"/>
  <c r="W81" s="1"/>
  <c r="AT46"/>
  <c r="AT24" s="1"/>
  <c r="U84"/>
  <c r="W84" s="1"/>
  <c r="AO38"/>
  <c r="U78"/>
  <c r="W78" s="1"/>
  <c r="BF58"/>
  <c r="BE58"/>
  <c r="AR58"/>
  <c r="AR48"/>
  <c r="BE11"/>
  <c r="AR11"/>
  <c r="BE20"/>
  <c r="AR20"/>
  <c r="BF20"/>
  <c r="BF12"/>
  <c r="BE12"/>
  <c r="AR12"/>
  <c r="BE15"/>
  <c r="AR15"/>
  <c r="BF15"/>
  <c r="AT37"/>
  <c r="AT15" s="1"/>
  <c r="AI37"/>
  <c r="AP37" s="1"/>
  <c r="BE22"/>
  <c r="AR22"/>
  <c r="BF14"/>
  <c r="BE14"/>
  <c r="AR14"/>
  <c r="BE17"/>
  <c r="AR17"/>
  <c r="AT38"/>
  <c r="AT16" s="1"/>
  <c r="AT34"/>
  <c r="AT12" s="1"/>
  <c r="AT36"/>
  <c r="AT14" s="1"/>
  <c r="AT45"/>
  <c r="AT23" s="1"/>
  <c r="AT33"/>
  <c r="AK42"/>
  <c r="AP42" s="1"/>
  <c r="AT42"/>
  <c r="AT20" s="1"/>
  <c r="BE13"/>
  <c r="AR13"/>
  <c r="AK44"/>
  <c r="AP44" s="1"/>
  <c r="U83"/>
  <c r="W83" s="1"/>
  <c r="AT44"/>
  <c r="AT22" s="1"/>
  <c r="AO34"/>
  <c r="U74"/>
  <c r="W74" s="1"/>
  <c r="AK35"/>
  <c r="AP35" s="1"/>
  <c r="U75"/>
  <c r="W75" s="1"/>
  <c r="AT35"/>
  <c r="AT13" s="1"/>
  <c r="AR24"/>
  <c r="BE24"/>
  <c r="AR40"/>
  <c r="AR38"/>
  <c r="M27"/>
  <c r="C60"/>
  <c r="M60" s="1"/>
  <c r="W60" s="1"/>
  <c r="AZ7"/>
  <c r="BF16"/>
  <c r="BE16"/>
  <c r="AR16"/>
  <c r="AZ28"/>
  <c r="BD30" s="1"/>
  <c r="AP38"/>
  <c r="U73"/>
  <c r="W73" s="1"/>
  <c r="U77"/>
  <c r="W77" s="1"/>
  <c r="U79"/>
  <c r="W79" s="1"/>
  <c r="AP34"/>
  <c r="AP36"/>
  <c r="AP45"/>
  <c r="AT62"/>
  <c r="AT58" s="1"/>
  <c r="U76"/>
  <c r="W76" s="1"/>
  <c r="AP33"/>
  <c r="AP45" i="15"/>
  <c r="AT38"/>
  <c r="AT16" s="1"/>
  <c r="AR48"/>
  <c r="AO34"/>
  <c r="U74"/>
  <c r="W74" s="1"/>
  <c r="BE17"/>
  <c r="AR17"/>
  <c r="BF58"/>
  <c r="BE58"/>
  <c r="AR58"/>
  <c r="BF16"/>
  <c r="BE16"/>
  <c r="AR16"/>
  <c r="AM36"/>
  <c r="W27"/>
  <c r="BA7"/>
  <c r="AT36"/>
  <c r="AT14" s="1"/>
  <c r="AP38"/>
  <c r="U79"/>
  <c r="W79" s="1"/>
  <c r="AP34"/>
  <c r="AT39"/>
  <c r="AT17" s="1"/>
  <c r="U82"/>
  <c r="W82" s="1"/>
  <c r="BE12"/>
  <c r="AR12"/>
  <c r="BF12"/>
  <c r="BE15"/>
  <c r="AR15"/>
  <c r="BF15"/>
  <c r="AT11"/>
  <c r="AT37"/>
  <c r="AT15" s="1"/>
  <c r="AI37"/>
  <c r="AP37" s="1"/>
  <c r="U76"/>
  <c r="W76" s="1"/>
  <c r="AO36"/>
  <c r="AT62" s="1"/>
  <c r="AT58" s="1"/>
  <c r="BF14"/>
  <c r="BE14"/>
  <c r="AR14"/>
  <c r="BE20"/>
  <c r="AR20"/>
  <c r="BF20"/>
  <c r="U77"/>
  <c r="W77" s="1"/>
  <c r="AT34"/>
  <c r="AT12" s="1"/>
  <c r="AP39"/>
  <c r="AP17" i="14"/>
  <c r="BE17" s="1"/>
  <c r="U39"/>
  <c r="AN39" s="1"/>
  <c r="U35"/>
  <c r="AN35" s="1"/>
  <c r="K33"/>
  <c r="AM33" s="1"/>
  <c r="AR17"/>
  <c r="AE34"/>
  <c r="K34"/>
  <c r="AM34" s="1"/>
  <c r="AR13"/>
  <c r="BE13"/>
  <c r="AP47"/>
  <c r="AA161"/>
  <c r="O163"/>
  <c r="O165" s="1"/>
  <c r="O162"/>
  <c r="AA96"/>
  <c r="O98"/>
  <c r="O100" s="1"/>
  <c r="O97"/>
  <c r="N78"/>
  <c r="BD16"/>
  <c r="BB23"/>
  <c r="BB20"/>
  <c r="AZ23"/>
  <c r="AZ20"/>
  <c r="U77"/>
  <c r="W77" s="1"/>
  <c r="AO37"/>
  <c r="U75"/>
  <c r="W75" s="1"/>
  <c r="AO35"/>
  <c r="N76"/>
  <c r="BD14"/>
  <c r="AV23"/>
  <c r="AP23"/>
  <c r="AV16"/>
  <c r="AP16"/>
  <c r="C27"/>
  <c r="AY7"/>
  <c r="AP24"/>
  <c r="AE45"/>
  <c r="K45"/>
  <c r="AM45" s="1"/>
  <c r="U34"/>
  <c r="AN34" s="1"/>
  <c r="AE24"/>
  <c r="Q76"/>
  <c r="AR36" s="1"/>
  <c r="Q78"/>
  <c r="Q88"/>
  <c r="U38"/>
  <c r="AN38" s="1"/>
  <c r="AE36"/>
  <c r="K36"/>
  <c r="AP19"/>
  <c r="B122"/>
  <c r="B124" s="1"/>
  <c r="BE21"/>
  <c r="U11"/>
  <c r="AJ33" s="1"/>
  <c r="AP44"/>
  <c r="AP43"/>
  <c r="AT42"/>
  <c r="AT20" s="1"/>
  <c r="AT40"/>
  <c r="AT18" s="1"/>
  <c r="AP14"/>
  <c r="AP35"/>
  <c r="AE16"/>
  <c r="AK38" s="1"/>
  <c r="K16"/>
  <c r="AT39"/>
  <c r="AT17" s="1"/>
  <c r="O136"/>
  <c r="O138" s="1"/>
  <c r="O135"/>
  <c r="AA134"/>
  <c r="AA122"/>
  <c r="O124"/>
  <c r="O126" s="1"/>
  <c r="O123"/>
  <c r="N81"/>
  <c r="BD20"/>
  <c r="BA23"/>
  <c r="BA20"/>
  <c r="U79"/>
  <c r="W79" s="1"/>
  <c r="AO39"/>
  <c r="AO33"/>
  <c r="AO34"/>
  <c r="U74"/>
  <c r="W74" s="1"/>
  <c r="N87"/>
  <c r="BD58"/>
  <c r="AT37"/>
  <c r="AT15" s="1"/>
  <c r="AI37"/>
  <c r="AP37" s="1"/>
  <c r="AI34"/>
  <c r="AP34" s="1"/>
  <c r="AT34"/>
  <c r="AT12" s="1"/>
  <c r="AV11"/>
  <c r="AZ28" s="1"/>
  <c r="BD30" s="1"/>
  <c r="AP11"/>
  <c r="BF25"/>
  <c r="BE25"/>
  <c r="AR25"/>
  <c r="BF23"/>
  <c r="BE23"/>
  <c r="AR23"/>
  <c r="N77"/>
  <c r="BD15"/>
  <c r="N74"/>
  <c r="BD12"/>
  <c r="U45"/>
  <c r="AN45" s="1"/>
  <c r="Q87"/>
  <c r="AR62" s="1"/>
  <c r="Q81"/>
  <c r="AR42" s="1"/>
  <c r="Q89"/>
  <c r="AE38"/>
  <c r="K38"/>
  <c r="AM38" s="1"/>
  <c r="U36"/>
  <c r="AN36" s="1"/>
  <c r="K23"/>
  <c r="AE11"/>
  <c r="AK33" s="1"/>
  <c r="K11"/>
  <c r="AT44"/>
  <c r="AT22" s="1"/>
  <c r="AT43"/>
  <c r="AT21" s="1"/>
  <c r="AP42"/>
  <c r="AP40"/>
  <c r="AT35"/>
  <c r="AT13" s="1"/>
  <c r="AP12"/>
  <c r="AE19"/>
  <c r="U16"/>
  <c r="AJ38" s="1"/>
  <c r="AP39"/>
  <c r="AP17" i="13"/>
  <c r="AE39"/>
  <c r="AO39" s="1"/>
  <c r="AE35"/>
  <c r="AO35" s="1"/>
  <c r="AV15"/>
  <c r="AE38"/>
  <c r="K38"/>
  <c r="AM38" s="1"/>
  <c r="AP24"/>
  <c r="AT47"/>
  <c r="AT25" s="1"/>
  <c r="AI36"/>
  <c r="O136"/>
  <c r="O138" s="1"/>
  <c r="O135"/>
  <c r="AA134"/>
  <c r="AA96"/>
  <c r="O98"/>
  <c r="O100" s="1"/>
  <c r="O97"/>
  <c r="N78"/>
  <c r="BD16"/>
  <c r="BB23"/>
  <c r="BB20"/>
  <c r="U77"/>
  <c r="W77" s="1"/>
  <c r="AO37"/>
  <c r="AO38"/>
  <c r="AV16"/>
  <c r="AP16"/>
  <c r="AT37"/>
  <c r="AT15" s="1"/>
  <c r="AI37"/>
  <c r="AP37" s="1"/>
  <c r="AI34"/>
  <c r="AT33"/>
  <c r="AI33"/>
  <c r="N76"/>
  <c r="BD14"/>
  <c r="BE11"/>
  <c r="AR11"/>
  <c r="U36"/>
  <c r="AE34"/>
  <c r="K34"/>
  <c r="AM34" s="1"/>
  <c r="B104"/>
  <c r="B106" s="1"/>
  <c r="Q76"/>
  <c r="AR36" s="1"/>
  <c r="Q78"/>
  <c r="Q88"/>
  <c r="U16"/>
  <c r="AJ38" s="1"/>
  <c r="AP44"/>
  <c r="AE21"/>
  <c r="AP19"/>
  <c r="AE14"/>
  <c r="AK36" s="1"/>
  <c r="AE13"/>
  <c r="AK35" s="1"/>
  <c r="AZ23"/>
  <c r="AZ20"/>
  <c r="BE24"/>
  <c r="AR24"/>
  <c r="AA122"/>
  <c r="O124"/>
  <c r="O126" s="1"/>
  <c r="O123"/>
  <c r="N81"/>
  <c r="BD20"/>
  <c r="BA23"/>
  <c r="BA20"/>
  <c r="U73"/>
  <c r="W73" s="1"/>
  <c r="AO33"/>
  <c r="BF25"/>
  <c r="BE25"/>
  <c r="AR25"/>
  <c r="BF23"/>
  <c r="N77"/>
  <c r="BD15"/>
  <c r="N74"/>
  <c r="BD12"/>
  <c r="AT39"/>
  <c r="AT17" s="1"/>
  <c r="AI39"/>
  <c r="AP39" s="1"/>
  <c r="AV14"/>
  <c r="AP14"/>
  <c r="AW13"/>
  <c r="AP13"/>
  <c r="C27"/>
  <c r="AY7"/>
  <c r="N87"/>
  <c r="BD58"/>
  <c r="AP23"/>
  <c r="AR23" s="1"/>
  <c r="U38"/>
  <c r="AN38" s="1"/>
  <c r="AE36"/>
  <c r="AE24"/>
  <c r="B142"/>
  <c r="B144" s="1"/>
  <c r="B122"/>
  <c r="B124" s="1"/>
  <c r="AP47"/>
  <c r="AE45"/>
  <c r="K45"/>
  <c r="U34"/>
  <c r="AN34" s="1"/>
  <c r="Q87"/>
  <c r="AR62" s="1"/>
  <c r="Q74"/>
  <c r="AR34" s="1"/>
  <c r="Q77"/>
  <c r="AR37" s="1"/>
  <c r="Q81"/>
  <c r="AR42" s="1"/>
  <c r="Q89"/>
  <c r="U79"/>
  <c r="W79" s="1"/>
  <c r="AE16"/>
  <c r="AK38" s="1"/>
  <c r="K16"/>
  <c r="AP42"/>
  <c r="AP40"/>
  <c r="AP12"/>
  <c r="AZ28"/>
  <c r="BD30" s="1"/>
  <c r="AP21"/>
  <c r="AE19"/>
  <c r="U14"/>
  <c r="AJ36" s="1"/>
  <c r="U13"/>
  <c r="V39" i="12"/>
  <c r="BA17" s="1"/>
  <c r="L39"/>
  <c r="AZ17" s="1"/>
  <c r="AE17"/>
  <c r="L17"/>
  <c r="AV17" s="1"/>
  <c r="V17"/>
  <c r="AW17" s="1"/>
  <c r="AW23"/>
  <c r="V14"/>
  <c r="AW14" s="1"/>
  <c r="AE40"/>
  <c r="AO40" s="1"/>
  <c r="AE41"/>
  <c r="AE43"/>
  <c r="AO43" s="1"/>
  <c r="AE46"/>
  <c r="AE42"/>
  <c r="AO42" s="1"/>
  <c r="U42"/>
  <c r="AN42" s="1"/>
  <c r="K42"/>
  <c r="AM42" s="1"/>
  <c r="AE18"/>
  <c r="AK40" s="1"/>
  <c r="AE22"/>
  <c r="AK44" s="1"/>
  <c r="AK39"/>
  <c r="AE20"/>
  <c r="AK42" s="1"/>
  <c r="U19"/>
  <c r="AJ41" s="1"/>
  <c r="U20"/>
  <c r="AJ42" s="1"/>
  <c r="AP21"/>
  <c r="AP25"/>
  <c r="K18"/>
  <c r="K20"/>
  <c r="AV19"/>
  <c r="AV21"/>
  <c r="W5"/>
  <c r="AG5" s="1"/>
  <c r="AP11"/>
  <c r="AV11"/>
  <c r="AL33"/>
  <c r="AY11"/>
  <c r="AV13"/>
  <c r="AP13"/>
  <c r="AL35"/>
  <c r="AY13"/>
  <c r="AV14"/>
  <c r="AL36"/>
  <c r="AY14"/>
  <c r="AI40"/>
  <c r="AT40"/>
  <c r="AT18" s="1"/>
  <c r="AL40"/>
  <c r="AY18"/>
  <c r="AI42"/>
  <c r="AT42"/>
  <c r="AL42"/>
  <c r="AY20"/>
  <c r="AT44"/>
  <c r="AT22" s="1"/>
  <c r="AI44"/>
  <c r="AL44"/>
  <c r="AY22"/>
  <c r="AT46"/>
  <c r="AT24" s="1"/>
  <c r="AI46"/>
  <c r="BE13"/>
  <c r="C27"/>
  <c r="AY7"/>
  <c r="AL34"/>
  <c r="AY12"/>
  <c r="AL37"/>
  <c r="AY15"/>
  <c r="AV16"/>
  <c r="AL38"/>
  <c r="AY16"/>
  <c r="AL39"/>
  <c r="AY17"/>
  <c r="AI41"/>
  <c r="BE19"/>
  <c r="AR19"/>
  <c r="AL41"/>
  <c r="AY19"/>
  <c r="BF19" s="1"/>
  <c r="AI43"/>
  <c r="BE21"/>
  <c r="AR21"/>
  <c r="AL43"/>
  <c r="AY21"/>
  <c r="AV23"/>
  <c r="AL45"/>
  <c r="AY23"/>
  <c r="BF23" s="1"/>
  <c r="BF11"/>
  <c r="BF21"/>
  <c r="AV24"/>
  <c r="AP24"/>
  <c r="AR24" s="1"/>
  <c r="AI47"/>
  <c r="AL47"/>
  <c r="AY25"/>
  <c r="AM27"/>
  <c r="AN27" s="1"/>
  <c r="AO27" s="1"/>
  <c r="U85" s="1"/>
  <c r="W85" s="1"/>
  <c r="AW27"/>
  <c r="AO41"/>
  <c r="U86"/>
  <c r="W86" s="1"/>
  <c r="U84"/>
  <c r="W84" s="1"/>
  <c r="U81"/>
  <c r="W81" s="1"/>
  <c r="AO46"/>
  <c r="K74"/>
  <c r="I74"/>
  <c r="K77"/>
  <c r="I77"/>
  <c r="I87"/>
  <c r="K87"/>
  <c r="K88"/>
  <c r="I88"/>
  <c r="N88" s="1"/>
  <c r="O106"/>
  <c r="O108" s="1"/>
  <c r="O105"/>
  <c r="AA104"/>
  <c r="O116"/>
  <c r="O118" s="1"/>
  <c r="O115"/>
  <c r="AA114"/>
  <c r="B141"/>
  <c r="B138"/>
  <c r="B140" s="1"/>
  <c r="B160"/>
  <c r="B157"/>
  <c r="B159" s="1"/>
  <c r="AX7"/>
  <c r="K11"/>
  <c r="U11"/>
  <c r="AJ33" s="1"/>
  <c r="AE11"/>
  <c r="AK33" s="1"/>
  <c r="L12"/>
  <c r="V12"/>
  <c r="AW12" s="1"/>
  <c r="AF12"/>
  <c r="AX12" s="1"/>
  <c r="K13"/>
  <c r="U13"/>
  <c r="AJ35" s="1"/>
  <c r="AE13"/>
  <c r="AK35" s="1"/>
  <c r="BF13"/>
  <c r="K14"/>
  <c r="U14"/>
  <c r="AJ36" s="1"/>
  <c r="AE14"/>
  <c r="AK36" s="1"/>
  <c r="L15"/>
  <c r="V15"/>
  <c r="AW15" s="1"/>
  <c r="AF15"/>
  <c r="AX15" s="1"/>
  <c r="K16"/>
  <c r="U16"/>
  <c r="AJ38" s="1"/>
  <c r="AE16"/>
  <c r="AK38" s="1"/>
  <c r="BF17"/>
  <c r="AP18"/>
  <c r="BE18" s="1"/>
  <c r="BF18"/>
  <c r="AE19"/>
  <c r="AK41" s="1"/>
  <c r="AP20"/>
  <c r="AE21"/>
  <c r="AK43" s="1"/>
  <c r="AP22"/>
  <c r="BE22" s="1"/>
  <c r="BF22"/>
  <c r="AJ45"/>
  <c r="AK45"/>
  <c r="AL46"/>
  <c r="AY24"/>
  <c r="AO39"/>
  <c r="U83"/>
  <c r="W83" s="1"/>
  <c r="AO44"/>
  <c r="Q85"/>
  <c r="Q84"/>
  <c r="AR45" s="1"/>
  <c r="Q81"/>
  <c r="AR42" s="1"/>
  <c r="Q77"/>
  <c r="AR37" s="1"/>
  <c r="Q74"/>
  <c r="AR34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B100"/>
  <c r="B102" s="1"/>
  <c r="B103"/>
  <c r="B121"/>
  <c r="B122" s="1"/>
  <c r="B124" s="1"/>
  <c r="B118"/>
  <c r="B120" s="1"/>
  <c r="O144"/>
  <c r="O146" s="1"/>
  <c r="O143"/>
  <c r="AA142"/>
  <c r="O155"/>
  <c r="O157" s="1"/>
  <c r="O154"/>
  <c r="AA153"/>
  <c r="AR13"/>
  <c r="AR18"/>
  <c r="X179"/>
  <c r="AD181" s="1"/>
  <c r="BF24"/>
  <c r="AE25"/>
  <c r="AK47" s="1"/>
  <c r="AV25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L45"/>
  <c r="K45" s="1"/>
  <c r="AM45" s="1"/>
  <c r="V45"/>
  <c r="U45" s="1"/>
  <c r="AN45" s="1"/>
  <c r="AF45"/>
  <c r="AE45" s="1"/>
  <c r="AE58"/>
  <c r="AK62" s="1"/>
  <c r="AP62" s="1"/>
  <c r="K73"/>
  <c r="K75"/>
  <c r="I78"/>
  <c r="I81"/>
  <c r="K83"/>
  <c r="G87"/>
  <c r="I89"/>
  <c r="N89" s="1"/>
  <c r="O96"/>
  <c r="O121"/>
  <c r="O122" s="1"/>
  <c r="AA134"/>
  <c r="O160"/>
  <c r="O161" s="1"/>
  <c r="C71"/>
  <c r="G81"/>
  <c r="O135"/>
  <c r="V35" i="11"/>
  <c r="BA13" s="1"/>
  <c r="V33"/>
  <c r="BA11" s="1"/>
  <c r="L37"/>
  <c r="AZ15" s="1"/>
  <c r="V14"/>
  <c r="AW14" s="1"/>
  <c r="L35"/>
  <c r="AZ13" s="1"/>
  <c r="L33"/>
  <c r="AZ11" s="1"/>
  <c r="L14"/>
  <c r="K14" s="1"/>
  <c r="AI36" s="1"/>
  <c r="K11"/>
  <c r="AE44"/>
  <c r="AE47"/>
  <c r="AO47" s="1"/>
  <c r="U44"/>
  <c r="AN44" s="1"/>
  <c r="U47"/>
  <c r="AN47" s="1"/>
  <c r="K39"/>
  <c r="AM39" s="1"/>
  <c r="K40"/>
  <c r="AM40" s="1"/>
  <c r="K44"/>
  <c r="AM44" s="1"/>
  <c r="K47"/>
  <c r="AM47" s="1"/>
  <c r="AO13"/>
  <c r="AE14"/>
  <c r="AK36" s="1"/>
  <c r="AP17"/>
  <c r="AR17" s="1"/>
  <c r="AE13"/>
  <c r="AK35" s="1"/>
  <c r="AE25"/>
  <c r="AK47" s="1"/>
  <c r="U20"/>
  <c r="AJ42" s="1"/>
  <c r="U22"/>
  <c r="AJ44" s="1"/>
  <c r="AP25"/>
  <c r="U25"/>
  <c r="AJ47" s="1"/>
  <c r="K21"/>
  <c r="K25"/>
  <c r="K17"/>
  <c r="K18"/>
  <c r="AX7"/>
  <c r="AG5"/>
  <c r="AL33"/>
  <c r="AY11"/>
  <c r="AV15"/>
  <c r="AL37"/>
  <c r="AY15"/>
  <c r="AL38"/>
  <c r="AY16"/>
  <c r="AL40"/>
  <c r="AY18"/>
  <c r="AI42"/>
  <c r="AL42"/>
  <c r="AY20"/>
  <c r="AI43"/>
  <c r="AI44"/>
  <c r="BE22"/>
  <c r="AR22"/>
  <c r="AL44"/>
  <c r="AY22"/>
  <c r="AI33"/>
  <c r="AL35"/>
  <c r="AY13"/>
  <c r="AL39"/>
  <c r="AY17"/>
  <c r="AV12"/>
  <c r="AL34"/>
  <c r="AY12"/>
  <c r="AV14"/>
  <c r="AL36"/>
  <c r="AY14"/>
  <c r="AI39"/>
  <c r="AI40"/>
  <c r="AI41"/>
  <c r="AL41"/>
  <c r="AY19"/>
  <c r="BF19" s="1"/>
  <c r="AL43"/>
  <c r="AY21"/>
  <c r="BF21" s="1"/>
  <c r="AI46"/>
  <c r="BF13"/>
  <c r="AE17"/>
  <c r="AK39" s="1"/>
  <c r="BF17"/>
  <c r="AE18"/>
  <c r="AK40" s="1"/>
  <c r="BF18"/>
  <c r="BF22"/>
  <c r="AT47"/>
  <c r="AT25" s="1"/>
  <c r="AI47"/>
  <c r="AL47"/>
  <c r="AY25"/>
  <c r="U79"/>
  <c r="W79" s="1"/>
  <c r="AO39"/>
  <c r="AO41"/>
  <c r="AO46"/>
  <c r="Q85"/>
  <c r="Q84"/>
  <c r="AR45" s="1"/>
  <c r="N7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O144"/>
  <c r="O146" s="1"/>
  <c r="O143"/>
  <c r="AA142"/>
  <c r="B160"/>
  <c r="B157"/>
  <c r="B159" s="1"/>
  <c r="AA161"/>
  <c r="O163"/>
  <c r="O165" s="1"/>
  <c r="O162"/>
  <c r="AW7"/>
  <c r="V11"/>
  <c r="AW11" s="1"/>
  <c r="AF11"/>
  <c r="AX11" s="1"/>
  <c r="BF11"/>
  <c r="K12"/>
  <c r="U12"/>
  <c r="AJ34" s="1"/>
  <c r="AE12"/>
  <c r="AK34" s="1"/>
  <c r="L13"/>
  <c r="V13"/>
  <c r="AW13" s="1"/>
  <c r="K15"/>
  <c r="U15"/>
  <c r="AJ37" s="1"/>
  <c r="AE15"/>
  <c r="AK37" s="1"/>
  <c r="L16"/>
  <c r="K16" s="1"/>
  <c r="V16"/>
  <c r="AW16" s="1"/>
  <c r="AF16"/>
  <c r="AX16" s="1"/>
  <c r="AV17"/>
  <c r="BE17"/>
  <c r="AV18"/>
  <c r="BE18"/>
  <c r="AF19"/>
  <c r="AX19" s="1"/>
  <c r="AE20"/>
  <c r="AK42" s="1"/>
  <c r="AV20"/>
  <c r="AF21"/>
  <c r="AX21" s="1"/>
  <c r="AE22"/>
  <c r="AK44" s="1"/>
  <c r="AV22"/>
  <c r="L23"/>
  <c r="V23"/>
  <c r="AW23" s="1"/>
  <c r="AF23"/>
  <c r="AX23" s="1"/>
  <c r="AY23"/>
  <c r="BF23" s="1"/>
  <c r="AF24"/>
  <c r="AX24" s="1"/>
  <c r="AL46"/>
  <c r="AY24"/>
  <c r="AM27"/>
  <c r="AN27" s="1"/>
  <c r="AO27" s="1"/>
  <c r="U85" s="1"/>
  <c r="W85" s="1"/>
  <c r="AW27"/>
  <c r="U83"/>
  <c r="W83" s="1"/>
  <c r="AO44"/>
  <c r="K74"/>
  <c r="I74"/>
  <c r="Q74" s="1"/>
  <c r="AR34" s="1"/>
  <c r="K77"/>
  <c r="I77"/>
  <c r="Q77" s="1"/>
  <c r="AR37" s="1"/>
  <c r="I87"/>
  <c r="K87"/>
  <c r="K88"/>
  <c r="I88"/>
  <c r="N88" s="1"/>
  <c r="B100"/>
  <c r="B102" s="1"/>
  <c r="B103"/>
  <c r="B121"/>
  <c r="B122" s="1"/>
  <c r="B124" s="1"/>
  <c r="B118"/>
  <c r="B120" s="1"/>
  <c r="B141"/>
  <c r="B142" s="1"/>
  <c r="B144" s="1"/>
  <c r="B138"/>
  <c r="B140" s="1"/>
  <c r="O155"/>
  <c r="O157" s="1"/>
  <c r="O154"/>
  <c r="AA153"/>
  <c r="BF24"/>
  <c r="AE37"/>
  <c r="K38"/>
  <c r="AM38" s="1"/>
  <c r="U38"/>
  <c r="AN38" s="1"/>
  <c r="AE38"/>
  <c r="AK138"/>
  <c r="AD181"/>
  <c r="AV25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U37"/>
  <c r="AN37" s="1"/>
  <c r="L45"/>
  <c r="V45"/>
  <c r="AF45"/>
  <c r="AE58"/>
  <c r="AK62" s="1"/>
  <c r="AP62" s="1"/>
  <c r="AV58"/>
  <c r="K73"/>
  <c r="K75"/>
  <c r="I78"/>
  <c r="K79"/>
  <c r="I81"/>
  <c r="K83"/>
  <c r="G87"/>
  <c r="I89"/>
  <c r="N89" s="1"/>
  <c r="O96"/>
  <c r="O121"/>
  <c r="O122" s="1"/>
  <c r="C71"/>
  <c r="G81"/>
  <c r="O134"/>
  <c r="AT33" i="9"/>
  <c r="AD178" i="10"/>
  <c r="X178"/>
  <c r="U178"/>
  <c r="R178"/>
  <c r="AD177"/>
  <c r="X177"/>
  <c r="U177"/>
  <c r="R177"/>
  <c r="AD176"/>
  <c r="X176"/>
  <c r="U176"/>
  <c r="R176"/>
  <c r="AD175"/>
  <c r="X175"/>
  <c r="U175"/>
  <c r="R175"/>
  <c r="AD174"/>
  <c r="X174"/>
  <c r="U174"/>
  <c r="R174"/>
  <c r="AD173"/>
  <c r="X173"/>
  <c r="U173"/>
  <c r="R173"/>
  <c r="AD172"/>
  <c r="AD179" s="1"/>
  <c r="X172"/>
  <c r="X179" s="1"/>
  <c r="U172"/>
  <c r="R172"/>
  <c r="O152"/>
  <c r="O153" s="1"/>
  <c r="B152"/>
  <c r="B153" s="1"/>
  <c r="B155" s="1"/>
  <c r="B151"/>
  <c r="AG137"/>
  <c r="AJ137" s="1"/>
  <c r="AG136"/>
  <c r="AJ136" s="1"/>
  <c r="AG135"/>
  <c r="AJ135" s="1"/>
  <c r="AJ134"/>
  <c r="AG134"/>
  <c r="AJ133"/>
  <c r="O133"/>
  <c r="O141" s="1"/>
  <c r="O142" s="1"/>
  <c r="B132"/>
  <c r="B133" s="1"/>
  <c r="B134" s="1"/>
  <c r="B136" s="1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AE46" s="1"/>
  <c r="V46"/>
  <c r="S46"/>
  <c r="P46"/>
  <c r="U46" s="1"/>
  <c r="AN46" s="1"/>
  <c r="L46"/>
  <c r="I46"/>
  <c r="F46"/>
  <c r="AC45"/>
  <c r="Z45"/>
  <c r="S45"/>
  <c r="P45"/>
  <c r="V45" s="1"/>
  <c r="I45"/>
  <c r="F45"/>
  <c r="AF44"/>
  <c r="AC44"/>
  <c r="Z44"/>
  <c r="AE44" s="1"/>
  <c r="V44"/>
  <c r="S44"/>
  <c r="P44"/>
  <c r="U44" s="1"/>
  <c r="AN44" s="1"/>
  <c r="L44"/>
  <c r="I44"/>
  <c r="F44"/>
  <c r="AF43"/>
  <c r="AC43"/>
  <c r="Z43"/>
  <c r="AE43" s="1"/>
  <c r="AO43" s="1"/>
  <c r="V43"/>
  <c r="S43"/>
  <c r="P43"/>
  <c r="U43" s="1"/>
  <c r="AN43" s="1"/>
  <c r="L43"/>
  <c r="I43"/>
  <c r="F43"/>
  <c r="K43" s="1"/>
  <c r="AM43" s="1"/>
  <c r="AF42"/>
  <c r="AC42"/>
  <c r="AE42" s="1"/>
  <c r="AO42" s="1"/>
  <c r="Z42"/>
  <c r="V42"/>
  <c r="S42"/>
  <c r="U42" s="1"/>
  <c r="AN42" s="1"/>
  <c r="P42"/>
  <c r="L42"/>
  <c r="I42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AE40" s="1"/>
  <c r="AO40" s="1"/>
  <c r="Z40"/>
  <c r="V40"/>
  <c r="S40"/>
  <c r="U40" s="1"/>
  <c r="AN40" s="1"/>
  <c r="P40"/>
  <c r="L40"/>
  <c r="I40"/>
  <c r="K40" s="1"/>
  <c r="AM40" s="1"/>
  <c r="F40"/>
  <c r="B40"/>
  <c r="AF39"/>
  <c r="AC39"/>
  <c r="Z39"/>
  <c r="AE39" s="1"/>
  <c r="V39"/>
  <c r="S39"/>
  <c r="P39"/>
  <c r="U39" s="1"/>
  <c r="AN39" s="1"/>
  <c r="L39"/>
  <c r="I39"/>
  <c r="F39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AC35"/>
  <c r="Z35"/>
  <c r="AF35" s="1"/>
  <c r="S35"/>
  <c r="P35"/>
  <c r="V35" s="1"/>
  <c r="I35"/>
  <c r="F35"/>
  <c r="L35" s="1"/>
  <c r="AC34"/>
  <c r="Z34"/>
  <c r="S34"/>
  <c r="P34"/>
  <c r="I34"/>
  <c r="F34"/>
  <c r="AC33"/>
  <c r="Z33"/>
  <c r="S33"/>
  <c r="P33"/>
  <c r="I33"/>
  <c r="F33"/>
  <c r="AI27"/>
  <c r="AJ27" s="1"/>
  <c r="AK27" s="1"/>
  <c r="AL27" s="1"/>
  <c r="BB25"/>
  <c r="BA25"/>
  <c r="AZ25"/>
  <c r="AM25"/>
  <c r="AJ25"/>
  <c r="AC25"/>
  <c r="Z25"/>
  <c r="AF25" s="1"/>
  <c r="AX25" s="1"/>
  <c r="V25"/>
  <c r="AW25" s="1"/>
  <c r="S25"/>
  <c r="P25"/>
  <c r="L25"/>
  <c r="AV25" s="1"/>
  <c r="I25"/>
  <c r="F25"/>
  <c r="B25"/>
  <c r="B47" s="1"/>
  <c r="BD24"/>
  <c r="BB24"/>
  <c r="BA24"/>
  <c r="AZ24"/>
  <c r="AM24"/>
  <c r="AJ24"/>
  <c r="AC24"/>
  <c r="Z24"/>
  <c r="V24"/>
  <c r="AW24" s="1"/>
  <c r="S24"/>
  <c r="P24"/>
  <c r="L24"/>
  <c r="AV24" s="1"/>
  <c r="I24"/>
  <c r="F24"/>
  <c r="K24" s="1"/>
  <c r="B24"/>
  <c r="B46" s="1"/>
  <c r="BD23"/>
  <c r="AM23"/>
  <c r="AJ23"/>
  <c r="AC23"/>
  <c r="Z23"/>
  <c r="S23"/>
  <c r="P23"/>
  <c r="I23"/>
  <c r="F23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U22" s="1"/>
  <c r="AJ44" s="1"/>
  <c r="L22"/>
  <c r="I22"/>
  <c r="F22"/>
  <c r="K22" s="1"/>
  <c r="B22"/>
  <c r="B44" s="1"/>
  <c r="BD21"/>
  <c r="BB21"/>
  <c r="BA21"/>
  <c r="AZ21"/>
  <c r="AM21"/>
  <c r="AJ21"/>
  <c r="AC21"/>
  <c r="Z21"/>
  <c r="AF21" s="1"/>
  <c r="AX21" s="1"/>
  <c r="V21"/>
  <c r="AW21" s="1"/>
  <c r="S21"/>
  <c r="P21"/>
  <c r="L21"/>
  <c r="AV21" s="1"/>
  <c r="I21"/>
  <c r="F21"/>
  <c r="B21"/>
  <c r="B43" s="1"/>
  <c r="AM20"/>
  <c r="AJ20"/>
  <c r="AC20"/>
  <c r="Z20"/>
  <c r="AF20" s="1"/>
  <c r="AX20" s="1"/>
  <c r="V20"/>
  <c r="AW20" s="1"/>
  <c r="S20"/>
  <c r="P20"/>
  <c r="U20" s="1"/>
  <c r="AJ42" s="1"/>
  <c r="L20"/>
  <c r="I20"/>
  <c r="F20"/>
  <c r="K20" s="1"/>
  <c r="B20"/>
  <c r="B42" s="1"/>
  <c r="BD19"/>
  <c r="BB19"/>
  <c r="BA19"/>
  <c r="AZ19"/>
  <c r="AM19"/>
  <c r="AJ19"/>
  <c r="AC19"/>
  <c r="Z19"/>
  <c r="AF19" s="1"/>
  <c r="AX19" s="1"/>
  <c r="V19"/>
  <c r="AW19" s="1"/>
  <c r="S19"/>
  <c r="P19"/>
  <c r="L19"/>
  <c r="AV19" s="1"/>
  <c r="I19"/>
  <c r="F19"/>
  <c r="B19"/>
  <c r="B41" s="1"/>
  <c r="BD18"/>
  <c r="BB18"/>
  <c r="BA18"/>
  <c r="AZ18"/>
  <c r="AM18"/>
  <c r="AJ18"/>
  <c r="AC18"/>
  <c r="Z18"/>
  <c r="AF18" s="1"/>
  <c r="AX18" s="1"/>
  <c r="V18"/>
  <c r="AW18" s="1"/>
  <c r="S18"/>
  <c r="P18"/>
  <c r="L18"/>
  <c r="I18"/>
  <c r="F18"/>
  <c r="K18" s="1"/>
  <c r="BD17"/>
  <c r="BB17"/>
  <c r="BA17"/>
  <c r="AZ17"/>
  <c r="AM17"/>
  <c r="AJ17"/>
  <c r="AO17" s="1"/>
  <c r="AC17"/>
  <c r="Z17"/>
  <c r="AF17" s="1"/>
  <c r="AX17" s="1"/>
  <c r="V17"/>
  <c r="AW17" s="1"/>
  <c r="S17"/>
  <c r="P17"/>
  <c r="L17"/>
  <c r="AP17" s="1"/>
  <c r="I17"/>
  <c r="F17"/>
  <c r="K17" s="1"/>
  <c r="B17"/>
  <c r="B39" s="1"/>
  <c r="AM16"/>
  <c r="AJ16"/>
  <c r="AC16"/>
  <c r="Z16"/>
  <c r="S16"/>
  <c r="P16"/>
  <c r="I16"/>
  <c r="F16"/>
  <c r="B16"/>
  <c r="B38" s="1"/>
  <c r="BB15"/>
  <c r="BA15"/>
  <c r="AZ15"/>
  <c r="AM15"/>
  <c r="AJ15"/>
  <c r="AC15"/>
  <c r="Z15"/>
  <c r="AF15" s="1"/>
  <c r="AX15" s="1"/>
  <c r="S15"/>
  <c r="P15"/>
  <c r="V15" s="1"/>
  <c r="AW15" s="1"/>
  <c r="I15"/>
  <c r="F15"/>
  <c r="L15" s="1"/>
  <c r="B15"/>
  <c r="B37" s="1"/>
  <c r="AM14"/>
  <c r="AJ14"/>
  <c r="AO14" s="1"/>
  <c r="AC14"/>
  <c r="Z14"/>
  <c r="S14"/>
  <c r="P14"/>
  <c r="I14"/>
  <c r="F14"/>
  <c r="L14" s="1"/>
  <c r="AV14" s="1"/>
  <c r="B14"/>
  <c r="B36" s="1"/>
  <c r="BD13"/>
  <c r="BB13"/>
  <c r="BA13"/>
  <c r="AZ13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5" s="1"/>
  <c r="AM12"/>
  <c r="AJ12"/>
  <c r="AO12" s="1"/>
  <c r="AC12"/>
  <c r="Z12"/>
  <c r="S12"/>
  <c r="P12"/>
  <c r="I12"/>
  <c r="F12"/>
  <c r="B12"/>
  <c r="B34" s="1"/>
  <c r="BD11"/>
  <c r="AM11"/>
  <c r="AJ11"/>
  <c r="AC11"/>
  <c r="Z11"/>
  <c r="AF11" s="1"/>
  <c r="AX11" s="1"/>
  <c r="S11"/>
  <c r="P11"/>
  <c r="V11" s="1"/>
  <c r="AW11" s="1"/>
  <c r="L11"/>
  <c r="AV11" s="1"/>
  <c r="I11"/>
  <c r="F11"/>
  <c r="K11" s="1"/>
  <c r="AI33" s="1"/>
  <c r="B11"/>
  <c r="B33" s="1"/>
  <c r="AV7"/>
  <c r="M5"/>
  <c r="AW7" s="1"/>
  <c r="X86" i="9"/>
  <c r="U86"/>
  <c r="W86" s="1"/>
  <c r="BB7" i="19" l="1"/>
  <c r="B1"/>
  <c r="B3" s="1"/>
  <c r="BB7" i="18"/>
  <c r="B1"/>
  <c r="B3" s="1"/>
  <c r="BB7" i="17"/>
  <c r="B1"/>
  <c r="B3" s="1"/>
  <c r="W27" i="16"/>
  <c r="BA7"/>
  <c r="AT48"/>
  <c r="AR1" s="1"/>
  <c r="AT11"/>
  <c r="AQ66"/>
  <c r="AP36" i="15"/>
  <c r="BE26"/>
  <c r="AQ66"/>
  <c r="BB7"/>
  <c r="B1"/>
  <c r="B3" s="1"/>
  <c r="AT48"/>
  <c r="AR1" s="1"/>
  <c r="BF26"/>
  <c r="AK41" i="14"/>
  <c r="AP41" s="1"/>
  <c r="AT41"/>
  <c r="AT19" s="1"/>
  <c r="U80"/>
  <c r="W80" s="1"/>
  <c r="AO38"/>
  <c r="U78"/>
  <c r="W78" s="1"/>
  <c r="AR19"/>
  <c r="BE19"/>
  <c r="U76"/>
  <c r="W76" s="1"/>
  <c r="AO36"/>
  <c r="AR40"/>
  <c r="AR38"/>
  <c r="AK46"/>
  <c r="AP46" s="1"/>
  <c r="U84"/>
  <c r="W84" s="1"/>
  <c r="AT46"/>
  <c r="AT24" s="1"/>
  <c r="U86"/>
  <c r="W86" s="1"/>
  <c r="U81"/>
  <c r="W81" s="1"/>
  <c r="BE24"/>
  <c r="AR24"/>
  <c r="M27"/>
  <c r="C60"/>
  <c r="M60" s="1"/>
  <c r="W60" s="1"/>
  <c r="AZ7"/>
  <c r="U73"/>
  <c r="W73" s="1"/>
  <c r="AT33"/>
  <c r="AI33"/>
  <c r="AP33" s="1"/>
  <c r="AI45"/>
  <c r="AT45"/>
  <c r="AT23" s="1"/>
  <c r="BF12"/>
  <c r="BE12"/>
  <c r="AR12"/>
  <c r="BF15"/>
  <c r="BE15"/>
  <c r="AR15"/>
  <c r="AR48"/>
  <c r="AR11"/>
  <c r="BE11"/>
  <c r="BF58"/>
  <c r="BE58"/>
  <c r="AR58"/>
  <c r="BF20"/>
  <c r="BE20"/>
  <c r="AR20"/>
  <c r="AI38"/>
  <c r="AP38" s="1"/>
  <c r="AT38"/>
  <c r="AT16" s="1"/>
  <c r="AT62"/>
  <c r="AT58" s="1"/>
  <c r="AM36"/>
  <c r="AP36" s="1"/>
  <c r="AT36"/>
  <c r="AT14" s="1"/>
  <c r="U82"/>
  <c r="W82" s="1"/>
  <c r="AO45"/>
  <c r="BE14"/>
  <c r="AR14"/>
  <c r="BF14"/>
  <c r="BE16"/>
  <c r="AR16"/>
  <c r="BF16"/>
  <c r="AR17" i="13"/>
  <c r="BE17"/>
  <c r="BE23"/>
  <c r="AR48"/>
  <c r="BE21"/>
  <c r="AR21"/>
  <c r="U82"/>
  <c r="W82" s="1"/>
  <c r="AO45"/>
  <c r="U76"/>
  <c r="W76" s="1"/>
  <c r="AO36"/>
  <c r="AT62" s="1"/>
  <c r="AT58" s="1"/>
  <c r="BF58"/>
  <c r="BE58"/>
  <c r="AR58"/>
  <c r="AR13"/>
  <c r="BE13"/>
  <c r="BF12"/>
  <c r="BE12"/>
  <c r="AR12"/>
  <c r="BF15"/>
  <c r="BE15"/>
  <c r="AR15"/>
  <c r="BF20"/>
  <c r="BE20"/>
  <c r="AK43"/>
  <c r="AP43" s="1"/>
  <c r="AT43"/>
  <c r="AT21" s="1"/>
  <c r="AN36"/>
  <c r="BE14"/>
  <c r="AR14"/>
  <c r="BF14"/>
  <c r="BE16"/>
  <c r="AR16"/>
  <c r="BF16"/>
  <c r="AP33"/>
  <c r="AT34"/>
  <c r="AT12" s="1"/>
  <c r="U78"/>
  <c r="W78" s="1"/>
  <c r="AP36"/>
  <c r="AJ35"/>
  <c r="AP35" s="1"/>
  <c r="AT35"/>
  <c r="AT13" s="1"/>
  <c r="AK41"/>
  <c r="AP41" s="1"/>
  <c r="AT41"/>
  <c r="AT19" s="1"/>
  <c r="U80"/>
  <c r="W80" s="1"/>
  <c r="AI38"/>
  <c r="AP38" s="1"/>
  <c r="AT38"/>
  <c r="AT16" s="1"/>
  <c r="AM45"/>
  <c r="AP45" s="1"/>
  <c r="AT45"/>
  <c r="AK46"/>
  <c r="AP46" s="1"/>
  <c r="U86"/>
  <c r="W86" s="1"/>
  <c r="U81"/>
  <c r="W81" s="1"/>
  <c r="U84"/>
  <c r="W84" s="1"/>
  <c r="AT46"/>
  <c r="AT24" s="1"/>
  <c r="M27"/>
  <c r="C60"/>
  <c r="M60" s="1"/>
  <c r="W60" s="1"/>
  <c r="AZ7"/>
  <c r="BE19"/>
  <c r="AR19"/>
  <c r="AR40"/>
  <c r="AR38"/>
  <c r="AO34"/>
  <c r="U74"/>
  <c r="W74" s="1"/>
  <c r="AT11"/>
  <c r="U75"/>
  <c r="W75" s="1"/>
  <c r="AP34"/>
  <c r="AT36"/>
  <c r="AT14" s="1"/>
  <c r="AP17" i="12"/>
  <c r="BE17" s="1"/>
  <c r="U39"/>
  <c r="AN39" s="1"/>
  <c r="K39"/>
  <c r="AM39" s="1"/>
  <c r="K17"/>
  <c r="U17"/>
  <c r="U36"/>
  <c r="AN36" s="1"/>
  <c r="AP43"/>
  <c r="AA96"/>
  <c r="O98"/>
  <c r="O100" s="1"/>
  <c r="O97"/>
  <c r="N81"/>
  <c r="BD20"/>
  <c r="N78"/>
  <c r="BD16"/>
  <c r="BB20"/>
  <c r="BB23"/>
  <c r="AZ20"/>
  <c r="AZ23"/>
  <c r="AO37"/>
  <c r="U75"/>
  <c r="W75" s="1"/>
  <c r="AO35"/>
  <c r="U73"/>
  <c r="W73" s="1"/>
  <c r="AO33"/>
  <c r="BF25"/>
  <c r="BE25"/>
  <c r="AR25"/>
  <c r="N76"/>
  <c r="BD14"/>
  <c r="AV15"/>
  <c r="AP15"/>
  <c r="AV12"/>
  <c r="AP12"/>
  <c r="N87"/>
  <c r="BD58"/>
  <c r="M27"/>
  <c r="C60"/>
  <c r="M60" s="1"/>
  <c r="W60" s="1"/>
  <c r="AZ7"/>
  <c r="BE11"/>
  <c r="AR11"/>
  <c r="AR22"/>
  <c r="B104"/>
  <c r="B106" s="1"/>
  <c r="Q76"/>
  <c r="AR36" s="1"/>
  <c r="Q78"/>
  <c r="Q88"/>
  <c r="U38"/>
  <c r="AN38" s="1"/>
  <c r="AE36"/>
  <c r="K36"/>
  <c r="U34"/>
  <c r="AN34" s="1"/>
  <c r="BE24"/>
  <c r="B161"/>
  <c r="B163" s="1"/>
  <c r="B142"/>
  <c r="B144" s="1"/>
  <c r="U80"/>
  <c r="W80" s="1"/>
  <c r="AT47"/>
  <c r="AT25" s="1"/>
  <c r="AP23"/>
  <c r="AT43"/>
  <c r="AT21" s="1"/>
  <c r="AT41"/>
  <c r="AT19" s="1"/>
  <c r="AP16"/>
  <c r="AE15"/>
  <c r="AK37" s="1"/>
  <c r="K15"/>
  <c r="AE12"/>
  <c r="AK34" s="1"/>
  <c r="K12"/>
  <c r="AP42"/>
  <c r="AP40"/>
  <c r="AP14"/>
  <c r="AA161"/>
  <c r="O163"/>
  <c r="O165" s="1"/>
  <c r="O162"/>
  <c r="AA122"/>
  <c r="O124"/>
  <c r="O126" s="1"/>
  <c r="O123"/>
  <c r="BA23"/>
  <c r="BA20"/>
  <c r="U82"/>
  <c r="W82" s="1"/>
  <c r="AO45"/>
  <c r="AI45"/>
  <c r="AT45"/>
  <c r="AI38"/>
  <c r="AI36"/>
  <c r="AT36"/>
  <c r="AT14" s="1"/>
  <c r="AT35"/>
  <c r="AT13" s="1"/>
  <c r="AI35"/>
  <c r="AP35" s="1"/>
  <c r="AT33"/>
  <c r="AI33"/>
  <c r="AP33" s="1"/>
  <c r="N77"/>
  <c r="BD15"/>
  <c r="N74"/>
  <c r="BD12"/>
  <c r="Q89"/>
  <c r="AE38"/>
  <c r="K38"/>
  <c r="AM38" s="1"/>
  <c r="AE34"/>
  <c r="K34"/>
  <c r="AM34" s="1"/>
  <c r="AP47"/>
  <c r="AP41"/>
  <c r="U15"/>
  <c r="AJ37" s="1"/>
  <c r="U12"/>
  <c r="AJ34" s="1"/>
  <c r="AP46"/>
  <c r="AP44"/>
  <c r="AZ28"/>
  <c r="BD30" s="1"/>
  <c r="AP15" i="11"/>
  <c r="U14"/>
  <c r="AJ36" s="1"/>
  <c r="K33"/>
  <c r="AM33" s="1"/>
  <c r="AE24"/>
  <c r="AK46" s="1"/>
  <c r="AP24"/>
  <c r="BE24" s="1"/>
  <c r="AI38"/>
  <c r="O136"/>
  <c r="O138" s="1"/>
  <c r="O135"/>
  <c r="AA134"/>
  <c r="AA96"/>
  <c r="O98"/>
  <c r="O100" s="1"/>
  <c r="O97"/>
  <c r="N81"/>
  <c r="BD20"/>
  <c r="N78"/>
  <c r="BD16"/>
  <c r="BA23"/>
  <c r="BA20"/>
  <c r="AO38"/>
  <c r="N87"/>
  <c r="BD58"/>
  <c r="AV23"/>
  <c r="AP23"/>
  <c r="AT37"/>
  <c r="AT15" s="1"/>
  <c r="AI37"/>
  <c r="AP13"/>
  <c r="AV13"/>
  <c r="U45"/>
  <c r="AN45" s="1"/>
  <c r="AE36"/>
  <c r="K36"/>
  <c r="U34"/>
  <c r="AN34" s="1"/>
  <c r="Q87"/>
  <c r="AR62" s="1"/>
  <c r="Q81"/>
  <c r="AR42" s="1"/>
  <c r="Q89"/>
  <c r="U81"/>
  <c r="W81" s="1"/>
  <c r="U86"/>
  <c r="W86" s="1"/>
  <c r="U23"/>
  <c r="AJ45" s="1"/>
  <c r="AE19"/>
  <c r="U13"/>
  <c r="AJ35" s="1"/>
  <c r="U11"/>
  <c r="U16"/>
  <c r="AJ38" s="1"/>
  <c r="AT46"/>
  <c r="AT24" s="1"/>
  <c r="AP40"/>
  <c r="AT39"/>
  <c r="AT17" s="1"/>
  <c r="AP12"/>
  <c r="AT44"/>
  <c r="AT22" s="1"/>
  <c r="AP42"/>
  <c r="AA122"/>
  <c r="O124"/>
  <c r="O126" s="1"/>
  <c r="O123"/>
  <c r="BB23"/>
  <c r="BB20"/>
  <c r="AZ23"/>
  <c r="AZ20"/>
  <c r="AO35"/>
  <c r="AO33"/>
  <c r="U77"/>
  <c r="W77" s="1"/>
  <c r="AO37"/>
  <c r="N77"/>
  <c r="BD15"/>
  <c r="N74"/>
  <c r="BD12"/>
  <c r="AV16"/>
  <c r="AP16"/>
  <c r="AI34"/>
  <c r="BF25"/>
  <c r="BE25"/>
  <c r="AR25"/>
  <c r="N76"/>
  <c r="BD14"/>
  <c r="C27"/>
  <c r="AY7"/>
  <c r="AE45"/>
  <c r="K45"/>
  <c r="AM45" s="1"/>
  <c r="B104"/>
  <c r="B106" s="1"/>
  <c r="U36"/>
  <c r="AN36" s="1"/>
  <c r="AE34"/>
  <c r="K34"/>
  <c r="AM34" s="1"/>
  <c r="AP21"/>
  <c r="AP19"/>
  <c r="AP11"/>
  <c r="B161"/>
  <c r="B163" s="1"/>
  <c r="Q76"/>
  <c r="AR36" s="1"/>
  <c r="Q78"/>
  <c r="Q88"/>
  <c r="U84"/>
  <c r="W84" s="1"/>
  <c r="AP47"/>
  <c r="AE23"/>
  <c r="AK45" s="1"/>
  <c r="K23"/>
  <c r="AE21"/>
  <c r="K13"/>
  <c r="U75" s="1"/>
  <c r="W75" s="1"/>
  <c r="AE11"/>
  <c r="AK33" s="1"/>
  <c r="AP46"/>
  <c r="AT40"/>
  <c r="AT18" s="1"/>
  <c r="AP39"/>
  <c r="AP14"/>
  <c r="AE16"/>
  <c r="AK38" s="1"/>
  <c r="AP44"/>
  <c r="AT42"/>
  <c r="BA23" i="10"/>
  <c r="BA20"/>
  <c r="U45"/>
  <c r="AN45" s="1"/>
  <c r="K39"/>
  <c r="AM39" s="1"/>
  <c r="K44"/>
  <c r="AM44" s="1"/>
  <c r="K46"/>
  <c r="AM46" s="1"/>
  <c r="K42"/>
  <c r="AM42" s="1"/>
  <c r="AO15"/>
  <c r="AO16"/>
  <c r="AO19"/>
  <c r="AO24"/>
  <c r="AO11"/>
  <c r="AO18"/>
  <c r="AP18" s="1"/>
  <c r="AO20"/>
  <c r="AO21"/>
  <c r="AO25"/>
  <c r="AE19"/>
  <c r="AK41" s="1"/>
  <c r="AE21"/>
  <c r="AK43" s="1"/>
  <c r="AE25"/>
  <c r="AK47" s="1"/>
  <c r="U24"/>
  <c r="AJ46" s="1"/>
  <c r="U17"/>
  <c r="AJ39" s="1"/>
  <c r="U18"/>
  <c r="AJ40" s="1"/>
  <c r="U25"/>
  <c r="AJ47" s="1"/>
  <c r="U19"/>
  <c r="AJ41" s="1"/>
  <c r="AP20"/>
  <c r="U21"/>
  <c r="AJ43" s="1"/>
  <c r="AP22"/>
  <c r="BE22" s="1"/>
  <c r="AV18"/>
  <c r="AV20"/>
  <c r="K21"/>
  <c r="K14"/>
  <c r="AV17"/>
  <c r="K19"/>
  <c r="AV22"/>
  <c r="K25"/>
  <c r="W5"/>
  <c r="AG5" s="1"/>
  <c r="AP13"/>
  <c r="AV13"/>
  <c r="AL35"/>
  <c r="AY13"/>
  <c r="AI36"/>
  <c r="AL36"/>
  <c r="AY14"/>
  <c r="AI39"/>
  <c r="BE17"/>
  <c r="AR17"/>
  <c r="AL39"/>
  <c r="AY17"/>
  <c r="AT41"/>
  <c r="AT19" s="1"/>
  <c r="AI41"/>
  <c r="AL41"/>
  <c r="AY19"/>
  <c r="BF19" s="1"/>
  <c r="AI44"/>
  <c r="AR22"/>
  <c r="AL44"/>
  <c r="AY22"/>
  <c r="BF17"/>
  <c r="BF22"/>
  <c r="C27"/>
  <c r="AY7"/>
  <c r="AL33"/>
  <c r="AY11"/>
  <c r="AL34"/>
  <c r="AY12"/>
  <c r="AP15"/>
  <c r="AV15"/>
  <c r="AL37"/>
  <c r="AY15"/>
  <c r="AL38"/>
  <c r="AY16"/>
  <c r="AI40"/>
  <c r="AL40"/>
  <c r="AY18"/>
  <c r="BF18" s="1"/>
  <c r="AI42"/>
  <c r="AL42"/>
  <c r="AY20"/>
  <c r="AT43"/>
  <c r="AT21" s="1"/>
  <c r="AI43"/>
  <c r="AL43"/>
  <c r="AY21"/>
  <c r="AI46"/>
  <c r="BF11"/>
  <c r="BF13"/>
  <c r="AT47"/>
  <c r="AT25" s="1"/>
  <c r="AI47"/>
  <c r="AL47"/>
  <c r="AY25"/>
  <c r="AO39"/>
  <c r="AO44"/>
  <c r="AO46"/>
  <c r="K74"/>
  <c r="I74"/>
  <c r="Q74" s="1"/>
  <c r="AR34" s="1"/>
  <c r="K77"/>
  <c r="I77"/>
  <c r="Q77" s="1"/>
  <c r="AR37" s="1"/>
  <c r="I87"/>
  <c r="K87"/>
  <c r="K88"/>
  <c r="I88"/>
  <c r="N88" s="1"/>
  <c r="B100"/>
  <c r="B102" s="1"/>
  <c r="B103"/>
  <c r="B104" s="1"/>
  <c r="B106" s="1"/>
  <c r="B121"/>
  <c r="B118"/>
  <c r="B120" s="1"/>
  <c r="B141"/>
  <c r="B138"/>
  <c r="B140" s="1"/>
  <c r="O155"/>
  <c r="O157" s="1"/>
  <c r="O154"/>
  <c r="AA153"/>
  <c r="AE11"/>
  <c r="AK33" s="1"/>
  <c r="L12"/>
  <c r="K12" s="1"/>
  <c r="V12"/>
  <c r="AW12" s="1"/>
  <c r="AF12"/>
  <c r="AX12" s="1"/>
  <c r="K13"/>
  <c r="U13"/>
  <c r="AJ35" s="1"/>
  <c r="AE13"/>
  <c r="AK35" s="1"/>
  <c r="V14"/>
  <c r="AW14" s="1"/>
  <c r="AF14"/>
  <c r="AX14" s="1"/>
  <c r="K15"/>
  <c r="U15"/>
  <c r="AJ37" s="1"/>
  <c r="AE15"/>
  <c r="AK37" s="1"/>
  <c r="L16"/>
  <c r="V16"/>
  <c r="AW16" s="1"/>
  <c r="AF16"/>
  <c r="AX16" s="1"/>
  <c r="AE17"/>
  <c r="AK39" s="1"/>
  <c r="AE18"/>
  <c r="AK40" s="1"/>
  <c r="AP19"/>
  <c r="BE19" s="1"/>
  <c r="AE20"/>
  <c r="AK42" s="1"/>
  <c r="AP21"/>
  <c r="BE21" s="1"/>
  <c r="BF21"/>
  <c r="AE22"/>
  <c r="AK44" s="1"/>
  <c r="L23"/>
  <c r="V23"/>
  <c r="AW23" s="1"/>
  <c r="AF23"/>
  <c r="AX23" s="1"/>
  <c r="AK138"/>
  <c r="AF24"/>
  <c r="AX24" s="1"/>
  <c r="AE24"/>
  <c r="AK46" s="1"/>
  <c r="AL46"/>
  <c r="AY24"/>
  <c r="BF24" s="1"/>
  <c r="AW27"/>
  <c r="AM27"/>
  <c r="AN27" s="1"/>
  <c r="AO27" s="1"/>
  <c r="U85" s="1"/>
  <c r="W85" s="1"/>
  <c r="U80"/>
  <c r="W80" s="1"/>
  <c r="AO41"/>
  <c r="Q88"/>
  <c r="Q85"/>
  <c r="Q84"/>
  <c r="AR45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O144"/>
  <c r="O146" s="1"/>
  <c r="O143"/>
  <c r="AA142"/>
  <c r="B160"/>
  <c r="B161" s="1"/>
  <c r="B163" s="1"/>
  <c r="B157"/>
  <c r="B159" s="1"/>
  <c r="AX7"/>
  <c r="U11"/>
  <c r="AR21"/>
  <c r="AO23"/>
  <c r="AD181"/>
  <c r="AP25"/>
  <c r="L33"/>
  <c r="AZ11" s="1"/>
  <c r="V33"/>
  <c r="BA11" s="1"/>
  <c r="AF33"/>
  <c r="BB11" s="1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L45"/>
  <c r="K45" s="1"/>
  <c r="AM45" s="1"/>
  <c r="AF45"/>
  <c r="AE58"/>
  <c r="AK62" s="1"/>
  <c r="AP62" s="1"/>
  <c r="K73"/>
  <c r="K75"/>
  <c r="I78"/>
  <c r="K79"/>
  <c r="I81"/>
  <c r="Q81" s="1"/>
  <c r="AR42" s="1"/>
  <c r="K83"/>
  <c r="G87"/>
  <c r="I89"/>
  <c r="N89" s="1"/>
  <c r="O96"/>
  <c r="O121"/>
  <c r="O122" s="1"/>
  <c r="O160"/>
  <c r="O161" s="1"/>
  <c r="C71"/>
  <c r="G81"/>
  <c r="O134"/>
  <c r="AL45" i="9"/>
  <c r="AD178"/>
  <c r="U178"/>
  <c r="X178" s="1"/>
  <c r="R178"/>
  <c r="AD177"/>
  <c r="U177"/>
  <c r="X177" s="1"/>
  <c r="R177"/>
  <c r="AD176"/>
  <c r="U176"/>
  <c r="X176" s="1"/>
  <c r="R176"/>
  <c r="AD175"/>
  <c r="U175"/>
  <c r="X175" s="1"/>
  <c r="R175"/>
  <c r="AD174"/>
  <c r="U174"/>
  <c r="X174" s="1"/>
  <c r="R174"/>
  <c r="AD173"/>
  <c r="U173"/>
  <c r="X173" s="1"/>
  <c r="R173"/>
  <c r="AD172"/>
  <c r="AD179" s="1"/>
  <c r="U172"/>
  <c r="X172" s="1"/>
  <c r="R172"/>
  <c r="O152"/>
  <c r="O153" s="1"/>
  <c r="B151"/>
  <c r="B152" s="1"/>
  <c r="B153" s="1"/>
  <c r="B155" s="1"/>
  <c r="AJ137"/>
  <c r="AG137"/>
  <c r="AJ136"/>
  <c r="AG136"/>
  <c r="AJ135"/>
  <c r="AG135"/>
  <c r="AG134"/>
  <c r="AJ134" s="1"/>
  <c r="O134"/>
  <c r="O136" s="1"/>
  <c r="O138" s="1"/>
  <c r="AJ133"/>
  <c r="AK138" s="1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AE46" s="1"/>
  <c r="V46"/>
  <c r="S46"/>
  <c r="P46"/>
  <c r="U46" s="1"/>
  <c r="AN46" s="1"/>
  <c r="L46"/>
  <c r="I46"/>
  <c r="F46"/>
  <c r="K46" s="1"/>
  <c r="AM46" s="1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F43"/>
  <c r="K43" s="1"/>
  <c r="AM43" s="1"/>
  <c r="AF42"/>
  <c r="AC42"/>
  <c r="Z42"/>
  <c r="V42"/>
  <c r="S42"/>
  <c r="P42"/>
  <c r="L42"/>
  <c r="I42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Z40"/>
  <c r="V40"/>
  <c r="S40"/>
  <c r="U40" s="1"/>
  <c r="AN40" s="1"/>
  <c r="P40"/>
  <c r="L40"/>
  <c r="I40"/>
  <c r="K40" s="1"/>
  <c r="AM40" s="1"/>
  <c r="F40"/>
  <c r="B40"/>
  <c r="AF39"/>
  <c r="AC39"/>
  <c r="Z39"/>
  <c r="AE39" s="1"/>
  <c r="V39"/>
  <c r="S39"/>
  <c r="P39"/>
  <c r="U39" s="1"/>
  <c r="AN39" s="1"/>
  <c r="L39"/>
  <c r="I39"/>
  <c r="F39"/>
  <c r="K39" s="1"/>
  <c r="AM39" s="1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AC35"/>
  <c r="Z35"/>
  <c r="AF35" s="1"/>
  <c r="S35"/>
  <c r="P35"/>
  <c r="V35" s="1"/>
  <c r="I35"/>
  <c r="F35"/>
  <c r="L35" s="1"/>
  <c r="AC34"/>
  <c r="Z34"/>
  <c r="S34"/>
  <c r="P34"/>
  <c r="I34"/>
  <c r="F34"/>
  <c r="AC33"/>
  <c r="Z33"/>
  <c r="AF33" s="1"/>
  <c r="S33"/>
  <c r="P33"/>
  <c r="V33" s="1"/>
  <c r="I33"/>
  <c r="F33"/>
  <c r="L33" s="1"/>
  <c r="AI27"/>
  <c r="AJ27" s="1"/>
  <c r="AK27" s="1"/>
  <c r="AL27" s="1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B25"/>
  <c r="B47" s="1"/>
  <c r="BD24"/>
  <c r="BB24"/>
  <c r="BA24"/>
  <c r="AZ24"/>
  <c r="AM24"/>
  <c r="AJ24"/>
  <c r="AO24" s="1"/>
  <c r="AC24"/>
  <c r="AE24" s="1"/>
  <c r="AK46" s="1"/>
  <c r="Z24"/>
  <c r="AF24" s="1"/>
  <c r="AX24" s="1"/>
  <c r="V24"/>
  <c r="AW24" s="1"/>
  <c r="S24"/>
  <c r="P24"/>
  <c r="U24" s="1"/>
  <c r="AJ46" s="1"/>
  <c r="L24"/>
  <c r="I24"/>
  <c r="K24" s="1"/>
  <c r="F24"/>
  <c r="B24"/>
  <c r="B46" s="1"/>
  <c r="BD23"/>
  <c r="AM23"/>
  <c r="AJ23"/>
  <c r="AC23"/>
  <c r="Z23"/>
  <c r="AF23" s="1"/>
  <c r="AX23" s="1"/>
  <c r="S23"/>
  <c r="P23"/>
  <c r="V23" s="1"/>
  <c r="AW23" s="1"/>
  <c r="I23"/>
  <c r="F23"/>
  <c r="L23" s="1"/>
  <c r="B23"/>
  <c r="B45" s="1"/>
  <c r="BD22"/>
  <c r="BB22"/>
  <c r="BA22"/>
  <c r="AZ22"/>
  <c r="AM22"/>
  <c r="AJ22"/>
  <c r="AO22" s="1"/>
  <c r="AC22"/>
  <c r="Z22"/>
  <c r="V22"/>
  <c r="AW22" s="1"/>
  <c r="S22"/>
  <c r="P22"/>
  <c r="U22" s="1"/>
  <c r="AJ44" s="1"/>
  <c r="L22"/>
  <c r="AV22" s="1"/>
  <c r="I22"/>
  <c r="F22"/>
  <c r="K22" s="1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P21"/>
  <c r="U21" s="1"/>
  <c r="AJ43" s="1"/>
  <c r="L21"/>
  <c r="AP21" s="1"/>
  <c r="I21"/>
  <c r="F21"/>
  <c r="B21"/>
  <c r="B43" s="1"/>
  <c r="AM20"/>
  <c r="AJ20"/>
  <c r="AO20" s="1"/>
  <c r="AC20"/>
  <c r="Z20"/>
  <c r="V20"/>
  <c r="AW20" s="1"/>
  <c r="S20"/>
  <c r="P20"/>
  <c r="U20" s="1"/>
  <c r="AJ42" s="1"/>
  <c r="L20"/>
  <c r="AV20" s="1"/>
  <c r="I20"/>
  <c r="F20"/>
  <c r="B20"/>
  <c r="B42" s="1"/>
  <c r="BD19"/>
  <c r="BB19"/>
  <c r="BA19"/>
  <c r="AZ19"/>
  <c r="AM19"/>
  <c r="AJ19"/>
  <c r="AO19" s="1"/>
  <c r="AC19"/>
  <c r="Z19"/>
  <c r="AF19" s="1"/>
  <c r="AX19" s="1"/>
  <c r="V19"/>
  <c r="AW19" s="1"/>
  <c r="S19"/>
  <c r="P19"/>
  <c r="U19" s="1"/>
  <c r="AJ41" s="1"/>
  <c r="L19"/>
  <c r="AP19" s="1"/>
  <c r="I19"/>
  <c r="F19"/>
  <c r="K19" s="1"/>
  <c r="B19"/>
  <c r="B41" s="1"/>
  <c r="BD18"/>
  <c r="BB18"/>
  <c r="BA18"/>
  <c r="AZ18"/>
  <c r="AM18"/>
  <c r="AJ18"/>
  <c r="AO18" s="1"/>
  <c r="AC18"/>
  <c r="AE18" s="1"/>
  <c r="AK40" s="1"/>
  <c r="Z18"/>
  <c r="AF18" s="1"/>
  <c r="AX18" s="1"/>
  <c r="V18"/>
  <c r="AW18" s="1"/>
  <c r="S18"/>
  <c r="P18"/>
  <c r="L18"/>
  <c r="AV18" s="1"/>
  <c r="I18"/>
  <c r="K18" s="1"/>
  <c r="F18"/>
  <c r="BD17"/>
  <c r="BB17"/>
  <c r="BA17"/>
  <c r="AZ17"/>
  <c r="AM17"/>
  <c r="AJ17"/>
  <c r="AO17" s="1"/>
  <c r="AC17"/>
  <c r="Z17"/>
  <c r="AF17" s="1"/>
  <c r="AX17" s="1"/>
  <c r="V17"/>
  <c r="AW17" s="1"/>
  <c r="S17"/>
  <c r="U17" s="1"/>
  <c r="AJ39" s="1"/>
  <c r="P17"/>
  <c r="L17"/>
  <c r="AV17" s="1"/>
  <c r="I17"/>
  <c r="F17"/>
  <c r="B17"/>
  <c r="B39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BB15"/>
  <c r="BA15"/>
  <c r="AZ15"/>
  <c r="AM15"/>
  <c r="AJ15"/>
  <c r="AO15" s="1"/>
  <c r="AC15"/>
  <c r="Z15"/>
  <c r="S15"/>
  <c r="P15"/>
  <c r="I15"/>
  <c r="F15"/>
  <c r="L15" s="1"/>
  <c r="AV15" s="1"/>
  <c r="B15"/>
  <c r="B37" s="1"/>
  <c r="AM14"/>
  <c r="AJ14"/>
  <c r="AC14"/>
  <c r="Z14"/>
  <c r="AF14" s="1"/>
  <c r="AX14" s="1"/>
  <c r="S14"/>
  <c r="P14"/>
  <c r="I14"/>
  <c r="F14"/>
  <c r="L14" s="1"/>
  <c r="B14"/>
  <c r="B36" s="1"/>
  <c r="BD13"/>
  <c r="BB13"/>
  <c r="BA13"/>
  <c r="AZ13"/>
  <c r="AM13"/>
  <c r="AJ13"/>
  <c r="AO13" s="1"/>
  <c r="AC13"/>
  <c r="Z13"/>
  <c r="AF13" s="1"/>
  <c r="S13"/>
  <c r="P13"/>
  <c r="V13" s="1"/>
  <c r="AW13" s="1"/>
  <c r="I13"/>
  <c r="F13"/>
  <c r="L13" s="1"/>
  <c r="AV13" s="1"/>
  <c r="B13"/>
  <c r="B35" s="1"/>
  <c r="AM12"/>
  <c r="AJ12"/>
  <c r="AO12" s="1"/>
  <c r="AC12"/>
  <c r="Z12"/>
  <c r="S12"/>
  <c r="P12"/>
  <c r="I12"/>
  <c r="F12"/>
  <c r="B12"/>
  <c r="B34" s="1"/>
  <c r="BD11"/>
  <c r="BB11"/>
  <c r="BA11"/>
  <c r="AZ1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3" s="1"/>
  <c r="AV7"/>
  <c r="M5"/>
  <c r="AW7" s="1"/>
  <c r="AN13" i="8"/>
  <c r="BB7" i="16" l="1"/>
  <c r="B1"/>
  <c r="B3" s="1"/>
  <c r="AT48" i="14"/>
  <c r="AR1" s="1"/>
  <c r="AT11"/>
  <c r="W27"/>
  <c r="BA7"/>
  <c r="BE26"/>
  <c r="BF26"/>
  <c r="AP45"/>
  <c r="AQ66"/>
  <c r="BE26" i="13"/>
  <c r="W27"/>
  <c r="BA7"/>
  <c r="AT23"/>
  <c r="AQ66"/>
  <c r="BF26"/>
  <c r="AT48"/>
  <c r="AR1" s="1"/>
  <c r="AR17" i="12"/>
  <c r="AI39"/>
  <c r="AT39"/>
  <c r="AT17" s="1"/>
  <c r="U79"/>
  <c r="W79" s="1"/>
  <c r="AJ39"/>
  <c r="AR48"/>
  <c r="AT11"/>
  <c r="AI34"/>
  <c r="AT34"/>
  <c r="AT12" s="1"/>
  <c r="AT37"/>
  <c r="AT15" s="1"/>
  <c r="AI37"/>
  <c r="AP37" s="1"/>
  <c r="U76"/>
  <c r="W76" s="1"/>
  <c r="AO36"/>
  <c r="W27"/>
  <c r="BA7"/>
  <c r="BF16"/>
  <c r="BE16"/>
  <c r="AR16"/>
  <c r="BE20"/>
  <c r="AR20"/>
  <c r="BF20"/>
  <c r="AP45"/>
  <c r="AO34"/>
  <c r="U74"/>
  <c r="W74" s="1"/>
  <c r="AO38"/>
  <c r="AP38" s="1"/>
  <c r="U78"/>
  <c r="W78" s="1"/>
  <c r="BE12"/>
  <c r="AR12"/>
  <c r="BF12"/>
  <c r="BE15"/>
  <c r="AR15"/>
  <c r="BF15"/>
  <c r="AT23"/>
  <c r="AT20"/>
  <c r="BE23"/>
  <c r="AR23"/>
  <c r="AT62"/>
  <c r="AT58" s="1"/>
  <c r="AM36"/>
  <c r="AP36" s="1"/>
  <c r="AR40"/>
  <c r="AR38"/>
  <c r="BF58"/>
  <c r="BE58"/>
  <c r="AR58"/>
  <c r="BF14"/>
  <c r="BE14"/>
  <c r="AR14"/>
  <c r="AT38"/>
  <c r="AT16" s="1"/>
  <c r="U77"/>
  <c r="W77" s="1"/>
  <c r="AR24" i="11"/>
  <c r="AZ28"/>
  <c r="BD30" s="1"/>
  <c r="AK43"/>
  <c r="AP43" s="1"/>
  <c r="AT43"/>
  <c r="AT21" s="1"/>
  <c r="AR40"/>
  <c r="AR38"/>
  <c r="BE19"/>
  <c r="AR19"/>
  <c r="BE14"/>
  <c r="AR14"/>
  <c r="BF14"/>
  <c r="AJ33"/>
  <c r="AP33" s="1"/>
  <c r="AT33"/>
  <c r="AK41"/>
  <c r="AP41" s="1"/>
  <c r="AT41"/>
  <c r="AT19" s="1"/>
  <c r="U80"/>
  <c r="W80" s="1"/>
  <c r="U76"/>
  <c r="W76" s="1"/>
  <c r="AO36"/>
  <c r="AR23"/>
  <c r="BE23"/>
  <c r="BF58"/>
  <c r="BE58"/>
  <c r="AR58"/>
  <c r="BE16"/>
  <c r="AR16"/>
  <c r="BF16"/>
  <c r="BF20"/>
  <c r="BE20"/>
  <c r="AR20"/>
  <c r="U73"/>
  <c r="W73" s="1"/>
  <c r="AP37"/>
  <c r="U78"/>
  <c r="W78" s="1"/>
  <c r="AT38"/>
  <c r="AT16" s="1"/>
  <c r="AT35"/>
  <c r="AT13" s="1"/>
  <c r="AI35"/>
  <c r="AP35" s="1"/>
  <c r="AI45"/>
  <c r="AT45"/>
  <c r="AR48"/>
  <c r="AR11"/>
  <c r="BE11"/>
  <c r="BE21"/>
  <c r="AR21"/>
  <c r="AO34"/>
  <c r="AP34" s="1"/>
  <c r="U74"/>
  <c r="W74" s="1"/>
  <c r="U82"/>
  <c r="W82" s="1"/>
  <c r="AO45"/>
  <c r="M27"/>
  <c r="C60"/>
  <c r="M60" s="1"/>
  <c r="W60" s="1"/>
  <c r="AZ7"/>
  <c r="BF12"/>
  <c r="BE12"/>
  <c r="AR12"/>
  <c r="BF15"/>
  <c r="BE15"/>
  <c r="AR15"/>
  <c r="AT62"/>
  <c r="AT58" s="1"/>
  <c r="AM36"/>
  <c r="AT36"/>
  <c r="AT14" s="1"/>
  <c r="BE13"/>
  <c r="AR13"/>
  <c r="AT34"/>
  <c r="AT12" s="1"/>
  <c r="AP38"/>
  <c r="AE33" i="10"/>
  <c r="AJ33"/>
  <c r="U38"/>
  <c r="AN38" s="1"/>
  <c r="U34"/>
  <c r="AN34" s="1"/>
  <c r="K33"/>
  <c r="AM33" s="1"/>
  <c r="AR18"/>
  <c r="BE18"/>
  <c r="AP47"/>
  <c r="AP43"/>
  <c r="AT40"/>
  <c r="AT18" s="1"/>
  <c r="AE12"/>
  <c r="AK34" s="1"/>
  <c r="U14"/>
  <c r="AJ36" s="1"/>
  <c r="O136"/>
  <c r="O138" s="1"/>
  <c r="O135"/>
  <c r="AA134"/>
  <c r="AA122"/>
  <c r="O124"/>
  <c r="O126" s="1"/>
  <c r="O123"/>
  <c r="AZ23"/>
  <c r="AZ20"/>
  <c r="U77"/>
  <c r="W77" s="1"/>
  <c r="AO37"/>
  <c r="U75"/>
  <c r="W75" s="1"/>
  <c r="AO35"/>
  <c r="AL45"/>
  <c r="AY23"/>
  <c r="BF23" s="1"/>
  <c r="AV16"/>
  <c r="AP16"/>
  <c r="AV12"/>
  <c r="AP12"/>
  <c r="N87"/>
  <c r="BD58"/>
  <c r="C60"/>
  <c r="M60" s="1"/>
  <c r="W60" s="1"/>
  <c r="M27"/>
  <c r="AZ7"/>
  <c r="BE13"/>
  <c r="AR13"/>
  <c r="AP44"/>
  <c r="AP41"/>
  <c r="AE38"/>
  <c r="K38"/>
  <c r="AM38" s="1"/>
  <c r="U36"/>
  <c r="AN36" s="1"/>
  <c r="AE34"/>
  <c r="K34"/>
  <c r="AM34" s="1"/>
  <c r="U33"/>
  <c r="AN33" s="1"/>
  <c r="AR19"/>
  <c r="Q89"/>
  <c r="AP24"/>
  <c r="AP14"/>
  <c r="B142"/>
  <c r="B144" s="1"/>
  <c r="B122"/>
  <c r="B124" s="1"/>
  <c r="U81"/>
  <c r="W81" s="1"/>
  <c r="U86"/>
  <c r="W86" s="1"/>
  <c r="U83"/>
  <c r="W83" s="1"/>
  <c r="U79"/>
  <c r="W79" s="1"/>
  <c r="U23"/>
  <c r="AJ45" s="1"/>
  <c r="AE14"/>
  <c r="AK36" s="1"/>
  <c r="AT46"/>
  <c r="AT24" s="1"/>
  <c r="AP42"/>
  <c r="AP40"/>
  <c r="AE16"/>
  <c r="AK38" s="1"/>
  <c r="K16"/>
  <c r="U12"/>
  <c r="AJ34" s="1"/>
  <c r="AP11"/>
  <c r="AT44"/>
  <c r="AT22" s="1"/>
  <c r="AT39"/>
  <c r="AT17" s="1"/>
  <c r="AA161"/>
  <c r="O163"/>
  <c r="O165" s="1"/>
  <c r="O162"/>
  <c r="AA96"/>
  <c r="O98"/>
  <c r="O100" s="1"/>
  <c r="O97"/>
  <c r="N81"/>
  <c r="BD20"/>
  <c r="N78"/>
  <c r="BD16"/>
  <c r="BB23"/>
  <c r="BB20"/>
  <c r="U73"/>
  <c r="W73" s="1"/>
  <c r="AO33"/>
  <c r="BE25"/>
  <c r="AR25"/>
  <c r="BF25"/>
  <c r="N76"/>
  <c r="BD14"/>
  <c r="AV23"/>
  <c r="AP23"/>
  <c r="AT37"/>
  <c r="AT15" s="1"/>
  <c r="AI37"/>
  <c r="AP37" s="1"/>
  <c r="AT35"/>
  <c r="AT13" s="1"/>
  <c r="AI35"/>
  <c r="N77"/>
  <c r="BD15"/>
  <c r="N74"/>
  <c r="BD12"/>
  <c r="AI34"/>
  <c r="AT34"/>
  <c r="AE45"/>
  <c r="AE36"/>
  <c r="K36"/>
  <c r="Q76"/>
  <c r="AR36" s="1"/>
  <c r="Q78"/>
  <c r="U84"/>
  <c r="W84" s="1"/>
  <c r="AE23"/>
  <c r="AK45" s="1"/>
  <c r="K23"/>
  <c r="AP46"/>
  <c r="AT42"/>
  <c r="U16"/>
  <c r="AJ38" s="1"/>
  <c r="AP39"/>
  <c r="AO23" i="9"/>
  <c r="AO14"/>
  <c r="AY14" s="1"/>
  <c r="V14"/>
  <c r="AW14" s="1"/>
  <c r="U13"/>
  <c r="AJ35" s="1"/>
  <c r="K13"/>
  <c r="AE40"/>
  <c r="AO40" s="1"/>
  <c r="AE42"/>
  <c r="AO42" s="1"/>
  <c r="U42"/>
  <c r="AN42" s="1"/>
  <c r="K42"/>
  <c r="AM42" s="1"/>
  <c r="AE17"/>
  <c r="AK39" s="1"/>
  <c r="U18"/>
  <c r="AJ40" s="1"/>
  <c r="AP25"/>
  <c r="K15"/>
  <c r="AI37" s="1"/>
  <c r="K17"/>
  <c r="K21"/>
  <c r="K20"/>
  <c r="K25"/>
  <c r="W5"/>
  <c r="AG5" s="1"/>
  <c r="AP11"/>
  <c r="AV11"/>
  <c r="C27"/>
  <c r="AY7"/>
  <c r="AL34"/>
  <c r="AY12"/>
  <c r="AV14"/>
  <c r="AL36"/>
  <c r="AL37"/>
  <c r="AY15"/>
  <c r="AV16"/>
  <c r="AL38"/>
  <c r="AY16"/>
  <c r="AT39"/>
  <c r="AT17" s="1"/>
  <c r="AI39"/>
  <c r="AL39"/>
  <c r="AY17"/>
  <c r="AL40"/>
  <c r="AY18"/>
  <c r="AL42"/>
  <c r="AY20"/>
  <c r="AI43"/>
  <c r="AI44"/>
  <c r="AL44"/>
  <c r="AY22"/>
  <c r="AT46"/>
  <c r="AT24" s="1"/>
  <c r="AI46"/>
  <c r="AL33"/>
  <c r="AY11"/>
  <c r="BF11" s="1"/>
  <c r="AI35"/>
  <c r="AX13"/>
  <c r="AP13"/>
  <c r="BE13" s="1"/>
  <c r="AL35"/>
  <c r="AY13"/>
  <c r="AI40"/>
  <c r="AP40" s="1"/>
  <c r="AT40"/>
  <c r="AT18" s="1"/>
  <c r="AI41"/>
  <c r="BE19"/>
  <c r="AR19"/>
  <c r="AL41"/>
  <c r="AY19"/>
  <c r="BF19" s="1"/>
  <c r="AI42"/>
  <c r="BE21"/>
  <c r="AR21"/>
  <c r="AL43"/>
  <c r="AY21"/>
  <c r="BF21" s="1"/>
  <c r="AV23"/>
  <c r="AY23"/>
  <c r="BF23" s="1"/>
  <c r="AL46"/>
  <c r="AY24"/>
  <c r="BF22"/>
  <c r="AV24"/>
  <c r="AP24"/>
  <c r="AL47"/>
  <c r="AY25"/>
  <c r="AM27"/>
  <c r="AN27" s="1"/>
  <c r="AO27" s="1"/>
  <c r="U85" s="1"/>
  <c r="W85" s="1"/>
  <c r="AW27"/>
  <c r="AO41"/>
  <c r="U84"/>
  <c r="W84" s="1"/>
  <c r="U81"/>
  <c r="W81" s="1"/>
  <c r="AO46"/>
  <c r="K74"/>
  <c r="I74"/>
  <c r="K77"/>
  <c r="I77"/>
  <c r="I87"/>
  <c r="K87"/>
  <c r="K88"/>
  <c r="I88"/>
  <c r="N88" s="1"/>
  <c r="B100"/>
  <c r="B102" s="1"/>
  <c r="B103"/>
  <c r="B104" s="1"/>
  <c r="B106" s="1"/>
  <c r="B121"/>
  <c r="B118"/>
  <c r="B120" s="1"/>
  <c r="O144"/>
  <c r="O146" s="1"/>
  <c r="O143"/>
  <c r="AA142"/>
  <c r="B160"/>
  <c r="B161" s="1"/>
  <c r="B163" s="1"/>
  <c r="B157"/>
  <c r="B159" s="1"/>
  <c r="K11"/>
  <c r="U11"/>
  <c r="AJ33" s="1"/>
  <c r="AE11"/>
  <c r="AK33" s="1"/>
  <c r="L12"/>
  <c r="V12"/>
  <c r="AW12" s="1"/>
  <c r="AF12"/>
  <c r="AX12" s="1"/>
  <c r="AE13"/>
  <c r="AK35" s="1"/>
  <c r="BF13"/>
  <c r="K14"/>
  <c r="U14"/>
  <c r="AJ36" s="1"/>
  <c r="AE14"/>
  <c r="AK36" s="1"/>
  <c r="V15"/>
  <c r="AW15" s="1"/>
  <c r="AF15"/>
  <c r="AX15" s="1"/>
  <c r="K16"/>
  <c r="U16"/>
  <c r="AJ38" s="1"/>
  <c r="AE16"/>
  <c r="AK38" s="1"/>
  <c r="AP17"/>
  <c r="BE17" s="1"/>
  <c r="BF17"/>
  <c r="AP18"/>
  <c r="AR18" s="1"/>
  <c r="BF18"/>
  <c r="AE19"/>
  <c r="AK41" s="1"/>
  <c r="AV19"/>
  <c r="AF20"/>
  <c r="AX20" s="1"/>
  <c r="AE21"/>
  <c r="AK43" s="1"/>
  <c r="AV21"/>
  <c r="AF22"/>
  <c r="AX22" s="1"/>
  <c r="K23"/>
  <c r="U23"/>
  <c r="AJ45" s="1"/>
  <c r="AE23"/>
  <c r="AK45" s="1"/>
  <c r="BF24"/>
  <c r="AI47"/>
  <c r="AP47" s="1"/>
  <c r="U79"/>
  <c r="W79" s="1"/>
  <c r="AO39"/>
  <c r="AO44"/>
  <c r="Q88"/>
  <c r="Q85"/>
  <c r="Q84"/>
  <c r="AR45" s="1"/>
  <c r="Q77"/>
  <c r="AR37" s="1"/>
  <c r="Q74"/>
  <c r="AR34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B141"/>
  <c r="B138"/>
  <c r="B140" s="1"/>
  <c r="O155"/>
  <c r="O157" s="1"/>
  <c r="O154"/>
  <c r="AA153"/>
  <c r="AX7"/>
  <c r="AR13"/>
  <c r="X179"/>
  <c r="AD181" s="1"/>
  <c r="AE25"/>
  <c r="AK47" s="1"/>
  <c r="AV25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L45"/>
  <c r="V45"/>
  <c r="AF45"/>
  <c r="AE58"/>
  <c r="AK62" s="1"/>
  <c r="AP62" s="1"/>
  <c r="K73"/>
  <c r="K75"/>
  <c r="I78"/>
  <c r="K79"/>
  <c r="I81"/>
  <c r="K83"/>
  <c r="G87"/>
  <c r="I89"/>
  <c r="N89" s="1"/>
  <c r="O96"/>
  <c r="O121"/>
  <c r="O122" s="1"/>
  <c r="AA134"/>
  <c r="O160"/>
  <c r="O161" s="1"/>
  <c r="C71"/>
  <c r="G81"/>
  <c r="O135"/>
  <c r="AD178" i="8"/>
  <c r="X178"/>
  <c r="U178"/>
  <c r="R178"/>
  <c r="AD177"/>
  <c r="X177"/>
  <c r="U177"/>
  <c r="R177"/>
  <c r="AD176"/>
  <c r="X176"/>
  <c r="U176"/>
  <c r="R176"/>
  <c r="AD175"/>
  <c r="X175"/>
  <c r="U175"/>
  <c r="R175"/>
  <c r="AD174"/>
  <c r="X174"/>
  <c r="U174"/>
  <c r="R174"/>
  <c r="AD173"/>
  <c r="X173"/>
  <c r="U173"/>
  <c r="R173"/>
  <c r="AD172"/>
  <c r="AD179" s="1"/>
  <c r="X172"/>
  <c r="X179" s="1"/>
  <c r="AD181" s="1"/>
  <c r="U172"/>
  <c r="R172"/>
  <c r="O152"/>
  <c r="O153" s="1"/>
  <c r="B151"/>
  <c r="B152" s="1"/>
  <c r="B153" s="1"/>
  <c r="B155" s="1"/>
  <c r="AG137"/>
  <c r="AJ137" s="1"/>
  <c r="AG136"/>
  <c r="AJ136" s="1"/>
  <c r="AG135"/>
  <c r="AJ135" s="1"/>
  <c r="AG134"/>
  <c r="AJ134" s="1"/>
  <c r="AJ133"/>
  <c r="O133"/>
  <c r="O141" s="1"/>
  <c r="O142" s="1"/>
  <c r="B132"/>
  <c r="B133" s="1"/>
  <c r="B134" s="1"/>
  <c r="B136" s="1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C56"/>
  <c r="M56" s="1"/>
  <c r="W56" s="1"/>
  <c r="AG56" s="1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AE46" s="1"/>
  <c r="V46"/>
  <c r="S46"/>
  <c r="P46"/>
  <c r="U46" s="1"/>
  <c r="AN46" s="1"/>
  <c r="L46"/>
  <c r="I46"/>
  <c r="F46"/>
  <c r="K46" s="1"/>
  <c r="AM46" s="1"/>
  <c r="AC45"/>
  <c r="Z45"/>
  <c r="S45"/>
  <c r="P45"/>
  <c r="I45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F43"/>
  <c r="K43" s="1"/>
  <c r="AM43" s="1"/>
  <c r="AF42"/>
  <c r="AC42"/>
  <c r="Z42"/>
  <c r="V42"/>
  <c r="S42"/>
  <c r="P42"/>
  <c r="L42"/>
  <c r="I42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AE40" s="1"/>
  <c r="AO40" s="1"/>
  <c r="Z40"/>
  <c r="V40"/>
  <c r="S40"/>
  <c r="P40"/>
  <c r="L40"/>
  <c r="I40"/>
  <c r="K40" s="1"/>
  <c r="AM40" s="1"/>
  <c r="F40"/>
  <c r="B40"/>
  <c r="AF39"/>
  <c r="AC39"/>
  <c r="Z39"/>
  <c r="AE39" s="1"/>
  <c r="V39"/>
  <c r="S39"/>
  <c r="P39"/>
  <c r="U39" s="1"/>
  <c r="AN39" s="1"/>
  <c r="L39"/>
  <c r="I39"/>
  <c r="F39"/>
  <c r="K39" s="1"/>
  <c r="AM39" s="1"/>
  <c r="AC38"/>
  <c r="Z38"/>
  <c r="S38"/>
  <c r="P38"/>
  <c r="I38"/>
  <c r="F38"/>
  <c r="AC37"/>
  <c r="Z37"/>
  <c r="AF37" s="1"/>
  <c r="S37"/>
  <c r="P37"/>
  <c r="V37" s="1"/>
  <c r="I37"/>
  <c r="F37"/>
  <c r="L37" s="1"/>
  <c r="AC36"/>
  <c r="Z36"/>
  <c r="S36"/>
  <c r="P36"/>
  <c r="I36"/>
  <c r="F36"/>
  <c r="L36" s="1"/>
  <c r="AZ14" s="1"/>
  <c r="AC35"/>
  <c r="Z35"/>
  <c r="S35"/>
  <c r="P35"/>
  <c r="V35" s="1"/>
  <c r="I35"/>
  <c r="F35"/>
  <c r="L35" s="1"/>
  <c r="AC34"/>
  <c r="Z34"/>
  <c r="S34"/>
  <c r="P34"/>
  <c r="I34"/>
  <c r="F34"/>
  <c r="AC33"/>
  <c r="Z33"/>
  <c r="AF33" s="1"/>
  <c r="S33"/>
  <c r="P33"/>
  <c r="V33" s="1"/>
  <c r="I33"/>
  <c r="F33"/>
  <c r="L33" s="1"/>
  <c r="AJ27"/>
  <c r="AK27" s="1"/>
  <c r="AL27" s="1"/>
  <c r="AI27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K25" s="1"/>
  <c r="B25"/>
  <c r="B47" s="1"/>
  <c r="BD24"/>
  <c r="BB24"/>
  <c r="BA24"/>
  <c r="AZ24"/>
  <c r="AM24"/>
  <c r="AJ24"/>
  <c r="AO24" s="1"/>
  <c r="AC24"/>
  <c r="AE24" s="1"/>
  <c r="AK46" s="1"/>
  <c r="Z24"/>
  <c r="AF24" s="1"/>
  <c r="AX24" s="1"/>
  <c r="V24"/>
  <c r="AW24" s="1"/>
  <c r="S24"/>
  <c r="U24" s="1"/>
  <c r="AJ46" s="1"/>
  <c r="P24"/>
  <c r="L24"/>
  <c r="AV24" s="1"/>
  <c r="I24"/>
  <c r="K24" s="1"/>
  <c r="F24"/>
  <c r="B24"/>
  <c r="B46" s="1"/>
  <c r="BD23"/>
  <c r="AM23"/>
  <c r="AJ23"/>
  <c r="AO23" s="1"/>
  <c r="AC23"/>
  <c r="Z23"/>
  <c r="S23"/>
  <c r="P23"/>
  <c r="V23" s="1"/>
  <c r="AW23" s="1"/>
  <c r="I23"/>
  <c r="F23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U22" s="1"/>
  <c r="AJ44" s="1"/>
  <c r="L22"/>
  <c r="AP22" s="1"/>
  <c r="I22"/>
  <c r="F22"/>
  <c r="K22" s="1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U21" s="1"/>
  <c r="AJ43" s="1"/>
  <c r="P21"/>
  <c r="L21"/>
  <c r="AV21" s="1"/>
  <c r="I21"/>
  <c r="F21"/>
  <c r="B21"/>
  <c r="B43" s="1"/>
  <c r="AM20"/>
  <c r="AJ20"/>
  <c r="AO20" s="1"/>
  <c r="AC20"/>
  <c r="Z20"/>
  <c r="AF20" s="1"/>
  <c r="AX20" s="1"/>
  <c r="V20"/>
  <c r="AW20" s="1"/>
  <c r="S20"/>
  <c r="P20"/>
  <c r="U20" s="1"/>
  <c r="AJ42" s="1"/>
  <c r="L20"/>
  <c r="I20"/>
  <c r="F20"/>
  <c r="K20" s="1"/>
  <c r="B20"/>
  <c r="B42" s="1"/>
  <c r="BD19"/>
  <c r="BB19"/>
  <c r="BA19"/>
  <c r="AZ19"/>
  <c r="AM19"/>
  <c r="AJ19"/>
  <c r="AO19" s="1"/>
  <c r="AC19"/>
  <c r="Z19"/>
  <c r="AF19" s="1"/>
  <c r="AX19" s="1"/>
  <c r="V19"/>
  <c r="AW19" s="1"/>
  <c r="S19"/>
  <c r="P19"/>
  <c r="L19"/>
  <c r="AV19" s="1"/>
  <c r="I19"/>
  <c r="F19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P18"/>
  <c r="U18" s="1"/>
  <c r="AJ40" s="1"/>
  <c r="L18"/>
  <c r="AP18" s="1"/>
  <c r="I18"/>
  <c r="F18"/>
  <c r="K18" s="1"/>
  <c r="BD17"/>
  <c r="BB17"/>
  <c r="BA17"/>
  <c r="AZ17"/>
  <c r="AM17"/>
  <c r="AJ17"/>
  <c r="AO17" s="1"/>
  <c r="AC17"/>
  <c r="Z17"/>
  <c r="AF17" s="1"/>
  <c r="AX17" s="1"/>
  <c r="V17"/>
  <c r="AW17" s="1"/>
  <c r="S17"/>
  <c r="P17"/>
  <c r="U17" s="1"/>
  <c r="AJ39" s="1"/>
  <c r="L17"/>
  <c r="AP17" s="1"/>
  <c r="I17"/>
  <c r="F17"/>
  <c r="K17" s="1"/>
  <c r="B17"/>
  <c r="B39" s="1"/>
  <c r="AM16"/>
  <c r="AJ16"/>
  <c r="AO16" s="1"/>
  <c r="AC16"/>
  <c r="Z16"/>
  <c r="S16"/>
  <c r="P16"/>
  <c r="I16"/>
  <c r="F16"/>
  <c r="B16"/>
  <c r="B38" s="1"/>
  <c r="BB15"/>
  <c r="BA15"/>
  <c r="AZ15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7" s="1"/>
  <c r="AM14"/>
  <c r="AJ14"/>
  <c r="AO14" s="1"/>
  <c r="AC14"/>
  <c r="Z14"/>
  <c r="S14"/>
  <c r="P14"/>
  <c r="I14"/>
  <c r="F14"/>
  <c r="B14"/>
  <c r="B36" s="1"/>
  <c r="BD13"/>
  <c r="BA13"/>
  <c r="AZ13"/>
  <c r="AM13"/>
  <c r="AJ13"/>
  <c r="AC13"/>
  <c r="Z13"/>
  <c r="S13"/>
  <c r="P13"/>
  <c r="I13"/>
  <c r="F13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AV12" s="1"/>
  <c r="B12"/>
  <c r="B34" s="1"/>
  <c r="BD11"/>
  <c r="BB11"/>
  <c r="BA11"/>
  <c r="AZ11"/>
  <c r="AM11"/>
  <c r="AJ11"/>
  <c r="AO11" s="1"/>
  <c r="AC11"/>
  <c r="Z11"/>
  <c r="AF11" s="1"/>
  <c r="AX11" s="1"/>
  <c r="S11"/>
  <c r="P11"/>
  <c r="I11"/>
  <c r="F11"/>
  <c r="B11"/>
  <c r="B33" s="1"/>
  <c r="AV7"/>
  <c r="M5"/>
  <c r="W5" s="1"/>
  <c r="AN13" i="7"/>
  <c r="BB7" i="14" l="1"/>
  <c r="B1"/>
  <c r="B3" s="1"/>
  <c r="BB7" i="13"/>
  <c r="B1"/>
  <c r="B3" s="1"/>
  <c r="AP39" i="12"/>
  <c r="BE26"/>
  <c r="BB7"/>
  <c r="B1"/>
  <c r="B3" s="1"/>
  <c r="BF26"/>
  <c r="AP34"/>
  <c r="AT48"/>
  <c r="AR1" s="1"/>
  <c r="AP36" i="11"/>
  <c r="AT48"/>
  <c r="AT11"/>
  <c r="BF26"/>
  <c r="BE26"/>
  <c r="AR1"/>
  <c r="AP45"/>
  <c r="W27"/>
  <c r="BA7"/>
  <c r="AT20"/>
  <c r="AT23"/>
  <c r="AQ66"/>
  <c r="AP35" i="10"/>
  <c r="AT33"/>
  <c r="AT11" s="1"/>
  <c r="AT36"/>
  <c r="AT14" s="1"/>
  <c r="AP33"/>
  <c r="AZ28"/>
  <c r="BD30" s="1"/>
  <c r="AR40"/>
  <c r="AR38"/>
  <c r="AM36"/>
  <c r="U82"/>
  <c r="W82" s="1"/>
  <c r="AO45"/>
  <c r="BE16"/>
  <c r="AR16"/>
  <c r="BF16"/>
  <c r="BF20"/>
  <c r="BE20"/>
  <c r="AR20"/>
  <c r="AO34"/>
  <c r="U74"/>
  <c r="W74" s="1"/>
  <c r="AP34"/>
  <c r="AI45"/>
  <c r="AP45" s="1"/>
  <c r="AT45"/>
  <c r="U76"/>
  <c r="W76" s="1"/>
  <c r="AO36"/>
  <c r="AT62" s="1"/>
  <c r="AT58" s="1"/>
  <c r="AT12"/>
  <c r="BE12"/>
  <c r="AR12"/>
  <c r="BF12"/>
  <c r="BF15"/>
  <c r="BE15"/>
  <c r="AR15"/>
  <c r="AR23"/>
  <c r="BE23"/>
  <c r="BE14"/>
  <c r="AR14"/>
  <c r="BF14"/>
  <c r="AR48"/>
  <c r="BE11"/>
  <c r="AR11"/>
  <c r="AI38"/>
  <c r="AT38"/>
  <c r="AT16" s="1"/>
  <c r="BE24"/>
  <c r="AR24"/>
  <c r="AO38"/>
  <c r="U78"/>
  <c r="W78" s="1"/>
  <c r="W27"/>
  <c r="BA7"/>
  <c r="BF58"/>
  <c r="BE58"/>
  <c r="AR58"/>
  <c r="AR17" i="9"/>
  <c r="U80"/>
  <c r="W80" s="1"/>
  <c r="AP22"/>
  <c r="AP20"/>
  <c r="U15"/>
  <c r="AJ37" s="1"/>
  <c r="AA96"/>
  <c r="O98"/>
  <c r="O100" s="1"/>
  <c r="O97"/>
  <c r="N81"/>
  <c r="BD20"/>
  <c r="N78"/>
  <c r="BD16"/>
  <c r="BB20"/>
  <c r="BB23"/>
  <c r="AZ20"/>
  <c r="AZ23"/>
  <c r="AO37"/>
  <c r="U75"/>
  <c r="W75" s="1"/>
  <c r="AO35"/>
  <c r="U73"/>
  <c r="W73" s="1"/>
  <c r="AO33"/>
  <c r="AI45"/>
  <c r="AV12"/>
  <c r="AP12"/>
  <c r="N87"/>
  <c r="BD58"/>
  <c r="BE24"/>
  <c r="AR24"/>
  <c r="M27"/>
  <c r="C60"/>
  <c r="M60" s="1"/>
  <c r="W60" s="1"/>
  <c r="AZ7"/>
  <c r="BE11"/>
  <c r="AR11"/>
  <c r="AE45"/>
  <c r="K45"/>
  <c r="AM45" s="1"/>
  <c r="B142"/>
  <c r="B144" s="1"/>
  <c r="Q81"/>
  <c r="AR42" s="1"/>
  <c r="Q89"/>
  <c r="AT47"/>
  <c r="AT25" s="1"/>
  <c r="AE38"/>
  <c r="K38"/>
  <c r="AM38" s="1"/>
  <c r="U36"/>
  <c r="AN36" s="1"/>
  <c r="AE34"/>
  <c r="K34"/>
  <c r="AM34" s="1"/>
  <c r="AP15"/>
  <c r="B122"/>
  <c r="B124" s="1"/>
  <c r="BE18"/>
  <c r="AE15"/>
  <c r="AK37" s="1"/>
  <c r="AE12"/>
  <c r="AK34" s="1"/>
  <c r="K12"/>
  <c r="AP23"/>
  <c r="AT41"/>
  <c r="AT19" s="1"/>
  <c r="AT35"/>
  <c r="AT13" s="1"/>
  <c r="AT43"/>
  <c r="AT21" s="1"/>
  <c r="AP16"/>
  <c r="AT37"/>
  <c r="AT15" s="1"/>
  <c r="AP14"/>
  <c r="AR48" s="1"/>
  <c r="AA161"/>
  <c r="O163"/>
  <c r="O165" s="1"/>
  <c r="O162"/>
  <c r="AA122"/>
  <c r="O124"/>
  <c r="O126" s="1"/>
  <c r="O123"/>
  <c r="BA23"/>
  <c r="BA20"/>
  <c r="BF25"/>
  <c r="BE25"/>
  <c r="AR25"/>
  <c r="N76"/>
  <c r="BD14"/>
  <c r="BE22"/>
  <c r="AR22"/>
  <c r="AI38"/>
  <c r="AI36"/>
  <c r="AI33"/>
  <c r="AP33" s="1"/>
  <c r="N77"/>
  <c r="BD15"/>
  <c r="N74"/>
  <c r="BD12"/>
  <c r="U45"/>
  <c r="AN45" s="1"/>
  <c r="Q76"/>
  <c r="AR36" s="1"/>
  <c r="Q78"/>
  <c r="U38"/>
  <c r="AN38" s="1"/>
  <c r="AE36"/>
  <c r="K36"/>
  <c r="U34"/>
  <c r="AN34" s="1"/>
  <c r="U12"/>
  <c r="AJ34" s="1"/>
  <c r="AP41"/>
  <c r="AP35"/>
  <c r="AE22"/>
  <c r="AE20"/>
  <c r="AP46"/>
  <c r="AP43"/>
  <c r="AP39"/>
  <c r="AP37"/>
  <c r="AZ28"/>
  <c r="BD30" s="1"/>
  <c r="AF35" i="8"/>
  <c r="BB13" s="1"/>
  <c r="K36"/>
  <c r="U23"/>
  <c r="AJ45" s="1"/>
  <c r="U12"/>
  <c r="AJ34" s="1"/>
  <c r="K12"/>
  <c r="AE42"/>
  <c r="AO42" s="1"/>
  <c r="U40"/>
  <c r="AN40" s="1"/>
  <c r="U42"/>
  <c r="AN42" s="1"/>
  <c r="K42"/>
  <c r="AM42" s="1"/>
  <c r="AO13"/>
  <c r="AE19"/>
  <c r="AK41" s="1"/>
  <c r="AE11"/>
  <c r="AK33" s="1"/>
  <c r="AE21"/>
  <c r="AK43" s="1"/>
  <c r="U19"/>
  <c r="AJ41" s="1"/>
  <c r="AP20"/>
  <c r="AP25"/>
  <c r="AV17"/>
  <c r="K19"/>
  <c r="K21"/>
  <c r="AV18"/>
  <c r="AV20"/>
  <c r="AV22"/>
  <c r="AI34"/>
  <c r="AL34"/>
  <c r="AY12"/>
  <c r="AL36"/>
  <c r="AY14"/>
  <c r="AP15"/>
  <c r="AV15"/>
  <c r="AL37"/>
  <c r="AY15"/>
  <c r="AL38"/>
  <c r="AY16"/>
  <c r="AI40"/>
  <c r="BE18"/>
  <c r="AR18"/>
  <c r="AL40"/>
  <c r="AY18"/>
  <c r="BF18" s="1"/>
  <c r="AI42"/>
  <c r="AL42"/>
  <c r="AY20"/>
  <c r="AI44"/>
  <c r="BE22"/>
  <c r="AR22"/>
  <c r="AL44"/>
  <c r="AY22"/>
  <c r="BF22" s="1"/>
  <c r="AX7"/>
  <c r="AG5"/>
  <c r="AL33"/>
  <c r="AY11"/>
  <c r="AL35"/>
  <c r="AY13"/>
  <c r="BF13" s="1"/>
  <c r="AI39"/>
  <c r="BE17"/>
  <c r="AR17"/>
  <c r="AL39"/>
  <c r="AY17"/>
  <c r="BF17" s="1"/>
  <c r="AT41"/>
  <c r="AT19" s="1"/>
  <c r="AI41"/>
  <c r="AL41"/>
  <c r="AY19"/>
  <c r="BF19" s="1"/>
  <c r="AT43"/>
  <c r="AT21" s="1"/>
  <c r="AI43"/>
  <c r="AL43"/>
  <c r="AY21"/>
  <c r="AT46"/>
  <c r="AT24" s="1"/>
  <c r="AI46"/>
  <c r="AI47"/>
  <c r="AL47"/>
  <c r="AY25"/>
  <c r="AM27"/>
  <c r="AN27" s="1"/>
  <c r="AO27" s="1"/>
  <c r="U85" s="1"/>
  <c r="W85" s="1"/>
  <c r="AW27"/>
  <c r="U80"/>
  <c r="W80" s="1"/>
  <c r="AO41"/>
  <c r="U84"/>
  <c r="W84" s="1"/>
  <c r="U81"/>
  <c r="W81" s="1"/>
  <c r="AO46"/>
  <c r="K74"/>
  <c r="I74"/>
  <c r="K77"/>
  <c r="I77"/>
  <c r="I87"/>
  <c r="K87"/>
  <c r="K88"/>
  <c r="I88"/>
  <c r="N88" s="1"/>
  <c r="B100"/>
  <c r="B102" s="1"/>
  <c r="B103"/>
  <c r="B121"/>
  <c r="B122" s="1"/>
  <c r="B124" s="1"/>
  <c r="B118"/>
  <c r="B120" s="1"/>
  <c r="B141"/>
  <c r="B142" s="1"/>
  <c r="B144" s="1"/>
  <c r="B138"/>
  <c r="B140" s="1"/>
  <c r="O155"/>
  <c r="O157" s="1"/>
  <c r="O154"/>
  <c r="AA153"/>
  <c r="L11"/>
  <c r="V11"/>
  <c r="AW11" s="1"/>
  <c r="AE12"/>
  <c r="AK34" s="1"/>
  <c r="L13"/>
  <c r="V13"/>
  <c r="AW13" s="1"/>
  <c r="AF13"/>
  <c r="AX13" s="1"/>
  <c r="L14"/>
  <c r="V14"/>
  <c r="AW14" s="1"/>
  <c r="AF14"/>
  <c r="AX14" s="1"/>
  <c r="K15"/>
  <c r="U15"/>
  <c r="AJ37" s="1"/>
  <c r="AE15"/>
  <c r="AK37" s="1"/>
  <c r="L16"/>
  <c r="K16" s="1"/>
  <c r="V16"/>
  <c r="AW16" s="1"/>
  <c r="AF16"/>
  <c r="AX16" s="1"/>
  <c r="AE17"/>
  <c r="AK39" s="1"/>
  <c r="AE18"/>
  <c r="AK40" s="1"/>
  <c r="AP19"/>
  <c r="BE19" s="1"/>
  <c r="AE20"/>
  <c r="AK42" s="1"/>
  <c r="AP21"/>
  <c r="BE21" s="1"/>
  <c r="BF21"/>
  <c r="AE22"/>
  <c r="AK44" s="1"/>
  <c r="L23"/>
  <c r="AP62"/>
  <c r="AK138"/>
  <c r="AF23"/>
  <c r="AX23" s="1"/>
  <c r="AY23"/>
  <c r="AL45"/>
  <c r="AL46"/>
  <c r="AY24"/>
  <c r="AM36"/>
  <c r="U79"/>
  <c r="W79" s="1"/>
  <c r="AO39"/>
  <c r="U83"/>
  <c r="W83" s="1"/>
  <c r="AO44"/>
  <c r="Q89"/>
  <c r="Q88"/>
  <c r="Q85"/>
  <c r="Q84"/>
  <c r="AR45" s="1"/>
  <c r="Q77"/>
  <c r="AR37" s="1"/>
  <c r="Q74"/>
  <c r="AR34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O144"/>
  <c r="O146" s="1"/>
  <c r="O143"/>
  <c r="AA142"/>
  <c r="B160"/>
  <c r="B157"/>
  <c r="B159" s="1"/>
  <c r="AW7"/>
  <c r="BF11"/>
  <c r="AR19"/>
  <c r="BF23"/>
  <c r="AP24"/>
  <c r="AR24" s="1"/>
  <c r="BF24"/>
  <c r="AE25"/>
  <c r="AK47" s="1"/>
  <c r="AV25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L45"/>
  <c r="K45" s="1"/>
  <c r="AM45" s="1"/>
  <c r="V45"/>
  <c r="U45" s="1"/>
  <c r="AN45" s="1"/>
  <c r="AF45"/>
  <c r="AE45" s="1"/>
  <c r="AE58"/>
  <c r="AK62" s="1"/>
  <c r="K73"/>
  <c r="K75"/>
  <c r="I78"/>
  <c r="Q78" s="1"/>
  <c r="K79"/>
  <c r="I81"/>
  <c r="K83"/>
  <c r="G87"/>
  <c r="I89"/>
  <c r="N89" s="1"/>
  <c r="O96"/>
  <c r="O121"/>
  <c r="O122" s="1"/>
  <c r="O160"/>
  <c r="O161" s="1"/>
  <c r="C71"/>
  <c r="G81"/>
  <c r="O134"/>
  <c r="B1" i="6"/>
  <c r="AD178" i="7"/>
  <c r="U178"/>
  <c r="X178" s="1"/>
  <c r="R178"/>
  <c r="AD177"/>
  <c r="U177"/>
  <c r="X177" s="1"/>
  <c r="R177"/>
  <c r="AD176"/>
  <c r="U176"/>
  <c r="X176" s="1"/>
  <c r="R176"/>
  <c r="AD175"/>
  <c r="U175"/>
  <c r="X175" s="1"/>
  <c r="R175"/>
  <c r="AD174"/>
  <c r="U174"/>
  <c r="X174" s="1"/>
  <c r="R174"/>
  <c r="AD173"/>
  <c r="U173"/>
  <c r="X173" s="1"/>
  <c r="R173"/>
  <c r="AD172"/>
  <c r="AD179" s="1"/>
  <c r="U172"/>
  <c r="X172" s="1"/>
  <c r="X179" s="1"/>
  <c r="R172"/>
  <c r="O152"/>
  <c r="O153" s="1"/>
  <c r="B152"/>
  <c r="B153" s="1"/>
  <c r="B155" s="1"/>
  <c r="B151"/>
  <c r="AG137"/>
  <c r="AJ137" s="1"/>
  <c r="AG136"/>
  <c r="AJ136" s="1"/>
  <c r="AJ135"/>
  <c r="AG135"/>
  <c r="AG134"/>
  <c r="AJ134" s="1"/>
  <c r="AJ133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U87"/>
  <c r="W87" s="1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AZ58" s="1"/>
  <c r="I62"/>
  <c r="F62"/>
  <c r="K62" s="1"/>
  <c r="AM62" s="1"/>
  <c r="BB58"/>
  <c r="BA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I58"/>
  <c r="F58"/>
  <c r="K58" s="1"/>
  <c r="AI62" s="1"/>
  <c r="B58"/>
  <c r="B62" s="1"/>
  <c r="C56"/>
  <c r="M56" s="1"/>
  <c r="W56" s="1"/>
  <c r="AG56" s="1"/>
  <c r="AW49"/>
  <c r="AF47"/>
  <c r="AC47"/>
  <c r="Z47"/>
  <c r="V47"/>
  <c r="S47"/>
  <c r="P47"/>
  <c r="L47"/>
  <c r="I47"/>
  <c r="F47"/>
  <c r="AF46"/>
  <c r="AC46"/>
  <c r="AE46" s="1"/>
  <c r="Z46"/>
  <c r="V46"/>
  <c r="S46"/>
  <c r="U46" s="1"/>
  <c r="AN46" s="1"/>
  <c r="P46"/>
  <c r="L46"/>
  <c r="I46"/>
  <c r="F46"/>
  <c r="AC45"/>
  <c r="Z45"/>
  <c r="AF45" s="1"/>
  <c r="BB23" s="1"/>
  <c r="S45"/>
  <c r="P45"/>
  <c r="V45" s="1"/>
  <c r="BA23" s="1"/>
  <c r="I45"/>
  <c r="F45"/>
  <c r="L45" s="1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K43" s="1"/>
  <c r="AM43" s="1"/>
  <c r="F43"/>
  <c r="AF42"/>
  <c r="AC42"/>
  <c r="AE42" s="1"/>
  <c r="AO42" s="1"/>
  <c r="Z42"/>
  <c r="V42"/>
  <c r="S42"/>
  <c r="U42" s="1"/>
  <c r="AN42" s="1"/>
  <c r="P42"/>
  <c r="L42"/>
  <c r="I42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AE40" s="1"/>
  <c r="AO40" s="1"/>
  <c r="Z40"/>
  <c r="V40"/>
  <c r="S40"/>
  <c r="U40" s="1"/>
  <c r="AN40" s="1"/>
  <c r="P40"/>
  <c r="L40"/>
  <c r="I40"/>
  <c r="F40"/>
  <c r="B40"/>
  <c r="AF39"/>
  <c r="AC39"/>
  <c r="Z39"/>
  <c r="AE39" s="1"/>
  <c r="V39"/>
  <c r="S39"/>
  <c r="P39"/>
  <c r="U39" s="1"/>
  <c r="AN39" s="1"/>
  <c r="L39"/>
  <c r="I39"/>
  <c r="F39"/>
  <c r="K39" s="1"/>
  <c r="AM39" s="1"/>
  <c r="AC38"/>
  <c r="Z38"/>
  <c r="S38"/>
  <c r="P38"/>
  <c r="I38"/>
  <c r="F38"/>
  <c r="L38" s="1"/>
  <c r="AZ16" s="1"/>
  <c r="AC37"/>
  <c r="Z37"/>
  <c r="S37"/>
  <c r="P37"/>
  <c r="V37" s="1"/>
  <c r="I37"/>
  <c r="F37"/>
  <c r="AC36"/>
  <c r="Z36"/>
  <c r="S36"/>
  <c r="P36"/>
  <c r="I36"/>
  <c r="F36"/>
  <c r="AC35"/>
  <c r="Z35"/>
  <c r="AF35" s="1"/>
  <c r="S35"/>
  <c r="P35"/>
  <c r="V35" s="1"/>
  <c r="I35"/>
  <c r="F35"/>
  <c r="L35" s="1"/>
  <c r="AC34"/>
  <c r="Z34"/>
  <c r="AF34" s="1"/>
  <c r="BB12" s="1"/>
  <c r="S34"/>
  <c r="P34"/>
  <c r="V34" s="1"/>
  <c r="BA12" s="1"/>
  <c r="I34"/>
  <c r="F34"/>
  <c r="L34" s="1"/>
  <c r="AZ12" s="1"/>
  <c r="AC33"/>
  <c r="Z33"/>
  <c r="AF33" s="1"/>
  <c r="S33"/>
  <c r="P33"/>
  <c r="V33" s="1"/>
  <c r="I33"/>
  <c r="F33"/>
  <c r="AJ27"/>
  <c r="AK27" s="1"/>
  <c r="AL27" s="1"/>
  <c r="AI27"/>
  <c r="BB25"/>
  <c r="BA25"/>
  <c r="AZ25"/>
  <c r="AM25"/>
  <c r="AJ25"/>
  <c r="AO25" s="1"/>
  <c r="AC25"/>
  <c r="Z25"/>
  <c r="AF25" s="1"/>
  <c r="AX25" s="1"/>
  <c r="V25"/>
  <c r="AW25" s="1"/>
  <c r="S25"/>
  <c r="P25"/>
  <c r="L25"/>
  <c r="I25"/>
  <c r="F25"/>
  <c r="B25"/>
  <c r="B47" s="1"/>
  <c r="BD24"/>
  <c r="BB24"/>
  <c r="BA24"/>
  <c r="AZ24"/>
  <c r="AM24"/>
  <c r="AJ24"/>
  <c r="AO24" s="1"/>
  <c r="AC24"/>
  <c r="Z24"/>
  <c r="V24"/>
  <c r="AW24" s="1"/>
  <c r="S24"/>
  <c r="P24"/>
  <c r="U24" s="1"/>
  <c r="AJ46" s="1"/>
  <c r="L24"/>
  <c r="AV24" s="1"/>
  <c r="I24"/>
  <c r="F24"/>
  <c r="K24" s="1"/>
  <c r="B24"/>
  <c r="B46" s="1"/>
  <c r="BD23"/>
  <c r="AM23"/>
  <c r="AJ23"/>
  <c r="AO23" s="1"/>
  <c r="AC23"/>
  <c r="Z23"/>
  <c r="AF23" s="1"/>
  <c r="AX23" s="1"/>
  <c r="S23"/>
  <c r="P23"/>
  <c r="I23"/>
  <c r="F23"/>
  <c r="L23" s="1"/>
  <c r="AV23" s="1"/>
  <c r="B23"/>
  <c r="B45" s="1"/>
  <c r="BD22"/>
  <c r="BB22"/>
  <c r="BA22"/>
  <c r="AZ22"/>
  <c r="AM22"/>
  <c r="AJ22"/>
  <c r="AO22" s="1"/>
  <c r="AC22"/>
  <c r="Z22"/>
  <c r="AF22" s="1"/>
  <c r="AX22" s="1"/>
  <c r="V22"/>
  <c r="AW22" s="1"/>
  <c r="S22"/>
  <c r="P22"/>
  <c r="U22" s="1"/>
  <c r="AJ44" s="1"/>
  <c r="L22"/>
  <c r="I22"/>
  <c r="F22"/>
  <c r="K22" s="1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P21"/>
  <c r="L21"/>
  <c r="AV21" s="1"/>
  <c r="I21"/>
  <c r="F21"/>
  <c r="B21"/>
  <c r="B43" s="1"/>
  <c r="BB20"/>
  <c r="BA20"/>
  <c r="AM20"/>
  <c r="AJ20"/>
  <c r="AO20" s="1"/>
  <c r="AC20"/>
  <c r="Z20"/>
  <c r="AF20" s="1"/>
  <c r="AX20" s="1"/>
  <c r="V20"/>
  <c r="AW20" s="1"/>
  <c r="S20"/>
  <c r="P20"/>
  <c r="U20" s="1"/>
  <c r="AJ42" s="1"/>
  <c r="L20"/>
  <c r="I20"/>
  <c r="F20"/>
  <c r="K20" s="1"/>
  <c r="B20"/>
  <c r="B42" s="1"/>
  <c r="BD19"/>
  <c r="BB19"/>
  <c r="BA19"/>
  <c r="AZ19"/>
  <c r="AM19"/>
  <c r="AJ19"/>
  <c r="AO19" s="1"/>
  <c r="AC19"/>
  <c r="Z19"/>
  <c r="AF19" s="1"/>
  <c r="AX19" s="1"/>
  <c r="S19"/>
  <c r="P19"/>
  <c r="I19"/>
  <c r="F19"/>
  <c r="B19"/>
  <c r="B41" s="1"/>
  <c r="BD18"/>
  <c r="BB18"/>
  <c r="BA18"/>
  <c r="AZ18"/>
  <c r="AM18"/>
  <c r="AJ18"/>
  <c r="AO18" s="1"/>
  <c r="AC18"/>
  <c r="Z18"/>
  <c r="AF18" s="1"/>
  <c r="AX18" s="1"/>
  <c r="V18"/>
  <c r="AW18" s="1"/>
  <c r="S18"/>
  <c r="P18"/>
  <c r="U18" s="1"/>
  <c r="AJ40" s="1"/>
  <c r="L18"/>
  <c r="AP18" s="1"/>
  <c r="I18"/>
  <c r="F18"/>
  <c r="K18" s="1"/>
  <c r="BD17"/>
  <c r="BB17"/>
  <c r="BA17"/>
  <c r="AZ17"/>
  <c r="AM17"/>
  <c r="AJ17"/>
  <c r="AO17" s="1"/>
  <c r="AC17"/>
  <c r="Z17"/>
  <c r="AF17" s="1"/>
  <c r="AX17" s="1"/>
  <c r="V17"/>
  <c r="AW17" s="1"/>
  <c r="S17"/>
  <c r="P17"/>
  <c r="U17" s="1"/>
  <c r="AJ39" s="1"/>
  <c r="L17"/>
  <c r="AP17" s="1"/>
  <c r="I17"/>
  <c r="F17"/>
  <c r="K17" s="1"/>
  <c r="B17"/>
  <c r="B39" s="1"/>
  <c r="AM16"/>
  <c r="AJ16"/>
  <c r="AO16" s="1"/>
  <c r="AC16"/>
  <c r="Z16"/>
  <c r="S16"/>
  <c r="P16"/>
  <c r="I16"/>
  <c r="F16"/>
  <c r="B16"/>
  <c r="B38" s="1"/>
  <c r="BA15"/>
  <c r="AM15"/>
  <c r="AO15" s="1"/>
  <c r="AJ15"/>
  <c r="AC15"/>
  <c r="Z15"/>
  <c r="S15"/>
  <c r="P15"/>
  <c r="I15"/>
  <c r="F15"/>
  <c r="L15" s="1"/>
  <c r="B15"/>
  <c r="B37" s="1"/>
  <c r="AM14"/>
  <c r="AJ14"/>
  <c r="AO14" s="1"/>
  <c r="AC14"/>
  <c r="Z14"/>
  <c r="AF14" s="1"/>
  <c r="AX14" s="1"/>
  <c r="S14"/>
  <c r="P14"/>
  <c r="V14" s="1"/>
  <c r="AW14" s="1"/>
  <c r="I14"/>
  <c r="F14"/>
  <c r="L14" s="1"/>
  <c r="B14"/>
  <c r="B36" s="1"/>
  <c r="BD13"/>
  <c r="BB13"/>
  <c r="BA13"/>
  <c r="AZ13"/>
  <c r="AM13"/>
  <c r="AJ13"/>
  <c r="AO13" s="1"/>
  <c r="AC13"/>
  <c r="Z13"/>
  <c r="S13"/>
  <c r="P13"/>
  <c r="I13"/>
  <c r="F13"/>
  <c r="L13" s="1"/>
  <c r="AV13" s="1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4" s="1"/>
  <c r="BD11"/>
  <c r="BB11"/>
  <c r="BA11"/>
  <c r="AM11"/>
  <c r="AJ11"/>
  <c r="AO11" s="1"/>
  <c r="AC11"/>
  <c r="Z11"/>
  <c r="S11"/>
  <c r="P11"/>
  <c r="I11"/>
  <c r="F11"/>
  <c r="L11" s="1"/>
  <c r="AV11" s="1"/>
  <c r="B11"/>
  <c r="B33" s="1"/>
  <c r="AV7"/>
  <c r="M5"/>
  <c r="W5" s="1"/>
  <c r="AD178" i="6"/>
  <c r="U178"/>
  <c r="X178" s="1"/>
  <c r="R178"/>
  <c r="AD177"/>
  <c r="U177"/>
  <c r="X177" s="1"/>
  <c r="R177"/>
  <c r="AD176"/>
  <c r="U176"/>
  <c r="X176" s="1"/>
  <c r="R176"/>
  <c r="AD175"/>
  <c r="U175"/>
  <c r="X175" s="1"/>
  <c r="R175"/>
  <c r="AD174"/>
  <c r="U174"/>
  <c r="X174" s="1"/>
  <c r="R174"/>
  <c r="AD173"/>
  <c r="U173"/>
  <c r="X173" s="1"/>
  <c r="R173"/>
  <c r="AD172"/>
  <c r="AD179" s="1"/>
  <c r="U172"/>
  <c r="X172" s="1"/>
  <c r="R172"/>
  <c r="O152"/>
  <c r="O153" s="1"/>
  <c r="B151"/>
  <c r="B152" s="1"/>
  <c r="B153" s="1"/>
  <c r="B155" s="1"/>
  <c r="AJ137"/>
  <c r="AG137"/>
  <c r="AJ136"/>
  <c r="AG136"/>
  <c r="AJ135"/>
  <c r="AG135"/>
  <c r="AG134"/>
  <c r="AJ134" s="1"/>
  <c r="O134"/>
  <c r="O136" s="1"/>
  <c r="O138" s="1"/>
  <c r="AJ133"/>
  <c r="AK138" s="1"/>
  <c r="O133"/>
  <c r="O141" s="1"/>
  <c r="O142" s="1"/>
  <c r="B133"/>
  <c r="B134" s="1"/>
  <c r="B136" s="1"/>
  <c r="B132"/>
  <c r="O113"/>
  <c r="O114" s="1"/>
  <c r="B112"/>
  <c r="B113" s="1"/>
  <c r="B114" s="1"/>
  <c r="B116" s="1"/>
  <c r="O95"/>
  <c r="O103" s="1"/>
  <c r="O104" s="1"/>
  <c r="B94"/>
  <c r="B95" s="1"/>
  <c r="B96" s="1"/>
  <c r="B98" s="1"/>
  <c r="E89"/>
  <c r="K89" s="1"/>
  <c r="X88"/>
  <c r="U88"/>
  <c r="W88" s="1"/>
  <c r="C88"/>
  <c r="E88" s="1"/>
  <c r="X87"/>
  <c r="W87"/>
  <c r="U87"/>
  <c r="C87"/>
  <c r="E87" s="1"/>
  <c r="X86"/>
  <c r="G86"/>
  <c r="K86" s="1"/>
  <c r="E86"/>
  <c r="I86" s="1"/>
  <c r="X85"/>
  <c r="K85"/>
  <c r="I85"/>
  <c r="N85" s="1"/>
  <c r="C85"/>
  <c r="E85" s="1"/>
  <c r="X84"/>
  <c r="K84"/>
  <c r="Z84" s="1"/>
  <c r="I84"/>
  <c r="N84" s="1"/>
  <c r="C84"/>
  <c r="E84" s="1"/>
  <c r="X83"/>
  <c r="E83"/>
  <c r="I83" s="1"/>
  <c r="N83" s="1"/>
  <c r="C83"/>
  <c r="X82"/>
  <c r="K82"/>
  <c r="Z82" s="1"/>
  <c r="I82"/>
  <c r="N82" s="1"/>
  <c r="E82"/>
  <c r="C82"/>
  <c r="X81"/>
  <c r="E81"/>
  <c r="K81" s="1"/>
  <c r="X80"/>
  <c r="K80"/>
  <c r="G80"/>
  <c r="E80"/>
  <c r="I80" s="1"/>
  <c r="N80" s="1"/>
  <c r="X79"/>
  <c r="S79"/>
  <c r="E79"/>
  <c r="I79" s="1"/>
  <c r="N79" s="1"/>
  <c r="C79"/>
  <c r="X78"/>
  <c r="E78"/>
  <c r="K78" s="1"/>
  <c r="C78"/>
  <c r="G78" s="1"/>
  <c r="X77"/>
  <c r="C77"/>
  <c r="E77" s="1"/>
  <c r="X76"/>
  <c r="S76"/>
  <c r="C76"/>
  <c r="E76" s="1"/>
  <c r="X75"/>
  <c r="E75"/>
  <c r="I75" s="1"/>
  <c r="N75" s="1"/>
  <c r="C75"/>
  <c r="X74"/>
  <c r="C74"/>
  <c r="E74" s="1"/>
  <c r="X73"/>
  <c r="E73"/>
  <c r="I73" s="1"/>
  <c r="N73" s="1"/>
  <c r="C73"/>
  <c r="K71"/>
  <c r="E71"/>
  <c r="I71" s="1"/>
  <c r="I70"/>
  <c r="N70" s="1"/>
  <c r="E70"/>
  <c r="C70"/>
  <c r="AH66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AP58" s="1"/>
  <c r="I58"/>
  <c r="F58"/>
  <c r="K58" s="1"/>
  <c r="AI62" s="1"/>
  <c r="B58"/>
  <c r="B62" s="1"/>
  <c r="M56"/>
  <c r="W56" s="1"/>
  <c r="AG56" s="1"/>
  <c r="C56"/>
  <c r="AW49"/>
  <c r="AF47"/>
  <c r="AC47"/>
  <c r="Z47"/>
  <c r="AE47" s="1"/>
  <c r="AO47" s="1"/>
  <c r="V47"/>
  <c r="S47"/>
  <c r="P47"/>
  <c r="U47" s="1"/>
  <c r="AN47" s="1"/>
  <c r="L47"/>
  <c r="I47"/>
  <c r="F47"/>
  <c r="K47" s="1"/>
  <c r="AM47" s="1"/>
  <c r="AF46"/>
  <c r="AC46"/>
  <c r="Z46"/>
  <c r="AE46" s="1"/>
  <c r="V46"/>
  <c r="S46"/>
  <c r="P46"/>
  <c r="U46" s="1"/>
  <c r="AN46" s="1"/>
  <c r="L46"/>
  <c r="I46"/>
  <c r="F46"/>
  <c r="K46" s="1"/>
  <c r="AM46" s="1"/>
  <c r="AC45"/>
  <c r="Z45"/>
  <c r="S45"/>
  <c r="P45"/>
  <c r="L45"/>
  <c r="I45"/>
  <c r="K45" s="1"/>
  <c r="AM45" s="1"/>
  <c r="F45"/>
  <c r="AF44"/>
  <c r="AC44"/>
  <c r="Z44"/>
  <c r="AE44" s="1"/>
  <c r="V44"/>
  <c r="S44"/>
  <c r="P44"/>
  <c r="U44" s="1"/>
  <c r="AN44" s="1"/>
  <c r="L44"/>
  <c r="I44"/>
  <c r="F44"/>
  <c r="K44" s="1"/>
  <c r="AM44" s="1"/>
  <c r="AF43"/>
  <c r="AC43"/>
  <c r="Z43"/>
  <c r="AE43" s="1"/>
  <c r="AO43" s="1"/>
  <c r="V43"/>
  <c r="S43"/>
  <c r="P43"/>
  <c r="U43" s="1"/>
  <c r="AN43" s="1"/>
  <c r="L43"/>
  <c r="I43"/>
  <c r="F43"/>
  <c r="K43" s="1"/>
  <c r="AM43" s="1"/>
  <c r="AF42"/>
  <c r="AC42"/>
  <c r="AE42" s="1"/>
  <c r="AO42" s="1"/>
  <c r="Z42"/>
  <c r="V42"/>
  <c r="S42"/>
  <c r="U42" s="1"/>
  <c r="AN42" s="1"/>
  <c r="P42"/>
  <c r="L42"/>
  <c r="I42"/>
  <c r="K42" s="1"/>
  <c r="AM42" s="1"/>
  <c r="F42"/>
  <c r="AF41"/>
  <c r="AC41"/>
  <c r="Z41"/>
  <c r="AE41" s="1"/>
  <c r="V41"/>
  <c r="S41"/>
  <c r="P41"/>
  <c r="U41" s="1"/>
  <c r="AN41" s="1"/>
  <c r="L41"/>
  <c r="I41"/>
  <c r="F41"/>
  <c r="K41" s="1"/>
  <c r="AM41" s="1"/>
  <c r="AF40"/>
  <c r="AC40"/>
  <c r="AE40" s="1"/>
  <c r="AO40" s="1"/>
  <c r="Z40"/>
  <c r="V40"/>
  <c r="S40"/>
  <c r="U40" s="1"/>
  <c r="AN40" s="1"/>
  <c r="P40"/>
  <c r="L40"/>
  <c r="I40"/>
  <c r="K40" s="1"/>
  <c r="AM40" s="1"/>
  <c r="F40"/>
  <c r="B40"/>
  <c r="AF39"/>
  <c r="AC39"/>
  <c r="Z39"/>
  <c r="AE39" s="1"/>
  <c r="V39"/>
  <c r="S39"/>
  <c r="P39"/>
  <c r="U39" s="1"/>
  <c r="AN39" s="1"/>
  <c r="L39"/>
  <c r="I39"/>
  <c r="F39"/>
  <c r="K39" s="1"/>
  <c r="AM39" s="1"/>
  <c r="AC38"/>
  <c r="Z38"/>
  <c r="S38"/>
  <c r="P38"/>
  <c r="L38"/>
  <c r="I38"/>
  <c r="K38" s="1"/>
  <c r="AM38" s="1"/>
  <c r="F38"/>
  <c r="AF37"/>
  <c r="AC37"/>
  <c r="Z37"/>
  <c r="AE37" s="1"/>
  <c r="S37"/>
  <c r="P37"/>
  <c r="V37" s="1"/>
  <c r="L37"/>
  <c r="I37"/>
  <c r="F37"/>
  <c r="K37" s="1"/>
  <c r="AM37" s="1"/>
  <c r="AC36"/>
  <c r="Z36"/>
  <c r="S36"/>
  <c r="P36"/>
  <c r="I36"/>
  <c r="F36"/>
  <c r="AC35"/>
  <c r="Z35"/>
  <c r="AF35" s="1"/>
  <c r="S35"/>
  <c r="P35"/>
  <c r="V35" s="1"/>
  <c r="I35"/>
  <c r="F35"/>
  <c r="L35" s="1"/>
  <c r="AF34"/>
  <c r="AC34"/>
  <c r="AE34" s="1"/>
  <c r="Z34"/>
  <c r="V34"/>
  <c r="S34"/>
  <c r="U34" s="1"/>
  <c r="AN34" s="1"/>
  <c r="P34"/>
  <c r="L34"/>
  <c r="I34"/>
  <c r="K34" s="1"/>
  <c r="AM34" s="1"/>
  <c r="F34"/>
  <c r="AC33"/>
  <c r="Z33"/>
  <c r="AF33" s="1"/>
  <c r="S33"/>
  <c r="P33"/>
  <c r="V33" s="1"/>
  <c r="L33"/>
  <c r="I33"/>
  <c r="F33"/>
  <c r="K33" s="1"/>
  <c r="AM33" s="1"/>
  <c r="AJ27"/>
  <c r="AK27" s="1"/>
  <c r="AL27" s="1"/>
  <c r="AI27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AP25" s="1"/>
  <c r="I25"/>
  <c r="F25"/>
  <c r="K25" s="1"/>
  <c r="B25"/>
  <c r="B47" s="1"/>
  <c r="BD24"/>
  <c r="BB24"/>
  <c r="BA24"/>
  <c r="AZ24"/>
  <c r="AM24"/>
  <c r="AJ24"/>
  <c r="AO24" s="1"/>
  <c r="AC24"/>
  <c r="AE24" s="1"/>
  <c r="AK46" s="1"/>
  <c r="Z24"/>
  <c r="AF24" s="1"/>
  <c r="AX24" s="1"/>
  <c r="V24"/>
  <c r="AW24" s="1"/>
  <c r="S24"/>
  <c r="U24" s="1"/>
  <c r="AJ46" s="1"/>
  <c r="P24"/>
  <c r="L24"/>
  <c r="AV24" s="1"/>
  <c r="I24"/>
  <c r="K24" s="1"/>
  <c r="F24"/>
  <c r="B24"/>
  <c r="B46" s="1"/>
  <c r="BD23"/>
  <c r="AZ23"/>
  <c r="AM23"/>
  <c r="AJ23"/>
  <c r="AO23" s="1"/>
  <c r="AC23"/>
  <c r="Z23"/>
  <c r="AF23" s="1"/>
  <c r="AX23" s="1"/>
  <c r="S23"/>
  <c r="P23"/>
  <c r="V23" s="1"/>
  <c r="AW23" s="1"/>
  <c r="L23"/>
  <c r="I23"/>
  <c r="F23"/>
  <c r="K23" s="1"/>
  <c r="B23"/>
  <c r="B45" s="1"/>
  <c r="BD22"/>
  <c r="BB22"/>
  <c r="BA22"/>
  <c r="AZ22"/>
  <c r="AM22"/>
  <c r="AJ22"/>
  <c r="AO22" s="1"/>
  <c r="AC22"/>
  <c r="Z22"/>
  <c r="V22"/>
  <c r="AW22" s="1"/>
  <c r="S22"/>
  <c r="U22" s="1"/>
  <c r="AJ44" s="1"/>
  <c r="P22"/>
  <c r="L22"/>
  <c r="AV22" s="1"/>
  <c r="I22"/>
  <c r="K22" s="1"/>
  <c r="F22"/>
  <c r="B22"/>
  <c r="B44" s="1"/>
  <c r="BD21"/>
  <c r="BB21"/>
  <c r="BA21"/>
  <c r="AZ21"/>
  <c r="AM21"/>
  <c r="AJ21"/>
  <c r="AO21" s="1"/>
  <c r="AC21"/>
  <c r="Z21"/>
  <c r="AF21" s="1"/>
  <c r="AX21" s="1"/>
  <c r="V21"/>
  <c r="AW21" s="1"/>
  <c r="S21"/>
  <c r="P21"/>
  <c r="U21" s="1"/>
  <c r="AJ43" s="1"/>
  <c r="L21"/>
  <c r="AP21" s="1"/>
  <c r="I21"/>
  <c r="F21"/>
  <c r="K21" s="1"/>
  <c r="B21"/>
  <c r="B43" s="1"/>
  <c r="AZ20"/>
  <c r="AM20"/>
  <c r="AJ20"/>
  <c r="AO20" s="1"/>
  <c r="AC20"/>
  <c r="AE20" s="1"/>
  <c r="AK42" s="1"/>
  <c r="Z20"/>
  <c r="AF20" s="1"/>
  <c r="AX20" s="1"/>
  <c r="V20"/>
  <c r="AW20" s="1"/>
  <c r="S20"/>
  <c r="U20" s="1"/>
  <c r="AJ42" s="1"/>
  <c r="P20"/>
  <c r="L20"/>
  <c r="AV20" s="1"/>
  <c r="I20"/>
  <c r="K20" s="1"/>
  <c r="F20"/>
  <c r="B20"/>
  <c r="B42" s="1"/>
  <c r="BD19"/>
  <c r="BB19"/>
  <c r="BA19"/>
  <c r="AZ19"/>
  <c r="AM19"/>
  <c r="AJ19"/>
  <c r="AO19" s="1"/>
  <c r="AC19"/>
  <c r="Z19"/>
  <c r="AF19" s="1"/>
  <c r="AX19" s="1"/>
  <c r="S19"/>
  <c r="P19"/>
  <c r="V19" s="1"/>
  <c r="AW19" s="1"/>
  <c r="I19"/>
  <c r="F19"/>
  <c r="L19" s="1"/>
  <c r="B19"/>
  <c r="B41" s="1"/>
  <c r="BD18"/>
  <c r="BB18"/>
  <c r="BA18"/>
  <c r="AZ18"/>
  <c r="AM18"/>
  <c r="AJ18"/>
  <c r="AO18" s="1"/>
  <c r="AF18"/>
  <c r="AX18" s="1"/>
  <c r="AC18"/>
  <c r="AE18" s="1"/>
  <c r="AK40" s="1"/>
  <c r="Z18"/>
  <c r="V18"/>
  <c r="AW18" s="1"/>
  <c r="S18"/>
  <c r="U18" s="1"/>
  <c r="AJ40" s="1"/>
  <c r="P18"/>
  <c r="L18"/>
  <c r="AV18" s="1"/>
  <c r="I18"/>
  <c r="K18" s="1"/>
  <c r="F18"/>
  <c r="BD17"/>
  <c r="BB17"/>
  <c r="BA17"/>
  <c r="AZ17"/>
  <c r="AM17"/>
  <c r="AJ17"/>
  <c r="AO17" s="1"/>
  <c r="AF17"/>
  <c r="AX17" s="1"/>
  <c r="AC17"/>
  <c r="AE17" s="1"/>
  <c r="AK39" s="1"/>
  <c r="Z17"/>
  <c r="V17"/>
  <c r="AW17" s="1"/>
  <c r="S17"/>
  <c r="U17" s="1"/>
  <c r="AJ39" s="1"/>
  <c r="P17"/>
  <c r="L17"/>
  <c r="AV17" s="1"/>
  <c r="I17"/>
  <c r="K17" s="1"/>
  <c r="F17"/>
  <c r="B17"/>
  <c r="B39" s="1"/>
  <c r="AZ16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BB15"/>
  <c r="BA15"/>
  <c r="AZ15"/>
  <c r="AN15"/>
  <c r="AM15"/>
  <c r="AJ15"/>
  <c r="AO15" s="1"/>
  <c r="AC15"/>
  <c r="Z15"/>
  <c r="AF15" s="1"/>
  <c r="AX15" s="1"/>
  <c r="S15"/>
  <c r="P15"/>
  <c r="V15" s="1"/>
  <c r="L15"/>
  <c r="AV15" s="1"/>
  <c r="I15"/>
  <c r="F15"/>
  <c r="K15" s="1"/>
  <c r="B15"/>
  <c r="B37" s="1"/>
  <c r="AM14"/>
  <c r="AJ14"/>
  <c r="AO14" s="1"/>
  <c r="AC14"/>
  <c r="Z14"/>
  <c r="S14"/>
  <c r="P14"/>
  <c r="I14"/>
  <c r="F14"/>
  <c r="B14"/>
  <c r="B36" s="1"/>
  <c r="BD13"/>
  <c r="BB13"/>
  <c r="BA13"/>
  <c r="AZ13"/>
  <c r="AV13"/>
  <c r="AM13"/>
  <c r="AJ13"/>
  <c r="AO13" s="1"/>
  <c r="AC13"/>
  <c r="Z13"/>
  <c r="AF13" s="1"/>
  <c r="AX13" s="1"/>
  <c r="S13"/>
  <c r="P13"/>
  <c r="V13" s="1"/>
  <c r="AW13" s="1"/>
  <c r="L13"/>
  <c r="I13"/>
  <c r="F13"/>
  <c r="K13" s="1"/>
  <c r="B13"/>
  <c r="B35" s="1"/>
  <c r="BB12"/>
  <c r="BA12"/>
  <c r="AZ12"/>
  <c r="AM12"/>
  <c r="AJ12"/>
  <c r="AO12" s="1"/>
  <c r="AC12"/>
  <c r="Z12"/>
  <c r="S12"/>
  <c r="P12"/>
  <c r="I12"/>
  <c r="F12"/>
  <c r="B12"/>
  <c r="B34" s="1"/>
  <c r="BD11"/>
  <c r="BB11"/>
  <c r="BA11"/>
  <c r="AZ11"/>
  <c r="AV11"/>
  <c r="AM11"/>
  <c r="AJ11"/>
  <c r="AO11" s="1"/>
  <c r="AC11"/>
  <c r="Z11"/>
  <c r="AF11" s="1"/>
  <c r="AX11" s="1"/>
  <c r="S11"/>
  <c r="P11"/>
  <c r="V11" s="1"/>
  <c r="AW11" s="1"/>
  <c r="L11"/>
  <c r="AP11" s="1"/>
  <c r="I11"/>
  <c r="F11"/>
  <c r="K11" s="1"/>
  <c r="B11"/>
  <c r="B33" s="1"/>
  <c r="AV7"/>
  <c r="W5"/>
  <c r="AG5" s="1"/>
  <c r="M5"/>
  <c r="AW7" s="1"/>
  <c r="AQ66" i="12" l="1"/>
  <c r="BB7" i="11"/>
  <c r="B1"/>
  <c r="B3" s="1"/>
  <c r="B1" i="10"/>
  <c r="B3" s="1"/>
  <c r="BB7"/>
  <c r="AP38"/>
  <c r="BE26"/>
  <c r="BF26"/>
  <c r="AT48"/>
  <c r="AP36"/>
  <c r="AQ66" s="1"/>
  <c r="AT20"/>
  <c r="AT23"/>
  <c r="AR1"/>
  <c r="AK44" i="9"/>
  <c r="AP44" s="1"/>
  <c r="AT44"/>
  <c r="AT22" s="1"/>
  <c r="U83"/>
  <c r="W83" s="1"/>
  <c r="U76"/>
  <c r="W76" s="1"/>
  <c r="AO36"/>
  <c r="AR40"/>
  <c r="AR38"/>
  <c r="AT11"/>
  <c r="BE23"/>
  <c r="AR23"/>
  <c r="AO34"/>
  <c r="U74"/>
  <c r="W74" s="1"/>
  <c r="BF58"/>
  <c r="BE58"/>
  <c r="AR58"/>
  <c r="BF16"/>
  <c r="BE16"/>
  <c r="AR16"/>
  <c r="BE20"/>
  <c r="AR20"/>
  <c r="BF20"/>
  <c r="AT45"/>
  <c r="AK42"/>
  <c r="AP42" s="1"/>
  <c r="AT42"/>
  <c r="AT62"/>
  <c r="AT58" s="1"/>
  <c r="AM36"/>
  <c r="AP36" s="1"/>
  <c r="BE12"/>
  <c r="AR12"/>
  <c r="BF12"/>
  <c r="BE15"/>
  <c r="AR15"/>
  <c r="BF15"/>
  <c r="BF14"/>
  <c r="BE14"/>
  <c r="AR14"/>
  <c r="AI34"/>
  <c r="AP34" s="1"/>
  <c r="AT34"/>
  <c r="AT12" s="1"/>
  <c r="AO38"/>
  <c r="AP38" s="1"/>
  <c r="U78"/>
  <c r="W78" s="1"/>
  <c r="U82"/>
  <c r="W82" s="1"/>
  <c r="AO45"/>
  <c r="AP45" s="1"/>
  <c r="W27"/>
  <c r="BA7"/>
  <c r="AT36"/>
  <c r="AT14" s="1"/>
  <c r="AT38"/>
  <c r="AT16" s="1"/>
  <c r="U77"/>
  <c r="W77" s="1"/>
  <c r="AE35" i="8"/>
  <c r="AO35" s="1"/>
  <c r="AP43"/>
  <c r="AE34"/>
  <c r="U74" s="1"/>
  <c r="W74" s="1"/>
  <c r="AE36"/>
  <c r="K34"/>
  <c r="AM34" s="1"/>
  <c r="AE16"/>
  <c r="AK38" s="1"/>
  <c r="AP44"/>
  <c r="AR21"/>
  <c r="AR40"/>
  <c r="AR38"/>
  <c r="AO45"/>
  <c r="O136"/>
  <c r="O138" s="1"/>
  <c r="O135"/>
  <c r="AA134"/>
  <c r="AA122"/>
  <c r="O124"/>
  <c r="O126" s="1"/>
  <c r="O123"/>
  <c r="BA23"/>
  <c r="BA20"/>
  <c r="BF25"/>
  <c r="BE25"/>
  <c r="AR25"/>
  <c r="N76"/>
  <c r="BD14"/>
  <c r="AV16"/>
  <c r="AP16"/>
  <c r="AV14"/>
  <c r="AP14"/>
  <c r="AV11"/>
  <c r="AP11"/>
  <c r="N77"/>
  <c r="BD15"/>
  <c r="N74"/>
  <c r="BD12"/>
  <c r="B161"/>
  <c r="B163" s="1"/>
  <c r="Q76"/>
  <c r="AR36" s="1"/>
  <c r="AE23"/>
  <c r="AK45" s="1"/>
  <c r="AE38"/>
  <c r="K38"/>
  <c r="AM38" s="1"/>
  <c r="U36"/>
  <c r="U34"/>
  <c r="AN34" s="1"/>
  <c r="BE24"/>
  <c r="B104"/>
  <c r="B106" s="1"/>
  <c r="AT47"/>
  <c r="AT25" s="1"/>
  <c r="U16"/>
  <c r="AJ38" s="1"/>
  <c r="AE14"/>
  <c r="AK36" s="1"/>
  <c r="K14"/>
  <c r="U13"/>
  <c r="AJ35" s="1"/>
  <c r="K11"/>
  <c r="AT39"/>
  <c r="AT17" s="1"/>
  <c r="AP12"/>
  <c r="U11"/>
  <c r="AJ33" s="1"/>
  <c r="AT44"/>
  <c r="AT22" s="1"/>
  <c r="AP42"/>
  <c r="AP40"/>
  <c r="AA161"/>
  <c r="O163"/>
  <c r="O165" s="1"/>
  <c r="O162"/>
  <c r="AA96"/>
  <c r="O98"/>
  <c r="O100" s="1"/>
  <c r="O97"/>
  <c r="N81"/>
  <c r="BD20"/>
  <c r="N78"/>
  <c r="BD16"/>
  <c r="BB23"/>
  <c r="BB20"/>
  <c r="AZ23"/>
  <c r="AZ20"/>
  <c r="U77"/>
  <c r="W77" s="1"/>
  <c r="AO37"/>
  <c r="U73"/>
  <c r="W73" s="1"/>
  <c r="AO33"/>
  <c r="AO36"/>
  <c r="AO34"/>
  <c r="AP34" s="1"/>
  <c r="AP23"/>
  <c r="AV23"/>
  <c r="AT37"/>
  <c r="AT15" s="1"/>
  <c r="AI37"/>
  <c r="AP37" s="1"/>
  <c r="AP13"/>
  <c r="AV13"/>
  <c r="N87"/>
  <c r="BD58"/>
  <c r="AI38"/>
  <c r="C27"/>
  <c r="AY7"/>
  <c r="Q81"/>
  <c r="AR42" s="1"/>
  <c r="U38"/>
  <c r="AN38" s="1"/>
  <c r="AP47"/>
  <c r="AP46"/>
  <c r="K23"/>
  <c r="U14"/>
  <c r="AJ36" s="1"/>
  <c r="AE13"/>
  <c r="AK35" s="1"/>
  <c r="K13"/>
  <c r="AP41"/>
  <c r="AP39"/>
  <c r="AT42"/>
  <c r="AT40"/>
  <c r="AT18" s="1"/>
  <c r="AT34"/>
  <c r="AT12" s="1"/>
  <c r="AF37" i="7"/>
  <c r="BB15" s="1"/>
  <c r="AE34"/>
  <c r="U34"/>
  <c r="AN34" s="1"/>
  <c r="AZ23"/>
  <c r="AZ20"/>
  <c r="K38"/>
  <c r="AM38" s="1"/>
  <c r="L37"/>
  <c r="AZ15" s="1"/>
  <c r="L33"/>
  <c r="AZ11" s="1"/>
  <c r="K13"/>
  <c r="AE47"/>
  <c r="AO47" s="1"/>
  <c r="U47"/>
  <c r="AN47" s="1"/>
  <c r="K45"/>
  <c r="AM45" s="1"/>
  <c r="K47"/>
  <c r="AM47" s="1"/>
  <c r="AE19"/>
  <c r="AK41" s="1"/>
  <c r="AE21"/>
  <c r="AK43" s="1"/>
  <c r="AE23"/>
  <c r="AK45" s="1"/>
  <c r="AP20"/>
  <c r="U21"/>
  <c r="AJ43" s="1"/>
  <c r="AP22"/>
  <c r="BE22" s="1"/>
  <c r="AP25"/>
  <c r="U25"/>
  <c r="AJ47" s="1"/>
  <c r="K11"/>
  <c r="AI33" s="1"/>
  <c r="AV18"/>
  <c r="AV20"/>
  <c r="K21"/>
  <c r="K23"/>
  <c r="K25"/>
  <c r="K15"/>
  <c r="AV22"/>
  <c r="K34"/>
  <c r="AM34" s="1"/>
  <c r="K40"/>
  <c r="AM40" s="1"/>
  <c r="K42"/>
  <c r="AM42" s="1"/>
  <c r="K46"/>
  <c r="AM46" s="1"/>
  <c r="AP58"/>
  <c r="AP12"/>
  <c r="AV12"/>
  <c r="AL34"/>
  <c r="AY12"/>
  <c r="AV14"/>
  <c r="AL36"/>
  <c r="AY14"/>
  <c r="AI37"/>
  <c r="AL41"/>
  <c r="AY19"/>
  <c r="AI44"/>
  <c r="AR22"/>
  <c r="AL44"/>
  <c r="AY22"/>
  <c r="BF22" s="1"/>
  <c r="AY23"/>
  <c r="AL45"/>
  <c r="AX7"/>
  <c r="AG5"/>
  <c r="AL33"/>
  <c r="AY11"/>
  <c r="AI35"/>
  <c r="AL35"/>
  <c r="AY13"/>
  <c r="AL37"/>
  <c r="AY15"/>
  <c r="AL38"/>
  <c r="AY16"/>
  <c r="AI39"/>
  <c r="BE17"/>
  <c r="AR17"/>
  <c r="AL39"/>
  <c r="AY17"/>
  <c r="BF17" s="1"/>
  <c r="AI40"/>
  <c r="BE18"/>
  <c r="AR18"/>
  <c r="AL40"/>
  <c r="AY18"/>
  <c r="AI42"/>
  <c r="AL42"/>
  <c r="AY20"/>
  <c r="AT43"/>
  <c r="AT21" s="1"/>
  <c r="AI43"/>
  <c r="AP43" s="1"/>
  <c r="AL43"/>
  <c r="AY21"/>
  <c r="AI45"/>
  <c r="BF18"/>
  <c r="AL47"/>
  <c r="AY25"/>
  <c r="AM27"/>
  <c r="AN27" s="1"/>
  <c r="AO27" s="1"/>
  <c r="U85" s="1"/>
  <c r="W85" s="1"/>
  <c r="AW27"/>
  <c r="AO39"/>
  <c r="AO44"/>
  <c r="K74"/>
  <c r="I74"/>
  <c r="K77"/>
  <c r="I77"/>
  <c r="I87"/>
  <c r="K87"/>
  <c r="K88"/>
  <c r="I88"/>
  <c r="N88" s="1"/>
  <c r="B100"/>
  <c r="B102" s="1"/>
  <c r="B103"/>
  <c r="B121"/>
  <c r="B122" s="1"/>
  <c r="B124" s="1"/>
  <c r="B118"/>
  <c r="B120" s="1"/>
  <c r="O144"/>
  <c r="O146" s="1"/>
  <c r="O143"/>
  <c r="AA142"/>
  <c r="B160"/>
  <c r="B157"/>
  <c r="B159" s="1"/>
  <c r="AW7"/>
  <c r="V11"/>
  <c r="AW11" s="1"/>
  <c r="AF11"/>
  <c r="AX11" s="1"/>
  <c r="BF11"/>
  <c r="K12"/>
  <c r="U12"/>
  <c r="AJ34" s="1"/>
  <c r="AE12"/>
  <c r="AK34" s="1"/>
  <c r="V13"/>
  <c r="AW13" s="1"/>
  <c r="AF13"/>
  <c r="AX13" s="1"/>
  <c r="BF13"/>
  <c r="K14"/>
  <c r="U14"/>
  <c r="AJ36" s="1"/>
  <c r="AE14"/>
  <c r="AK36" s="1"/>
  <c r="V15"/>
  <c r="AW15" s="1"/>
  <c r="AF15"/>
  <c r="AX15" s="1"/>
  <c r="AV15"/>
  <c r="L16"/>
  <c r="V16"/>
  <c r="AW16" s="1"/>
  <c r="AF16"/>
  <c r="AX16" s="1"/>
  <c r="AE17"/>
  <c r="AK39" s="1"/>
  <c r="AV17"/>
  <c r="AE18"/>
  <c r="AK40" s="1"/>
  <c r="L19"/>
  <c r="V19"/>
  <c r="AW19" s="1"/>
  <c r="BF19"/>
  <c r="AE20"/>
  <c r="AK42" s="1"/>
  <c r="AP21"/>
  <c r="BE21" s="1"/>
  <c r="BF21"/>
  <c r="AE22"/>
  <c r="AK44" s="1"/>
  <c r="V23"/>
  <c r="AW23" s="1"/>
  <c r="BF24"/>
  <c r="AI46"/>
  <c r="AL46"/>
  <c r="AY24"/>
  <c r="AI47"/>
  <c r="AO34"/>
  <c r="U74"/>
  <c r="W74" s="1"/>
  <c r="AO41"/>
  <c r="AO46"/>
  <c r="Q88"/>
  <c r="Q85"/>
  <c r="Q84"/>
  <c r="AR45" s="1"/>
  <c r="Q77"/>
  <c r="AR37" s="1"/>
  <c r="Q74"/>
  <c r="AR34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B141"/>
  <c r="B138"/>
  <c r="B140" s="1"/>
  <c r="O155"/>
  <c r="O157" s="1"/>
  <c r="O154"/>
  <c r="AA153"/>
  <c r="BF23"/>
  <c r="AE25"/>
  <c r="AK47" s="1"/>
  <c r="U45"/>
  <c r="AN45" s="1"/>
  <c r="AE45"/>
  <c r="AK138"/>
  <c r="AD181"/>
  <c r="AF24"/>
  <c r="AX24" s="1"/>
  <c r="AV25"/>
  <c r="U33"/>
  <c r="AN33" s="1"/>
  <c r="AE33"/>
  <c r="K35"/>
  <c r="AM35" s="1"/>
  <c r="U35"/>
  <c r="AN35" s="1"/>
  <c r="AE35"/>
  <c r="L36"/>
  <c r="AZ14" s="1"/>
  <c r="V36"/>
  <c r="BA14" s="1"/>
  <c r="AF36"/>
  <c r="BB14" s="1"/>
  <c r="U37"/>
  <c r="AN37" s="1"/>
  <c r="V38"/>
  <c r="BA16" s="1"/>
  <c r="AF38"/>
  <c r="BB16" s="1"/>
  <c r="AE58"/>
  <c r="AK62" s="1"/>
  <c r="AP62" s="1"/>
  <c r="AV58"/>
  <c r="K73"/>
  <c r="K75"/>
  <c r="I78"/>
  <c r="K79"/>
  <c r="I81"/>
  <c r="Q81" s="1"/>
  <c r="AR42" s="1"/>
  <c r="K83"/>
  <c r="G87"/>
  <c r="I89"/>
  <c r="N89" s="1"/>
  <c r="O96"/>
  <c r="O121"/>
  <c r="O122" s="1"/>
  <c r="O160"/>
  <c r="O161" s="1"/>
  <c r="C71"/>
  <c r="G81"/>
  <c r="O134"/>
  <c r="AI33" i="6"/>
  <c r="BE11"/>
  <c r="AR11"/>
  <c r="AL35"/>
  <c r="AY13"/>
  <c r="AL36"/>
  <c r="AY14"/>
  <c r="AW15"/>
  <c r="AP15"/>
  <c r="AL37"/>
  <c r="AY15"/>
  <c r="AT39"/>
  <c r="AT17" s="1"/>
  <c r="AI39"/>
  <c r="AL39"/>
  <c r="AY17"/>
  <c r="AP19"/>
  <c r="AV19"/>
  <c r="AL41"/>
  <c r="AY19"/>
  <c r="AI42"/>
  <c r="AT42"/>
  <c r="AL44"/>
  <c r="AY22"/>
  <c r="AY23"/>
  <c r="AL45"/>
  <c r="BF13"/>
  <c r="C27"/>
  <c r="AY7"/>
  <c r="AL33"/>
  <c r="AY11"/>
  <c r="AL34"/>
  <c r="AY12"/>
  <c r="AI35"/>
  <c r="AI37"/>
  <c r="AV16"/>
  <c r="AL38"/>
  <c r="AY16"/>
  <c r="AI40"/>
  <c r="AT40"/>
  <c r="AT18" s="1"/>
  <c r="AL40"/>
  <c r="AY18"/>
  <c r="AL42"/>
  <c r="AY20"/>
  <c r="AI43"/>
  <c r="BE21"/>
  <c r="AR21"/>
  <c r="AL43"/>
  <c r="AY21"/>
  <c r="BF21" s="1"/>
  <c r="AI44"/>
  <c r="AI45"/>
  <c r="BF11"/>
  <c r="AP13"/>
  <c r="BF19"/>
  <c r="BF22"/>
  <c r="AT46"/>
  <c r="AT24" s="1"/>
  <c r="AI46"/>
  <c r="AI47"/>
  <c r="AL47"/>
  <c r="AY25"/>
  <c r="AM27"/>
  <c r="AN27" s="1"/>
  <c r="AO27" s="1"/>
  <c r="U85" s="1"/>
  <c r="W85" s="1"/>
  <c r="AW27"/>
  <c r="AO37"/>
  <c r="U79"/>
  <c r="W79" s="1"/>
  <c r="AO39"/>
  <c r="AO44"/>
  <c r="U84"/>
  <c r="W84" s="1"/>
  <c r="U81"/>
  <c r="W81" s="1"/>
  <c r="AO46"/>
  <c r="K74"/>
  <c r="I74"/>
  <c r="K77"/>
  <c r="I77"/>
  <c r="I87"/>
  <c r="K87"/>
  <c r="K88"/>
  <c r="I88"/>
  <c r="N88" s="1"/>
  <c r="B100"/>
  <c r="B102" s="1"/>
  <c r="B103"/>
  <c r="B104" s="1"/>
  <c r="B106" s="1"/>
  <c r="B121"/>
  <c r="B118"/>
  <c r="B120" s="1"/>
  <c r="O144"/>
  <c r="O146" s="1"/>
  <c r="O143"/>
  <c r="AA142"/>
  <c r="B160"/>
  <c r="B161" s="1"/>
  <c r="B163" s="1"/>
  <c r="B157"/>
  <c r="B159" s="1"/>
  <c r="AX7"/>
  <c r="U11"/>
  <c r="AJ33" s="1"/>
  <c r="AE11"/>
  <c r="AK33" s="1"/>
  <c r="L12"/>
  <c r="V12"/>
  <c r="AW12" s="1"/>
  <c r="AF12"/>
  <c r="AX12" s="1"/>
  <c r="U13"/>
  <c r="AJ35" s="1"/>
  <c r="AE13"/>
  <c r="AK35" s="1"/>
  <c r="L14"/>
  <c r="K14" s="1"/>
  <c r="V14"/>
  <c r="AW14" s="1"/>
  <c r="AF14"/>
  <c r="AX14" s="1"/>
  <c r="U15"/>
  <c r="AJ37" s="1"/>
  <c r="AE15"/>
  <c r="AK37" s="1"/>
  <c r="K16"/>
  <c r="U16"/>
  <c r="AJ38" s="1"/>
  <c r="AE16"/>
  <c r="AK38" s="1"/>
  <c r="AP17"/>
  <c r="BE17" s="1"/>
  <c r="BF17"/>
  <c r="AP18"/>
  <c r="BE18" s="1"/>
  <c r="BF18"/>
  <c r="K19"/>
  <c r="U19"/>
  <c r="AJ41" s="1"/>
  <c r="AE19"/>
  <c r="AK41" s="1"/>
  <c r="AP20"/>
  <c r="AE21"/>
  <c r="AK43" s="1"/>
  <c r="AV21"/>
  <c r="AF22"/>
  <c r="AX22" s="1"/>
  <c r="AP22"/>
  <c r="U23"/>
  <c r="AJ45" s="1"/>
  <c r="AE23"/>
  <c r="AK45" s="1"/>
  <c r="AV23"/>
  <c r="AL46"/>
  <c r="AY24"/>
  <c r="AO34"/>
  <c r="U80"/>
  <c r="W80" s="1"/>
  <c r="AO41"/>
  <c r="Q88"/>
  <c r="Q85"/>
  <c r="Q84"/>
  <c r="AR45" s="1"/>
  <c r="Q77"/>
  <c r="AR37" s="1"/>
  <c r="Q74"/>
  <c r="AR34" s="1"/>
  <c r="N71"/>
  <c r="Q87"/>
  <c r="AR62" s="1"/>
  <c r="Q86"/>
  <c r="AR47" s="1"/>
  <c r="Q83"/>
  <c r="AR44" s="1"/>
  <c r="Q82"/>
  <c r="Q80"/>
  <c r="AR41" s="1"/>
  <c r="Q79"/>
  <c r="AR39" s="1"/>
  <c r="Q75"/>
  <c r="AR35" s="1"/>
  <c r="Q73"/>
  <c r="AR33" s="1"/>
  <c r="Q71"/>
  <c r="Q70"/>
  <c r="K76"/>
  <c r="I76"/>
  <c r="N86"/>
  <c r="BD25"/>
  <c r="O106"/>
  <c r="O108" s="1"/>
  <c r="O105"/>
  <c r="AA104"/>
  <c r="O116"/>
  <c r="O118" s="1"/>
  <c r="O115"/>
  <c r="AA114"/>
  <c r="B141"/>
  <c r="B142" s="1"/>
  <c r="B144" s="1"/>
  <c r="B138"/>
  <c r="B140" s="1"/>
  <c r="O155"/>
  <c r="O157" s="1"/>
  <c r="O154"/>
  <c r="AA153"/>
  <c r="AR17"/>
  <c r="AR18"/>
  <c r="BF23"/>
  <c r="X179"/>
  <c r="AD181" s="1"/>
  <c r="AP24"/>
  <c r="AR24" s="1"/>
  <c r="BF24"/>
  <c r="AE25"/>
  <c r="AK47" s="1"/>
  <c r="AV25"/>
  <c r="U33"/>
  <c r="AN33" s="1"/>
  <c r="AE33"/>
  <c r="K35"/>
  <c r="AM35" s="1"/>
  <c r="U35"/>
  <c r="AN35" s="1"/>
  <c r="AE35"/>
  <c r="L36"/>
  <c r="AZ14" s="1"/>
  <c r="V36"/>
  <c r="BA14" s="1"/>
  <c r="AF36"/>
  <c r="BB14" s="1"/>
  <c r="U37"/>
  <c r="AN37" s="1"/>
  <c r="V38"/>
  <c r="BA16" s="1"/>
  <c r="AF38"/>
  <c r="BB16" s="1"/>
  <c r="V45"/>
  <c r="AF45"/>
  <c r="AE58"/>
  <c r="AK62" s="1"/>
  <c r="AP62" s="1"/>
  <c r="K73"/>
  <c r="K75"/>
  <c r="I78"/>
  <c r="K79"/>
  <c r="I81"/>
  <c r="Q81" s="1"/>
  <c r="AR42" s="1"/>
  <c r="K83"/>
  <c r="G87"/>
  <c r="I89"/>
  <c r="N89" s="1"/>
  <c r="O96"/>
  <c r="O121"/>
  <c r="O122" s="1"/>
  <c r="AA134"/>
  <c r="O160"/>
  <c r="O161" s="1"/>
  <c r="C71"/>
  <c r="G81"/>
  <c r="O135"/>
  <c r="BE26" i="9" l="1"/>
  <c r="AQ66"/>
  <c r="BB7"/>
  <c r="B1"/>
  <c r="B3" s="1"/>
  <c r="BF26"/>
  <c r="AT48"/>
  <c r="AR1" s="1"/>
  <c r="AT23"/>
  <c r="AT20"/>
  <c r="AI45" i="8"/>
  <c r="AP45" s="1"/>
  <c r="AT45"/>
  <c r="M27"/>
  <c r="C60"/>
  <c r="M60" s="1"/>
  <c r="W60" s="1"/>
  <c r="AZ7"/>
  <c r="BE13"/>
  <c r="AR13"/>
  <c r="BE23"/>
  <c r="AR23"/>
  <c r="AT33"/>
  <c r="AI33"/>
  <c r="AP33" s="1"/>
  <c r="AI36"/>
  <c r="AT36"/>
  <c r="AT14" s="1"/>
  <c r="U75"/>
  <c r="W75" s="1"/>
  <c r="U76"/>
  <c r="W76" s="1"/>
  <c r="AZ28"/>
  <c r="BD30" s="1"/>
  <c r="U86"/>
  <c r="W86" s="1"/>
  <c r="AT35"/>
  <c r="AT13" s="1"/>
  <c r="AI35"/>
  <c r="AP35" s="1"/>
  <c r="BF58"/>
  <c r="BE58"/>
  <c r="AR58"/>
  <c r="BE16"/>
  <c r="AR16"/>
  <c r="BF16"/>
  <c r="BF20"/>
  <c r="BE20"/>
  <c r="AR20"/>
  <c r="AN36"/>
  <c r="AT62"/>
  <c r="AT58" s="1"/>
  <c r="AO38"/>
  <c r="AP38" s="1"/>
  <c r="U78"/>
  <c r="W78" s="1"/>
  <c r="BF12"/>
  <c r="AR12"/>
  <c r="BE12"/>
  <c r="BF15"/>
  <c r="BE15"/>
  <c r="AR15"/>
  <c r="AR48"/>
  <c r="BE11"/>
  <c r="AR11"/>
  <c r="BE14"/>
  <c r="AR14"/>
  <c r="BF14"/>
  <c r="AT38"/>
  <c r="AT16" s="1"/>
  <c r="U82"/>
  <c r="W82" s="1"/>
  <c r="AE37" i="7"/>
  <c r="AO37" s="1"/>
  <c r="K37"/>
  <c r="AM37" s="1"/>
  <c r="K33"/>
  <c r="AM33" s="1"/>
  <c r="AP11"/>
  <c r="AR11" s="1"/>
  <c r="AE38"/>
  <c r="AR21"/>
  <c r="O136"/>
  <c r="O138" s="1"/>
  <c r="O135"/>
  <c r="AA134"/>
  <c r="AA122"/>
  <c r="O124"/>
  <c r="O126" s="1"/>
  <c r="O123"/>
  <c r="AO35"/>
  <c r="AV19"/>
  <c r="AP19"/>
  <c r="AV16"/>
  <c r="AZ28" s="1"/>
  <c r="BD30" s="1"/>
  <c r="AP16"/>
  <c r="AI36"/>
  <c r="N77"/>
  <c r="BD15"/>
  <c r="N74"/>
  <c r="BD12"/>
  <c r="AP24"/>
  <c r="U38"/>
  <c r="AN38" s="1"/>
  <c r="AE24"/>
  <c r="B142"/>
  <c r="B144" s="1"/>
  <c r="Q89"/>
  <c r="AP47"/>
  <c r="AE36"/>
  <c r="K36"/>
  <c r="AP23"/>
  <c r="AP13"/>
  <c r="B161"/>
  <c r="B163" s="1"/>
  <c r="B104"/>
  <c r="B106" s="1"/>
  <c r="AE15"/>
  <c r="AK37" s="1"/>
  <c r="AP15"/>
  <c r="AP42"/>
  <c r="AP40"/>
  <c r="AT39"/>
  <c r="AT17" s="1"/>
  <c r="U19"/>
  <c r="U16"/>
  <c r="AJ38" s="1"/>
  <c r="U13"/>
  <c r="AE11"/>
  <c r="AK33" s="1"/>
  <c r="AT44"/>
  <c r="AT22" s="1"/>
  <c r="AP14"/>
  <c r="AA161"/>
  <c r="O163"/>
  <c r="O165" s="1"/>
  <c r="O162"/>
  <c r="AA96"/>
  <c r="O98"/>
  <c r="O100" s="1"/>
  <c r="O97"/>
  <c r="N81"/>
  <c r="BD20"/>
  <c r="N78"/>
  <c r="BD16"/>
  <c r="AO33"/>
  <c r="AO45"/>
  <c r="AO38"/>
  <c r="BF25"/>
  <c r="BE25"/>
  <c r="AR25"/>
  <c r="N76"/>
  <c r="BD14"/>
  <c r="AI34"/>
  <c r="AP34" s="1"/>
  <c r="AT34"/>
  <c r="AT12" s="1"/>
  <c r="N87"/>
  <c r="BD58"/>
  <c r="C27"/>
  <c r="AY7"/>
  <c r="Q76"/>
  <c r="AR36" s="1"/>
  <c r="Q78"/>
  <c r="AT47"/>
  <c r="AT25" s="1"/>
  <c r="U36"/>
  <c r="AN36" s="1"/>
  <c r="AR48"/>
  <c r="U83"/>
  <c r="W83" s="1"/>
  <c r="U79"/>
  <c r="W79" s="1"/>
  <c r="U15"/>
  <c r="U77" s="1"/>
  <c r="W77" s="1"/>
  <c r="AT42"/>
  <c r="AT40"/>
  <c r="AT18" s="1"/>
  <c r="AP39"/>
  <c r="U23"/>
  <c r="U82" s="1"/>
  <c r="W82" s="1"/>
  <c r="K19"/>
  <c r="AE16"/>
  <c r="AK38" s="1"/>
  <c r="K16"/>
  <c r="AE13"/>
  <c r="AK35" s="1"/>
  <c r="BE11"/>
  <c r="U11"/>
  <c r="AP44"/>
  <c r="AI36" i="6"/>
  <c r="AA161"/>
  <c r="O163"/>
  <c r="O165" s="1"/>
  <c r="O162"/>
  <c r="AA122"/>
  <c r="O124"/>
  <c r="O126" s="1"/>
  <c r="O123"/>
  <c r="BA23"/>
  <c r="BA20"/>
  <c r="U73"/>
  <c r="W73" s="1"/>
  <c r="AO33"/>
  <c r="BE22"/>
  <c r="AR22"/>
  <c r="AI38"/>
  <c r="AV12"/>
  <c r="AP12"/>
  <c r="N77"/>
  <c r="BD15"/>
  <c r="N74"/>
  <c r="BD12"/>
  <c r="M27"/>
  <c r="C60"/>
  <c r="M60" s="1"/>
  <c r="W60" s="1"/>
  <c r="AZ7"/>
  <c r="U45"/>
  <c r="AN45" s="1"/>
  <c r="U38"/>
  <c r="AN38" s="1"/>
  <c r="Q89"/>
  <c r="AP23"/>
  <c r="AE36"/>
  <c r="K36"/>
  <c r="U77"/>
  <c r="W77" s="1"/>
  <c r="AT47"/>
  <c r="AT25" s="1"/>
  <c r="AE14"/>
  <c r="AK36" s="1"/>
  <c r="AT43"/>
  <c r="AT21" s="1"/>
  <c r="AP40"/>
  <c r="AP16"/>
  <c r="AT37"/>
  <c r="AT15" s="1"/>
  <c r="AT35"/>
  <c r="AT13" s="1"/>
  <c r="U12"/>
  <c r="AJ34" s="1"/>
  <c r="AP39"/>
  <c r="AT33"/>
  <c r="AA96"/>
  <c r="O98"/>
  <c r="O100" s="1"/>
  <c r="O97"/>
  <c r="N81"/>
  <c r="BD20"/>
  <c r="N78"/>
  <c r="BD16"/>
  <c r="BB23"/>
  <c r="BB20"/>
  <c r="U75"/>
  <c r="W75" s="1"/>
  <c r="AO35"/>
  <c r="BF25"/>
  <c r="BE25"/>
  <c r="AR25"/>
  <c r="N76"/>
  <c r="BD14"/>
  <c r="AT41"/>
  <c r="AT19" s="1"/>
  <c r="AI41"/>
  <c r="AP41" s="1"/>
  <c r="AV14"/>
  <c r="AP14"/>
  <c r="N87"/>
  <c r="BD58"/>
  <c r="BE13"/>
  <c r="AR13"/>
  <c r="BE19"/>
  <c r="AR19"/>
  <c r="AE45"/>
  <c r="AE38"/>
  <c r="Q76"/>
  <c r="AR36" s="1"/>
  <c r="Q78"/>
  <c r="U36"/>
  <c r="AN36" s="1"/>
  <c r="BE24"/>
  <c r="B122"/>
  <c r="B124" s="1"/>
  <c r="AP47"/>
  <c r="AP46"/>
  <c r="U14"/>
  <c r="AJ36" s="1"/>
  <c r="AT45"/>
  <c r="AP43"/>
  <c r="AP37"/>
  <c r="AP35"/>
  <c r="AE22"/>
  <c r="AE12"/>
  <c r="K12"/>
  <c r="AP42"/>
  <c r="AP33"/>
  <c r="W27" i="8" l="1"/>
  <c r="BA7"/>
  <c r="BE26"/>
  <c r="AT48"/>
  <c r="AT11"/>
  <c r="AT23"/>
  <c r="AT20"/>
  <c r="AR1"/>
  <c r="BF26"/>
  <c r="AP36"/>
  <c r="AQ66" s="1"/>
  <c r="AT36" i="7"/>
  <c r="AT14" s="1"/>
  <c r="AI38"/>
  <c r="AP38" s="1"/>
  <c r="AT38"/>
  <c r="AT16" s="1"/>
  <c r="AT41"/>
  <c r="AT19" s="1"/>
  <c r="AI41"/>
  <c r="AR40"/>
  <c r="AR38"/>
  <c r="BF58"/>
  <c r="BE58"/>
  <c r="AR58"/>
  <c r="BF14"/>
  <c r="BE14"/>
  <c r="AR14"/>
  <c r="BE16"/>
  <c r="AR16"/>
  <c r="BF16"/>
  <c r="BF20"/>
  <c r="BE20"/>
  <c r="AR20"/>
  <c r="BE23"/>
  <c r="AR23"/>
  <c r="U76"/>
  <c r="W76" s="1"/>
  <c r="AO36"/>
  <c r="AP36" s="1"/>
  <c r="BF12"/>
  <c r="BE12"/>
  <c r="AR12"/>
  <c r="BF15"/>
  <c r="BE15"/>
  <c r="AR15"/>
  <c r="AR19"/>
  <c r="BE19"/>
  <c r="AJ33"/>
  <c r="AP33" s="1"/>
  <c r="AT33"/>
  <c r="AJ45"/>
  <c r="AP45" s="1"/>
  <c r="AT45"/>
  <c r="AJ37"/>
  <c r="AP37" s="1"/>
  <c r="AT37"/>
  <c r="AT15" s="1"/>
  <c r="M27"/>
  <c r="C60"/>
  <c r="M60" s="1"/>
  <c r="W60" s="1"/>
  <c r="AZ7"/>
  <c r="AJ35"/>
  <c r="AP35" s="1"/>
  <c r="AT35"/>
  <c r="AT13" s="1"/>
  <c r="AJ41"/>
  <c r="U80"/>
  <c r="W80" s="1"/>
  <c r="BE13"/>
  <c r="AR13"/>
  <c r="AT62"/>
  <c r="AT58" s="1"/>
  <c r="AM36"/>
  <c r="AK46"/>
  <c r="AP46" s="1"/>
  <c r="AT46"/>
  <c r="AT24" s="1"/>
  <c r="U84"/>
  <c r="W84" s="1"/>
  <c r="U81"/>
  <c r="W81" s="1"/>
  <c r="BE24"/>
  <c r="AR24"/>
  <c r="U78"/>
  <c r="W78" s="1"/>
  <c r="U86"/>
  <c r="W86" s="1"/>
  <c r="U73"/>
  <c r="W73" s="1"/>
  <c r="U75"/>
  <c r="W75" s="1"/>
  <c r="AK34" i="6"/>
  <c r="U74"/>
  <c r="W74" s="1"/>
  <c r="AT23"/>
  <c r="AT20"/>
  <c r="U86"/>
  <c r="W86" s="1"/>
  <c r="U82"/>
  <c r="W82" s="1"/>
  <c r="AO45"/>
  <c r="AP45" s="1"/>
  <c r="BF16"/>
  <c r="BE16"/>
  <c r="AR16"/>
  <c r="BE20"/>
  <c r="AR20"/>
  <c r="BF20"/>
  <c r="AM36"/>
  <c r="BE23"/>
  <c r="AR23"/>
  <c r="W27"/>
  <c r="BA7"/>
  <c r="AZ28"/>
  <c r="BD30" s="1"/>
  <c r="AI34"/>
  <c r="AP34" s="1"/>
  <c r="AT34"/>
  <c r="AT12" s="1"/>
  <c r="AK44"/>
  <c r="AP44" s="1"/>
  <c r="AT44"/>
  <c r="AT22" s="1"/>
  <c r="U83"/>
  <c r="W83" s="1"/>
  <c r="AR40"/>
  <c r="AR38"/>
  <c r="AO38"/>
  <c r="AP38" s="1"/>
  <c r="U78"/>
  <c r="W78" s="1"/>
  <c r="BF58"/>
  <c r="BE58"/>
  <c r="AR58"/>
  <c r="BE14"/>
  <c r="AR14"/>
  <c r="BF14"/>
  <c r="AT11"/>
  <c r="U76"/>
  <c r="W76" s="1"/>
  <c r="AO36"/>
  <c r="AT62" s="1"/>
  <c r="AT58" s="1"/>
  <c r="BE12"/>
  <c r="BE26" s="1"/>
  <c r="AR12"/>
  <c r="BF12"/>
  <c r="BF26" s="1"/>
  <c r="BE15"/>
  <c r="AR15"/>
  <c r="BF15"/>
  <c r="AR48"/>
  <c r="AT38"/>
  <c r="AT16" s="1"/>
  <c r="AT36"/>
  <c r="AT14" s="1"/>
  <c r="BB7" i="8" l="1"/>
  <c r="B1"/>
  <c r="B3" s="1"/>
  <c r="BE26" i="7"/>
  <c r="AT23"/>
  <c r="AT20"/>
  <c r="AT48"/>
  <c r="AR1" s="1"/>
  <c r="AT11"/>
  <c r="BF26"/>
  <c r="W27"/>
  <c r="BA7"/>
  <c r="AQ66"/>
  <c r="AP41"/>
  <c r="AT48" i="6"/>
  <c r="AR1" s="1"/>
  <c r="AP36"/>
  <c r="AQ66" s="1"/>
  <c r="BB7"/>
  <c r="B3"/>
  <c r="BB7" i="7" l="1"/>
  <c r="B1"/>
  <c r="B3" s="1"/>
  <c r="BD19" i="16" l="1"/>
  <c r="Q80"/>
  <c r="AR41" s="1"/>
  <c r="N80"/>
  <c r="BD18"/>
  <c r="BE18" l="1"/>
  <c r="BF18"/>
  <c r="AR18"/>
  <c r="BE19"/>
  <c r="AR19"/>
  <c r="BF19"/>
  <c r="BE26" l="1"/>
  <c r="BF26"/>
</calcChain>
</file>

<file path=xl/comments1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0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1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2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3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4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5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6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7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8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9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8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0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1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2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3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4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5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6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7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8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9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9" authorId="1">
      <text>
        <r>
          <rPr>
            <sz val="8"/>
            <color indexed="81"/>
            <rFont val="Tahoma"/>
            <family val="2"/>
          </rPr>
          <t>Basico modificado al 10/11/2011 de 20.00 a 22.4286 ICC (11/11/11 13:02h)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3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3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4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5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6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7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8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9.xml><?xml version="1.0" encoding="utf-8"?>
<comments xmlns="http://schemas.openxmlformats.org/spreadsheetml/2006/main">
  <authors>
    <author>Cesar Quispe Ramos</author>
    <author>Cesar Quispe R.</author>
  </authors>
  <commentList>
    <comment ref="Z16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8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3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sharedStrings.xml><?xml version="1.0" encoding="utf-8"?>
<sst xmlns="http://schemas.openxmlformats.org/spreadsheetml/2006/main" count="9616" uniqueCount="148">
  <si>
    <t>.</t>
  </si>
  <si>
    <t>TRABAJADOR</t>
  </si>
  <si>
    <t>*</t>
  </si>
  <si>
    <t>Horas Extras    y Costo Acumulado de la Semana S/.</t>
  </si>
  <si>
    <t>Mov. por Asistencia</t>
  </si>
  <si>
    <t>Resumen de Horas</t>
  </si>
  <si>
    <t>Costo por hora extra NETO</t>
  </si>
  <si>
    <t>Costo Acumulado en semana a pagar NETO</t>
  </si>
  <si>
    <t>Costo Dominical x semana a pagar NETO</t>
  </si>
  <si>
    <t>Extras en la semana</t>
  </si>
  <si>
    <t>Horas Trabajadas</t>
  </si>
  <si>
    <t>Refrigerio</t>
  </si>
  <si>
    <t>Horas Acum</t>
  </si>
  <si>
    <t>Hrs. Incr 35%</t>
  </si>
  <si>
    <t>TOTAL</t>
  </si>
  <si>
    <t>Hrs Extras</t>
  </si>
  <si>
    <t>Horas X Pagar</t>
  </si>
  <si>
    <t xml:space="preserve">  </t>
  </si>
  <si>
    <t>Saldo Sem Ant</t>
  </si>
  <si>
    <t xml:space="preserve">   S A L D O</t>
  </si>
  <si>
    <t>Incremento en S/. DS-07-2002-TR 35% (cod 2215)</t>
  </si>
  <si>
    <t>Dias de Asistencia</t>
  </si>
  <si>
    <t>Tot.  Horas</t>
  </si>
  <si>
    <t>Total</t>
  </si>
  <si>
    <t>horas sin domingo</t>
  </si>
  <si>
    <t>* NOTA:   .</t>
  </si>
  <si>
    <t>Rev. Por : ...........................................</t>
  </si>
  <si>
    <t>Vo.Bo. : ......................................</t>
  </si>
  <si>
    <t>*** Apartir de la semana 45/2010 a J_Manrique se le incrementa a 33.32 diario (antes S/. 17.60 + f_planilla)</t>
  </si>
  <si>
    <t xml:space="preserve"> Apartir del 01/06/2016 la R.M.V. es de S/ 850.00=</t>
  </si>
  <si>
    <t xml:space="preserve"> </t>
  </si>
  <si>
    <t>Total de horas por compensar:</t>
  </si>
  <si>
    <t>Vicente</t>
  </si>
  <si>
    <t>Remun. Semanal</t>
  </si>
  <si>
    <t>Remun. por Dia</t>
  </si>
  <si>
    <r>
      <t>Rem. por Dia Trabajado</t>
    </r>
    <r>
      <rPr>
        <sz val="9"/>
        <color indexed="10"/>
        <rFont val="Arial"/>
        <family val="2"/>
      </rPr>
      <t xml:space="preserve"> [Pago por Recibo]</t>
    </r>
  </si>
  <si>
    <t>Rem. por Hora</t>
  </si>
  <si>
    <t>Remuner. Mensual</t>
  </si>
  <si>
    <t>Rem. por Hora NETO</t>
  </si>
  <si>
    <t>Sobretasa 35% por  Hora</t>
  </si>
  <si>
    <t>Horas Acumuladas Semana</t>
  </si>
  <si>
    <t>Horas de Jornada Semanal</t>
  </si>
  <si>
    <t>Saldo de Horas por Trabajar</t>
  </si>
  <si>
    <t>Horas con Sobretasa  35%</t>
  </si>
  <si>
    <t>ICC</t>
  </si>
  <si>
    <t>Galicia</t>
  </si>
  <si>
    <t>Pulido</t>
  </si>
  <si>
    <t>Remuneracion Minima Vital</t>
  </si>
  <si>
    <t>Minimo Vital por Amanecida (35%)</t>
  </si>
  <si>
    <t>Eduardo Segura D.</t>
  </si>
  <si>
    <t>Cesar Mendez M.</t>
  </si>
  <si>
    <t>Miguel Tejada Ll.</t>
  </si>
  <si>
    <t>Alejandro Dueñas</t>
  </si>
  <si>
    <t>Victor Rojas Jorge</t>
  </si>
  <si>
    <t>Reingreso al: Mar 20-10-2015</t>
  </si>
  <si>
    <t>Juan Manrique V.</t>
  </si>
  <si>
    <t xml:space="preserve"> Irving Huaringa B.</t>
  </si>
  <si>
    <t>http://www.youtube.com/watch?v=4viSziGUps4</t>
  </si>
  <si>
    <t xml:space="preserve">   .  -  </t>
  </si>
  <si>
    <t>Luis Gomez U.</t>
  </si>
  <si>
    <t>Kevin Ortiz J.</t>
  </si>
  <si>
    <t>Jaime Lizarbe C.</t>
  </si>
  <si>
    <t>Antony Tejada Ch.</t>
  </si>
  <si>
    <t>CEQR</t>
  </si>
  <si>
    <t>Gilver Fernandez Q.</t>
  </si>
  <si>
    <t>Isidro Tito</t>
  </si>
  <si>
    <t>Mensual</t>
  </si>
  <si>
    <t>Semanal</t>
  </si>
  <si>
    <r>
      <t xml:space="preserve">Trabajador </t>
    </r>
    <r>
      <rPr>
        <b/>
        <sz val="10"/>
        <rFont val="Arial"/>
        <family val="2"/>
      </rPr>
      <t>SIN</t>
    </r>
    <r>
      <rPr>
        <sz val="10"/>
        <rFont val="Arial"/>
        <family val="2"/>
      </rPr>
      <t xml:space="preserve"> Asignacion Familiar</t>
    </r>
  </si>
  <si>
    <t>Semanal sin movilidad y alimentacion</t>
  </si>
  <si>
    <t>Monto Bruto Mensual</t>
  </si>
  <si>
    <t xml:space="preserve">  Neto:  </t>
  </si>
  <si>
    <t>Diario</t>
  </si>
  <si>
    <t>Monto Bruto Semanal</t>
  </si>
  <si>
    <t>Monto Bruto Diario  (7d[6Tr+1Dm] + 6d[Mv+Alm] )</t>
  </si>
  <si>
    <r>
      <t xml:space="preserve">Jornal diario    </t>
    </r>
    <r>
      <rPr>
        <sz val="12"/>
        <color indexed="12"/>
        <rFont val="Arial"/>
        <family val="2"/>
      </rPr>
      <t>(cod: 1010)</t>
    </r>
  </si>
  <si>
    <t>Jornal diario si Alim ni Mov  (7d x sem)</t>
  </si>
  <si>
    <t>Movilidad y alimentacion</t>
  </si>
  <si>
    <t>Alim + Mov x dia laborado (6d x sem)</t>
  </si>
  <si>
    <t>Jornal diario incluido movilidad y alimentacion</t>
  </si>
  <si>
    <t xml:space="preserve"> 06 Dias incluido movilidad y alimentacion</t>
  </si>
  <si>
    <r>
      <t xml:space="preserve">Trabajador </t>
    </r>
    <r>
      <rPr>
        <b/>
        <sz val="10"/>
        <rFont val="Arial"/>
        <family val="2"/>
      </rPr>
      <t>CON</t>
    </r>
    <r>
      <rPr>
        <sz val="10"/>
        <rFont val="Arial"/>
        <family val="2"/>
      </rPr>
      <t xml:space="preserve"> Asignacion Familiar</t>
    </r>
  </si>
  <si>
    <t xml:space="preserve"> 01 Dominical</t>
  </si>
  <si>
    <t xml:space="preserve">   Neto:  </t>
  </si>
  <si>
    <t xml:space="preserve"> Semana incluido movilidad y alimentacion</t>
  </si>
  <si>
    <t>Jornal diario + Mov + Alm</t>
  </si>
  <si>
    <t>Alejandro Dueñas P.</t>
  </si>
  <si>
    <t>SEM 05</t>
  </si>
  <si>
    <t>SEM 04</t>
  </si>
  <si>
    <t>SEM 03</t>
  </si>
  <si>
    <t>SEM 02</t>
  </si>
  <si>
    <t>SEM 01</t>
  </si>
  <si>
    <t>REINTEGRO en S-05</t>
  </si>
  <si>
    <t>al 31/01/2017</t>
  </si>
  <si>
    <t>Incremento para el personal de taller a partir de la 1ra Semana de ABRIL-2013</t>
  </si>
  <si>
    <t>Ingreso_Dia</t>
  </si>
  <si>
    <t>Ingreso_Mes</t>
  </si>
  <si>
    <t>Nombre</t>
  </si>
  <si>
    <t>Jornal</t>
  </si>
  <si>
    <t>Alimentac</t>
  </si>
  <si>
    <t>Movilidad</t>
  </si>
  <si>
    <t>Ingr_Dia</t>
  </si>
  <si>
    <t>Ingr_Sem</t>
  </si>
  <si>
    <t>Ingr_Mens</t>
  </si>
  <si>
    <t>Sin Aumento</t>
  </si>
  <si>
    <t>Juan Manrique</t>
  </si>
  <si>
    <r>
      <t xml:space="preserve"> </t>
    </r>
    <r>
      <rPr>
        <b/>
        <sz val="14"/>
        <rFont val="Arial"/>
        <family val="2"/>
      </rPr>
      <t>&lt;</t>
    </r>
    <r>
      <rPr>
        <sz val="10"/>
        <rFont val="Arial"/>
        <family val="2"/>
      </rPr>
      <t>---</t>
    </r>
  </si>
  <si>
    <t xml:space="preserve"> + S/. 20  X semana</t>
  </si>
  <si>
    <t>Cesar Mendez</t>
  </si>
  <si>
    <t>Irving Huaringa</t>
  </si>
  <si>
    <t>Jaime Lizarbe</t>
  </si>
  <si>
    <t>Eduardo Segura</t>
  </si>
  <si>
    <t>Erick Moreno</t>
  </si>
  <si>
    <t>Victor Rojas</t>
  </si>
  <si>
    <t>ICC_01/04/13</t>
  </si>
  <si>
    <t>Incremento mensual total planilla</t>
  </si>
  <si>
    <t>Año Nuevo</t>
  </si>
  <si>
    <t>Pedro Hostos S,</t>
  </si>
  <si>
    <t>Eddie Uchupe C.</t>
  </si>
  <si>
    <t xml:space="preserve">   -  .  -</t>
  </si>
  <si>
    <t xml:space="preserve"> Venezolano</t>
  </si>
  <si>
    <t xml:space="preserve">  -  .  -  </t>
  </si>
  <si>
    <r>
      <t>Jornal por Dia Trabajado</t>
    </r>
    <r>
      <rPr>
        <sz val="9"/>
        <color indexed="10"/>
        <rFont val="Arial"/>
        <family val="2"/>
      </rPr>
      <t xml:space="preserve"> [Pago por Recibo]</t>
    </r>
  </si>
  <si>
    <t>Jose Cortez P.</t>
  </si>
  <si>
    <t>Jose Flores Z.</t>
  </si>
  <si>
    <t>FERIADO</t>
  </si>
  <si>
    <r>
      <t xml:space="preserve">Trabajador </t>
    </r>
    <r>
      <rPr>
        <b/>
        <sz val="10"/>
        <color theme="0" tint="-0.34998626667073579"/>
        <rFont val="Arial"/>
        <family val="2"/>
      </rPr>
      <t>SIN</t>
    </r>
    <r>
      <rPr>
        <sz val="10"/>
        <color theme="0" tint="-0.34998626667073579"/>
        <rFont val="Arial"/>
        <family val="2"/>
      </rPr>
      <t xml:space="preserve"> Asignacion Familiar</t>
    </r>
  </si>
  <si>
    <r>
      <t xml:space="preserve">Jornal diario    </t>
    </r>
    <r>
      <rPr>
        <sz val="12"/>
        <color theme="0" tint="-0.34998626667073579"/>
        <rFont val="Arial"/>
        <family val="2"/>
      </rPr>
      <t>(cod: 1010)</t>
    </r>
  </si>
  <si>
    <r>
      <t xml:space="preserve">Trabajador </t>
    </r>
    <r>
      <rPr>
        <b/>
        <sz val="10"/>
        <color theme="0" tint="-0.34998626667073579"/>
        <rFont val="Arial"/>
        <family val="2"/>
      </rPr>
      <t>CON</t>
    </r>
    <r>
      <rPr>
        <sz val="10"/>
        <color theme="0" tint="-0.34998626667073579"/>
        <rFont val="Arial"/>
        <family val="2"/>
      </rPr>
      <t xml:space="preserve"> Asignacion Familiar</t>
    </r>
  </si>
  <si>
    <t>Apartir del 1ro de Abril del 2018</t>
  </si>
  <si>
    <t>Incremento para el personal de taller a partir de la 1ra Semana de ABRIL-2018 x Incr RMV</t>
  </si>
  <si>
    <t>Pedro Hostos</t>
  </si>
  <si>
    <t>Edurado Segura</t>
  </si>
  <si>
    <t xml:space="preserve">Miguel Tejada </t>
  </si>
  <si>
    <t>RMV</t>
  </si>
  <si>
    <t xml:space="preserve">Incremento x </t>
  </si>
  <si>
    <t>RMV x Dia</t>
  </si>
  <si>
    <t>Incremento mensual total</t>
  </si>
  <si>
    <t>Incremento x Dia</t>
  </si>
  <si>
    <t>RMV x Dia antes del 01/04/2018</t>
  </si>
  <si>
    <t>RMVx Dia  apartir del 01/04/2018</t>
  </si>
  <si>
    <t>Ingr_Dia_Trbj</t>
  </si>
  <si>
    <t>Rafael Armas R.</t>
  </si>
  <si>
    <t>Patrick Palacios</t>
  </si>
  <si>
    <t xml:space="preserve"> Apartir del 01/04/2018 la R.M.V. es de S/ 930.00=</t>
  </si>
  <si>
    <t>MINTRA</t>
  </si>
  <si>
    <t>Jose Ochoa I.</t>
  </si>
  <si>
    <t xml:space="preserve">   </t>
  </si>
</sst>
</file>

<file path=xl/styles.xml><?xml version="1.0" encoding="utf-8"?>
<styleSheet xmlns="http://schemas.openxmlformats.org/spreadsheetml/2006/main">
  <numFmts count="25">
    <numFmt numFmtId="164" formatCode="_ &quot;S/.&quot;\ * #,##0.00_ ;_ &quot;S/.&quot;\ * \-#,##0.00_ ;_ &quot;S/.&quot;\ * &quot;-&quot;??_ ;_ @_ "/>
    <numFmt numFmtId="165" formatCode="00"/>
    <numFmt numFmtId="166" formatCode="#,###;[Red]\-#,###"/>
    <numFmt numFmtId="167" formatCode="&quot;Reporte de Horas Trabajadas en Talleres de Mantenimiento - &quot;\ yyyy"/>
    <numFmt numFmtId="168" formatCode="&quot;Reporte de Horas Trabajadas en Talleres de Mantenimiento Año - &quot;\ yyyy"/>
    <numFmt numFmtId="169" formatCode="dddd\ dd\-mmm\-yyyy"/>
    <numFmt numFmtId="170" formatCode="ddd\ dd/mm/yy"/>
    <numFmt numFmtId="171" formatCode="&quot;S/. &quot;0.00"/>
    <numFmt numFmtId="172" formatCode="_(* #,##0.00_);_(* \(#,##0.00\);_(* &quot;-&quot;??_);_(@_)"/>
    <numFmt numFmtId="173" formatCode="##"/>
    <numFmt numFmtId="174" formatCode="ddd\ dd/mm"/>
    <numFmt numFmtId="175" formatCode="_(* #,##0_);_(* \(#,##0\);_(* &quot;-&quot;??_);_(@_)"/>
    <numFmt numFmtId="176" formatCode="_(* #,##0.0000_);_(* \(#,##0.0000\);_(* &quot;-&quot;??_);_(@_)"/>
    <numFmt numFmtId="177" formatCode="0.00_);[Red]\(\-0.00\)"/>
    <numFmt numFmtId="178" formatCode="00.00"/>
    <numFmt numFmtId="179" formatCode="00.0"/>
    <numFmt numFmtId="180" formatCode="###0.00\ "/>
    <numFmt numFmtId="181" formatCode="_-* #,##0.00_-;\-* #,##0.00_-;_-* &quot;-&quot;??_-;_-@_-"/>
    <numFmt numFmtId="182" formatCode="_(* #,##0.000_);_(* \(#,##0.000\);_(* &quot;-&quot;??_);_(@_)"/>
    <numFmt numFmtId="183" formatCode="0.00000%"/>
    <numFmt numFmtId="184" formatCode="#,##0.0000;\-#,##0.0000"/>
    <numFmt numFmtId="185" formatCode="0.0000%"/>
    <numFmt numFmtId="186" formatCode="0.0000"/>
    <numFmt numFmtId="187" formatCode="00.0000"/>
    <numFmt numFmtId="188" formatCode="_ &quot;S/.&quot;\ * #,##0.000_ ;_ &quot;S/.&quot;\ * \-#,##0.000_ ;_ &quot;S/.&quot;\ * &quot;-&quot;???_ ;_ @_ "/>
  </numFmts>
  <fonts count="17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0" tint="-0.14999847407452621"/>
      <name val="Arial"/>
      <family val="2"/>
    </font>
    <font>
      <sz val="10"/>
      <color indexed="61"/>
      <name val="Arial"/>
      <family val="2"/>
    </font>
    <font>
      <sz val="11"/>
      <color indexed="12"/>
      <name val="Arial"/>
      <family val="2"/>
    </font>
    <font>
      <sz val="11"/>
      <color indexed="10"/>
      <name val="Arial"/>
      <family val="2"/>
    </font>
    <font>
      <i/>
      <sz val="9.5"/>
      <color indexed="10"/>
      <name val="Arial"/>
      <family val="2"/>
    </font>
    <font>
      <b/>
      <sz val="11"/>
      <color indexed="10"/>
      <name val="Arial"/>
      <family val="2"/>
    </font>
    <font>
      <sz val="18"/>
      <name val="BankGothic Lt BT"/>
      <family val="2"/>
    </font>
    <font>
      <sz val="9"/>
      <name val="Arial"/>
      <family val="2"/>
    </font>
    <font>
      <sz val="14"/>
      <name val="Arial"/>
      <family val="2"/>
    </font>
    <font>
      <i/>
      <u/>
      <sz val="6"/>
      <color indexed="55"/>
      <name val="Arial"/>
      <family val="2"/>
    </font>
    <font>
      <sz val="8"/>
      <name val="Arial"/>
      <family val="2"/>
    </font>
    <font>
      <sz val="9.5"/>
      <name val="Arial"/>
      <family val="2"/>
    </font>
    <font>
      <sz val="12"/>
      <name val="Arial Narrow"/>
      <family val="2"/>
    </font>
    <font>
      <b/>
      <i/>
      <sz val="10"/>
      <color indexed="10"/>
      <name val="Arial Narrow"/>
      <family val="2"/>
    </font>
    <font>
      <sz val="10"/>
      <color rgb="FFFF0000"/>
      <name val="Arial Narrow"/>
      <family val="2"/>
    </font>
    <font>
      <sz val="10"/>
      <name val="Arial Narrow"/>
      <family val="2"/>
    </font>
    <font>
      <b/>
      <i/>
      <sz val="12"/>
      <color indexed="10"/>
      <name val="Arial"/>
      <family val="2"/>
    </font>
    <font>
      <i/>
      <sz val="12"/>
      <color indexed="9"/>
      <name val="Arial Narrow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name val="Arial"/>
      <family val="2"/>
    </font>
    <font>
      <sz val="9"/>
      <color indexed="61"/>
      <name val="Arial"/>
      <family val="2"/>
    </font>
    <font>
      <sz val="9"/>
      <color indexed="12"/>
      <name val="Arial"/>
      <family val="2"/>
    </font>
    <font>
      <sz val="8"/>
      <color indexed="61"/>
      <name val="Arial"/>
      <family val="2"/>
    </font>
    <font>
      <sz val="12"/>
      <color indexed="10"/>
      <name val="Arial"/>
      <family val="2"/>
    </font>
    <font>
      <i/>
      <sz val="12"/>
      <color indexed="17"/>
      <name val="Arial Narrow"/>
      <family val="2"/>
    </font>
    <font>
      <sz val="9"/>
      <color indexed="48"/>
      <name val="Arial"/>
      <family val="2"/>
    </font>
    <font>
      <u/>
      <sz val="8"/>
      <color indexed="19"/>
      <name val="Arial Narrow"/>
      <family val="2"/>
    </font>
    <font>
      <sz val="8"/>
      <color indexed="10"/>
      <name val="Arial"/>
      <family val="2"/>
    </font>
    <font>
      <i/>
      <sz val="9"/>
      <name val="Arial"/>
      <family val="2"/>
    </font>
    <font>
      <sz val="10"/>
      <color indexed="10"/>
      <name val="Arial"/>
      <family val="2"/>
    </font>
    <font>
      <sz val="11"/>
      <color indexed="17"/>
      <name val="Arial"/>
      <family val="2"/>
    </font>
    <font>
      <u/>
      <sz val="11"/>
      <color indexed="48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7"/>
      <color theme="0" tint="-0.34998626667073579"/>
      <name val="Arial"/>
      <family val="2"/>
    </font>
    <font>
      <sz val="7"/>
      <color indexed="22"/>
      <name val="Arial"/>
      <family val="2"/>
    </font>
    <font>
      <i/>
      <sz val="10"/>
      <color indexed="10"/>
      <name val="Arial"/>
      <family val="2"/>
    </font>
    <font>
      <sz val="10"/>
      <color indexed="22"/>
      <name val="Arial"/>
      <family val="2"/>
    </font>
    <font>
      <i/>
      <sz val="7"/>
      <color indexed="22"/>
      <name val="Arial"/>
      <family val="2"/>
    </font>
    <font>
      <sz val="7"/>
      <name val="Arial"/>
      <family val="2"/>
    </font>
    <font>
      <sz val="8"/>
      <color indexed="61"/>
      <name val="Arial Narrow"/>
      <family val="2"/>
    </font>
    <font>
      <b/>
      <sz val="8"/>
      <name val="Arial Narrow"/>
      <family val="2"/>
    </font>
    <font>
      <b/>
      <sz val="8"/>
      <color theme="0" tint="-0.34998626667073579"/>
      <name val="Arial Narrow"/>
      <family val="2"/>
    </font>
    <font>
      <sz val="8"/>
      <color rgb="FF006C31"/>
      <name val="Arial Narrow"/>
      <family val="2"/>
    </font>
    <font>
      <sz val="10"/>
      <color rgb="FF006C31"/>
      <name val="Arial"/>
      <family val="2"/>
    </font>
    <font>
      <sz val="11"/>
      <color rgb="FF006C31"/>
      <name val="Arial"/>
      <family val="2"/>
    </font>
    <font>
      <sz val="8"/>
      <color rgb="FF006C31"/>
      <name val="Arial"/>
      <family val="2"/>
    </font>
    <font>
      <u/>
      <sz val="11"/>
      <color rgb="FF006C31"/>
      <name val="Arial"/>
      <family val="2"/>
    </font>
    <font>
      <sz val="10"/>
      <color rgb="FF006C31"/>
      <name val="Arial Narrow"/>
      <family val="2"/>
    </font>
    <font>
      <sz val="9.5"/>
      <color rgb="FF006C31"/>
      <name val="Arial"/>
      <family val="2"/>
    </font>
    <font>
      <i/>
      <sz val="10"/>
      <color rgb="FFFF0000"/>
      <name val="Arial"/>
      <family val="2"/>
    </font>
    <font>
      <b/>
      <sz val="11"/>
      <color indexed="62"/>
      <name val="Arial Narrow"/>
      <family val="2"/>
    </font>
    <font>
      <b/>
      <sz val="11"/>
      <color indexed="61"/>
      <name val="Arial Narrow"/>
      <family val="2"/>
    </font>
    <font>
      <sz val="12"/>
      <color rgb="FFFF0000"/>
      <name val="Arial Narrow"/>
      <family val="2"/>
    </font>
    <font>
      <b/>
      <i/>
      <sz val="9"/>
      <color indexed="10"/>
      <name val="Arial Narrow"/>
      <family val="2"/>
    </font>
    <font>
      <b/>
      <u/>
      <sz val="9"/>
      <color indexed="10"/>
      <name val="Arial Narrow"/>
      <family val="2"/>
    </font>
    <font>
      <sz val="11"/>
      <color indexed="20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i/>
      <sz val="14"/>
      <color indexed="10"/>
      <name val="Arial"/>
      <family val="2"/>
    </font>
    <font>
      <i/>
      <u/>
      <sz val="12"/>
      <color indexed="10"/>
      <name val="Arial"/>
      <family val="2"/>
    </font>
    <font>
      <b/>
      <i/>
      <sz val="10"/>
      <color indexed="62"/>
      <name val="Arial"/>
      <family val="2"/>
    </font>
    <font>
      <i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1"/>
      <name val="Arial"/>
      <family val="2"/>
    </font>
    <font>
      <sz val="10"/>
      <color indexed="14"/>
      <name val="Arial"/>
      <family val="2"/>
    </font>
    <font>
      <u/>
      <sz val="10"/>
      <color indexed="10"/>
      <name val="Arial"/>
      <family val="2"/>
    </font>
    <font>
      <i/>
      <sz val="10"/>
      <color indexed="14"/>
      <name val="Arial"/>
      <family val="2"/>
    </font>
    <font>
      <b/>
      <sz val="10"/>
      <color rgb="FF006C31"/>
      <name val="Arial"/>
      <family val="2"/>
    </font>
    <font>
      <b/>
      <sz val="11"/>
      <color rgb="FF006C31"/>
      <name val="Arial"/>
      <family val="2"/>
    </font>
    <font>
      <sz val="10"/>
      <color rgb="FFFF0000"/>
      <name val="Arial"/>
      <family val="2"/>
    </font>
    <font>
      <sz val="12"/>
      <color indexed="12"/>
      <name val="Arial Narrow"/>
      <family val="2"/>
    </font>
    <font>
      <sz val="11"/>
      <color indexed="17"/>
      <name val="Arial Narrow"/>
      <family val="2"/>
    </font>
    <font>
      <sz val="12"/>
      <color indexed="61"/>
      <name val="Arial Narrow"/>
      <family val="2"/>
    </font>
    <font>
      <sz val="8"/>
      <color indexed="23"/>
      <name val="Arial"/>
      <family val="2"/>
    </font>
    <font>
      <sz val="10"/>
      <color indexed="10"/>
      <name val="Arial Narrow"/>
      <family val="2"/>
    </font>
    <font>
      <i/>
      <sz val="12"/>
      <name val="Arial Narrow"/>
      <family val="2"/>
    </font>
    <font>
      <i/>
      <u/>
      <sz val="11"/>
      <color indexed="10"/>
      <name val="Arial Narrow"/>
      <family val="2"/>
    </font>
    <font>
      <i/>
      <sz val="12"/>
      <color indexed="10"/>
      <name val="Arial"/>
      <family val="2"/>
    </font>
    <font>
      <i/>
      <sz val="9"/>
      <color indexed="10"/>
      <name val="Arial Narrow"/>
      <family val="2"/>
    </font>
    <font>
      <b/>
      <i/>
      <sz val="14"/>
      <color indexed="16"/>
      <name val="Arial"/>
      <family val="2"/>
    </font>
    <font>
      <sz val="9"/>
      <color indexed="17"/>
      <name val="Arial"/>
      <family val="2"/>
    </font>
    <font>
      <sz val="9"/>
      <color indexed="10"/>
      <name val="Arial"/>
      <family val="2"/>
    </font>
    <font>
      <i/>
      <sz val="10.5"/>
      <name val="Arial Narrow"/>
      <family val="2"/>
    </font>
    <font>
      <b/>
      <sz val="10"/>
      <color indexed="12"/>
      <name val="Arial Narrow"/>
      <family val="2"/>
    </font>
    <font>
      <sz val="9"/>
      <color indexed="10"/>
      <name val="Arial Narrow"/>
      <family val="2"/>
    </font>
    <font>
      <b/>
      <sz val="9"/>
      <name val="Arial"/>
      <family val="2"/>
    </font>
    <font>
      <i/>
      <sz val="10"/>
      <color indexed="61"/>
      <name val="Arial"/>
      <family val="2"/>
    </font>
    <font>
      <sz val="10"/>
      <name val="Times New Roman"/>
      <family val="1"/>
    </font>
    <font>
      <sz val="10"/>
      <color indexed="10"/>
      <name val="@MS Mincho"/>
      <family val="3"/>
    </font>
    <font>
      <i/>
      <sz val="12"/>
      <color indexed="61"/>
      <name val="Arial"/>
      <family val="2"/>
    </font>
    <font>
      <sz val="9"/>
      <color indexed="12"/>
      <name val="Times New Roman"/>
      <family val="1"/>
    </font>
    <font>
      <i/>
      <sz val="9"/>
      <color indexed="12"/>
      <name val="Arial"/>
      <family val="2"/>
    </font>
    <font>
      <b/>
      <sz val="11"/>
      <color indexed="17"/>
      <name val="Arial Narrow"/>
      <family val="2"/>
    </font>
    <font>
      <b/>
      <u/>
      <sz val="10"/>
      <name val="Arial"/>
      <family val="2"/>
    </font>
    <font>
      <sz val="10"/>
      <color indexed="55"/>
      <name val="Arial"/>
      <family val="2"/>
    </font>
    <font>
      <u/>
      <sz val="8.9"/>
      <color indexed="12"/>
      <name val="Arial"/>
      <family val="2"/>
    </font>
    <font>
      <sz val="10"/>
      <color indexed="20"/>
      <name val="Arial"/>
      <family val="2"/>
    </font>
    <font>
      <i/>
      <sz val="10"/>
      <color indexed="20"/>
      <name val="Arial"/>
      <family val="2"/>
    </font>
    <font>
      <b/>
      <i/>
      <sz val="10"/>
      <color indexed="14"/>
      <name val="Arial"/>
      <family val="2"/>
    </font>
    <font>
      <b/>
      <sz val="10"/>
      <color indexed="14"/>
      <name val="Arial"/>
      <family val="2"/>
    </font>
    <font>
      <sz val="9"/>
      <color indexed="14"/>
      <name val="Arial"/>
      <family val="2"/>
    </font>
    <font>
      <sz val="8"/>
      <color indexed="60"/>
      <name val="Arial Narrow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sz val="9"/>
      <color indexed="60"/>
      <name val="Arial"/>
      <family val="2"/>
    </font>
    <font>
      <sz val="9"/>
      <color indexed="55"/>
      <name val="Arial"/>
      <family val="2"/>
    </font>
    <font>
      <b/>
      <sz val="10"/>
      <color indexed="55"/>
      <name val="Arial"/>
      <family val="2"/>
    </font>
    <font>
      <sz val="20"/>
      <name val="Arial"/>
      <family val="2"/>
    </font>
    <font>
      <b/>
      <sz val="11"/>
      <color indexed="12"/>
      <name val="Arial"/>
      <family val="2"/>
    </font>
    <font>
      <i/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2"/>
      <color indexed="61"/>
      <name val="Arial"/>
      <family val="2"/>
    </font>
    <font>
      <sz val="10"/>
      <color theme="5" tint="-0.249977111117893"/>
      <name val="Arial"/>
      <family val="2"/>
    </font>
    <font>
      <sz val="10"/>
      <color rgb="FF1A6CF2"/>
      <name val="Arial"/>
      <family val="2"/>
    </font>
    <font>
      <b/>
      <sz val="10"/>
      <color theme="5" tint="-0.249977111117893"/>
      <name val="Arial"/>
      <family val="2"/>
    </font>
    <font>
      <i/>
      <sz val="11"/>
      <color theme="5" tint="-0.249977111117893"/>
      <name val="Arial"/>
      <family val="2"/>
    </font>
    <font>
      <b/>
      <sz val="10"/>
      <color rgb="FF3333FF"/>
      <name val="Arial"/>
      <family val="2"/>
    </font>
    <font>
      <sz val="11"/>
      <color rgb="FF3333FF"/>
      <name val="Arial"/>
      <family val="2"/>
    </font>
    <font>
      <sz val="8"/>
      <color theme="5" tint="-0.249977111117893"/>
      <name val="Arial"/>
      <family val="2"/>
    </font>
    <font>
      <b/>
      <i/>
      <sz val="12"/>
      <color indexed="12"/>
      <name val="Arial"/>
      <family val="2"/>
    </font>
    <font>
      <b/>
      <sz val="14"/>
      <color indexed="61"/>
      <name val="Arial"/>
      <family val="2"/>
    </font>
    <font>
      <b/>
      <sz val="10"/>
      <color indexed="54"/>
      <name val="Arial"/>
      <family val="2"/>
    </font>
    <font>
      <sz val="10"/>
      <color indexed="54"/>
      <name val="Arial"/>
      <family val="2"/>
    </font>
    <font>
      <b/>
      <i/>
      <sz val="12"/>
      <color indexed="36"/>
      <name val="Arial"/>
      <family val="2"/>
    </font>
    <font>
      <i/>
      <sz val="13"/>
      <color indexed="36"/>
      <name val="Book Antiqua"/>
      <family val="1"/>
    </font>
    <font>
      <b/>
      <sz val="11"/>
      <color indexed="54"/>
      <name val="Arial"/>
      <family val="2"/>
    </font>
    <font>
      <sz val="11"/>
      <color indexed="54"/>
      <name val="Arial"/>
      <family val="2"/>
    </font>
    <font>
      <b/>
      <sz val="14"/>
      <name val="Arial"/>
      <family val="2"/>
    </font>
    <font>
      <b/>
      <sz val="13"/>
      <color indexed="36"/>
      <name val="Book Antiqua"/>
      <family val="1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7"/>
      <color theme="0" tint="-0.14999847407452621"/>
      <name val="Arial"/>
      <family val="2"/>
    </font>
    <font>
      <b/>
      <i/>
      <sz val="9"/>
      <name val="Arial Narrow"/>
      <family val="2"/>
    </font>
    <font>
      <b/>
      <i/>
      <sz val="10"/>
      <color theme="6" tint="-0.499984740745262"/>
      <name val="Arial"/>
      <family val="2"/>
    </font>
    <font>
      <b/>
      <sz val="10"/>
      <color theme="6" tint="-0.499984740745262"/>
      <name val="Arial"/>
      <family val="2"/>
    </font>
    <font>
      <i/>
      <sz val="9"/>
      <color indexed="20"/>
      <name val="Arial"/>
      <family val="2"/>
    </font>
    <font>
      <b/>
      <i/>
      <sz val="9"/>
      <color indexed="14"/>
      <name val="Arial"/>
      <family val="2"/>
    </font>
    <font>
      <b/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i/>
      <u/>
      <sz val="10"/>
      <color rgb="FFFF0000"/>
      <name val="Arial"/>
      <family val="2"/>
    </font>
    <font>
      <b/>
      <sz val="10"/>
      <color indexed="12"/>
      <name val="Arial"/>
      <family val="2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12"/>
      <color theme="0" tint="-0.34998626667073579"/>
      <name val="Arial"/>
      <family val="2"/>
    </font>
    <font>
      <sz val="12"/>
      <color theme="0" tint="-0.34998626667073579"/>
      <name val="Arial"/>
      <family val="2"/>
    </font>
    <font>
      <b/>
      <sz val="10"/>
      <color indexed="61"/>
      <name val="Arial"/>
      <family val="2"/>
    </font>
    <font>
      <sz val="14"/>
      <color indexed="12"/>
      <name val="Arial"/>
      <family val="2"/>
    </font>
    <font>
      <b/>
      <sz val="9"/>
      <color indexed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 Narrow"/>
      <family val="2"/>
    </font>
    <font>
      <b/>
      <i/>
      <sz val="9"/>
      <color rgb="FFFF0000"/>
      <name val="Arial Narrow"/>
      <family val="2"/>
    </font>
    <font>
      <sz val="9"/>
      <color indexed="10"/>
      <name val="Calibri"/>
      <family val="2"/>
      <scheme val="minor"/>
    </font>
    <font>
      <b/>
      <i/>
      <sz val="12"/>
      <color indexed="16"/>
      <name val="Arial"/>
      <family val="2"/>
    </font>
    <font>
      <i/>
      <sz val="12"/>
      <color theme="5" tint="-0.249977111117893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lightTrellis">
        <fgColor theme="0" tint="-0.2499465926084170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auto="1"/>
        <bgColor auto="1"/>
      </patternFill>
    </fill>
    <fill>
      <patternFill patternType="gray0625"/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lightUp"/>
    </fill>
    <fill>
      <patternFill patternType="lightUp">
        <fgColor theme="0" tint="-0.34998626667073579"/>
        <bgColor indexed="6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65"/>
        <bgColor auto="1"/>
      </patternFill>
    </fill>
    <fill>
      <patternFill patternType="lightTrellis">
        <fgColor theme="0" tint="-0.14996795556505021"/>
        <bgColor indexed="65"/>
      </patternFill>
    </fill>
  </fills>
  <borders count="1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64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10"/>
      </left>
      <right style="thin">
        <color indexed="64"/>
      </right>
      <top style="thin">
        <color indexed="1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10"/>
      </top>
      <bottom style="double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10"/>
      </left>
      <right style="thin">
        <color indexed="64"/>
      </right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10"/>
      </bottom>
      <diagonal/>
    </border>
    <border>
      <left style="thin">
        <color indexed="64"/>
      </left>
      <right style="thin">
        <color indexed="10"/>
      </right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10"/>
      </top>
      <bottom style="thin">
        <color indexed="64"/>
      </bottom>
      <diagonal/>
    </border>
    <border>
      <left/>
      <right style="thin">
        <color indexed="64"/>
      </right>
      <top style="thin">
        <color indexed="10"/>
      </top>
      <bottom style="thin">
        <color indexed="64"/>
      </bottom>
      <diagonal/>
    </border>
    <border>
      <left/>
      <right style="thin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0"/>
      </left>
      <right/>
      <top style="thin">
        <color indexed="10"/>
      </top>
      <bottom style="double">
        <color indexed="10"/>
      </bottom>
      <diagonal/>
    </border>
    <border>
      <left/>
      <right style="thin">
        <color indexed="10"/>
      </right>
      <top style="thin">
        <color indexed="10"/>
      </top>
      <bottom style="double">
        <color indexed="1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rgb="FFFF0000"/>
      </left>
      <right style="medium">
        <color indexed="64"/>
      </right>
      <top style="thick">
        <color rgb="FFFF0000"/>
      </top>
      <bottom style="medium">
        <color indexed="64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8">
    <xf numFmtId="0" fontId="0" fillId="0" borderId="0"/>
    <xf numFmtId="0" fontId="1" fillId="0" borderId="0"/>
    <xf numFmtId="0" fontId="103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</cellStyleXfs>
  <cellXfs count="1426">
    <xf numFmtId="0" fontId="0" fillId="0" borderId="0" xfId="0"/>
    <xf numFmtId="0" fontId="2" fillId="0" borderId="0" xfId="1" applyFont="1" applyAlignment="1">
      <alignment horizontal="center"/>
    </xf>
    <xf numFmtId="14" fontId="3" fillId="0" borderId="0" xfId="1" applyNumberFormat="1" applyFont="1"/>
    <xf numFmtId="165" fontId="4" fillId="0" borderId="0" xfId="1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6" fillId="0" borderId="0" xfId="1" applyNumberFormat="1" applyFont="1" applyAlignment="1">
      <alignment horizontal="center"/>
    </xf>
    <xf numFmtId="0" fontId="1" fillId="0" borderId="0" xfId="1"/>
    <xf numFmtId="0" fontId="7" fillId="0" borderId="0" xfId="1" applyFont="1" applyAlignment="1">
      <alignment horizontal="center"/>
    </xf>
    <xf numFmtId="0" fontId="10" fillId="0" borderId="0" xfId="1" applyFont="1"/>
    <xf numFmtId="0" fontId="11" fillId="0" borderId="0" xfId="1" applyFont="1"/>
    <xf numFmtId="0" fontId="12" fillId="0" borderId="0" xfId="1" applyFont="1" applyAlignment="1">
      <alignment horizontal="center"/>
    </xf>
    <xf numFmtId="168" fontId="13" fillId="0" borderId="0" xfId="1" applyNumberFormat="1" applyFont="1"/>
    <xf numFmtId="0" fontId="10" fillId="0" borderId="0" xfId="1" applyFont="1" applyBorder="1" applyAlignment="1">
      <alignment horizontal="center"/>
    </xf>
    <xf numFmtId="170" fontId="13" fillId="0" borderId="0" xfId="1" applyNumberFormat="1" applyFont="1" applyBorder="1" applyAlignment="1">
      <alignment horizontal="center" vertical="center" textRotation="90"/>
    </xf>
    <xf numFmtId="171" fontId="33" fillId="0" borderId="14" xfId="1" applyNumberFormat="1" applyFont="1" applyBorder="1" applyAlignment="1">
      <alignment horizontal="center" wrapText="1" shrinkToFit="1"/>
    </xf>
    <xf numFmtId="0" fontId="2" fillId="0" borderId="38" xfId="1" applyFont="1" applyBorder="1"/>
    <xf numFmtId="165" fontId="4" fillId="0" borderId="21" xfId="1" applyNumberFormat="1" applyFont="1" applyBorder="1" applyAlignment="1">
      <alignment horizontal="center" vertical="center"/>
    </xf>
    <xf numFmtId="165" fontId="5" fillId="0" borderId="21" xfId="1" applyNumberFormat="1" applyFont="1" applyBorder="1" applyAlignment="1">
      <alignment horizontal="center" vertical="center"/>
    </xf>
    <xf numFmtId="165" fontId="34" fillId="0" borderId="21" xfId="1" applyNumberFormat="1" applyFont="1" applyBorder="1" applyAlignment="1">
      <alignment horizontal="center" vertical="center"/>
    </xf>
    <xf numFmtId="165" fontId="6" fillId="0" borderId="21" xfId="1" applyNumberFormat="1" applyFont="1" applyBorder="1" applyAlignment="1">
      <alignment horizontal="center" vertical="center"/>
    </xf>
    <xf numFmtId="165" fontId="35" fillId="0" borderId="40" xfId="1" applyNumberFormat="1" applyFont="1" applyBorder="1" applyAlignment="1">
      <alignment horizontal="center" vertical="center"/>
    </xf>
    <xf numFmtId="165" fontId="1" fillId="0" borderId="21" xfId="1" applyNumberFormat="1" applyFill="1" applyBorder="1" applyAlignment="1">
      <alignment horizontal="center" vertical="center"/>
    </xf>
    <xf numFmtId="165" fontId="34" fillId="0" borderId="21" xfId="1" applyNumberFormat="1" applyFont="1" applyFill="1" applyBorder="1" applyAlignment="1">
      <alignment horizontal="center" vertical="center"/>
    </xf>
    <xf numFmtId="165" fontId="4" fillId="0" borderId="21" xfId="1" applyNumberFormat="1" applyFont="1" applyFill="1" applyBorder="1" applyAlignment="1">
      <alignment horizontal="center" vertical="center"/>
    </xf>
    <xf numFmtId="165" fontId="36" fillId="0" borderId="21" xfId="1" applyNumberFormat="1" applyFont="1" applyBorder="1" applyAlignment="1">
      <alignment horizontal="center" vertical="center"/>
    </xf>
    <xf numFmtId="165" fontId="6" fillId="0" borderId="41" xfId="1" applyNumberFormat="1" applyFont="1" applyBorder="1" applyAlignment="1">
      <alignment horizontal="center" vertical="center"/>
    </xf>
    <xf numFmtId="173" fontId="13" fillId="0" borderId="12" xfId="1" applyNumberFormat="1" applyFont="1" applyBorder="1" applyAlignment="1">
      <alignment horizontal="center"/>
    </xf>
    <xf numFmtId="173" fontId="32" fillId="0" borderId="12" xfId="1" applyNumberFormat="1" applyFont="1" applyBorder="1" applyAlignment="1">
      <alignment horizontal="center"/>
    </xf>
    <xf numFmtId="173" fontId="13" fillId="0" borderId="0" xfId="1" applyNumberFormat="1" applyFont="1" applyBorder="1" applyAlignment="1">
      <alignment horizontal="center"/>
    </xf>
    <xf numFmtId="0" fontId="2" fillId="0" borderId="47" xfId="1" applyFont="1" applyBorder="1"/>
    <xf numFmtId="165" fontId="4" fillId="0" borderId="12" xfId="1" applyNumberFormat="1" applyFont="1" applyBorder="1" applyAlignment="1">
      <alignment horizontal="center" vertical="center"/>
    </xf>
    <xf numFmtId="165" fontId="5" fillId="0" borderId="12" xfId="1" applyNumberFormat="1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5" fontId="1" fillId="0" borderId="12" xfId="1" applyNumberFormat="1" applyFill="1" applyBorder="1" applyAlignment="1">
      <alignment horizontal="center" vertical="center"/>
    </xf>
    <xf numFmtId="165" fontId="3" fillId="0" borderId="12" xfId="1" applyNumberFormat="1" applyFont="1" applyFill="1" applyBorder="1" applyAlignment="1">
      <alignment horizontal="center" vertical="center"/>
    </xf>
    <xf numFmtId="165" fontId="39" fillId="0" borderId="12" xfId="1" applyNumberFormat="1" applyFont="1" applyFill="1" applyBorder="1" applyAlignment="1">
      <alignment horizontal="center" vertical="center"/>
    </xf>
    <xf numFmtId="165" fontId="5" fillId="0" borderId="26" xfId="1" applyNumberFormat="1" applyFont="1" applyBorder="1" applyAlignment="1">
      <alignment horizontal="center" vertical="center"/>
    </xf>
    <xf numFmtId="165" fontId="1" fillId="0" borderId="12" xfId="1" applyNumberFormat="1" applyBorder="1" applyAlignment="1">
      <alignment horizontal="center" vertical="center"/>
    </xf>
    <xf numFmtId="165" fontId="36" fillId="0" borderId="12" xfId="1" applyNumberFormat="1" applyFont="1" applyBorder="1" applyAlignment="1">
      <alignment horizontal="center" vertical="center"/>
    </xf>
    <xf numFmtId="165" fontId="34" fillId="0" borderId="12" xfId="1" applyNumberFormat="1" applyFont="1" applyBorder="1" applyAlignment="1">
      <alignment horizontal="center" vertical="center"/>
    </xf>
    <xf numFmtId="165" fontId="6" fillId="0" borderId="49" xfId="1" applyNumberFormat="1" applyFont="1" applyBorder="1" applyAlignment="1">
      <alignment horizontal="center" vertical="center"/>
    </xf>
    <xf numFmtId="165" fontId="40" fillId="0" borderId="12" xfId="1" applyNumberFormat="1" applyFont="1" applyFill="1" applyBorder="1" applyAlignment="1">
      <alignment horizontal="center" vertical="center"/>
    </xf>
    <xf numFmtId="165" fontId="4" fillId="0" borderId="12" xfId="1" applyNumberFormat="1" applyFont="1" applyFill="1" applyBorder="1" applyAlignment="1">
      <alignment horizontal="center" vertical="center"/>
    </xf>
    <xf numFmtId="165" fontId="41" fillId="0" borderId="12" xfId="1" applyNumberFormat="1" applyFont="1" applyBorder="1" applyAlignment="1">
      <alignment horizontal="center" vertical="center"/>
    </xf>
    <xf numFmtId="165" fontId="5" fillId="0" borderId="12" xfId="1" applyNumberFormat="1" applyFont="1" applyFill="1" applyBorder="1" applyAlignment="1">
      <alignment horizontal="center" vertical="center"/>
    </xf>
    <xf numFmtId="165" fontId="6" fillId="0" borderId="12" xfId="1" applyNumberFormat="1" applyFont="1" applyFill="1" applyBorder="1" applyAlignment="1">
      <alignment horizontal="center" vertical="center"/>
    </xf>
    <xf numFmtId="165" fontId="5" fillId="0" borderId="26" xfId="1" applyNumberFormat="1" applyFont="1" applyFill="1" applyBorder="1" applyAlignment="1">
      <alignment horizontal="center" vertical="center"/>
    </xf>
    <xf numFmtId="165" fontId="34" fillId="0" borderId="12" xfId="1" applyNumberFormat="1" applyFont="1" applyFill="1" applyBorder="1" applyAlignment="1">
      <alignment horizontal="center" vertical="center"/>
    </xf>
    <xf numFmtId="0" fontId="2" fillId="0" borderId="47" xfId="1" applyFont="1" applyFill="1" applyBorder="1"/>
    <xf numFmtId="165" fontId="40" fillId="0" borderId="21" xfId="1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47" xfId="1" applyFont="1" applyBorder="1" applyAlignment="1">
      <alignment vertical="center"/>
    </xf>
    <xf numFmtId="165" fontId="42" fillId="0" borderId="12" xfId="1" applyNumberFormat="1" applyFont="1" applyFill="1" applyBorder="1" applyAlignment="1">
      <alignment horizontal="center" vertical="center"/>
    </xf>
    <xf numFmtId="165" fontId="43" fillId="0" borderId="12" xfId="1" applyNumberFormat="1" applyFont="1" applyFill="1" applyBorder="1" applyAlignment="1">
      <alignment horizontal="center" vertical="center"/>
    </xf>
    <xf numFmtId="173" fontId="13" fillId="0" borderId="0" xfId="1" applyNumberFormat="1" applyFont="1" applyBorder="1" applyAlignment="1">
      <alignment horizontal="center" vertical="center"/>
    </xf>
    <xf numFmtId="0" fontId="1" fillId="0" borderId="0" xfId="1" applyAlignment="1">
      <alignment vertical="center"/>
    </xf>
    <xf numFmtId="165" fontId="44" fillId="0" borderId="12" xfId="1" applyNumberFormat="1" applyFont="1" applyFill="1" applyBorder="1" applyAlignment="1">
      <alignment horizontal="center" vertical="center"/>
    </xf>
    <xf numFmtId="0" fontId="45" fillId="0" borderId="47" xfId="1" applyFont="1" applyFill="1" applyBorder="1"/>
    <xf numFmtId="0" fontId="46" fillId="0" borderId="47" xfId="1" applyFont="1" applyFill="1" applyBorder="1"/>
    <xf numFmtId="165" fontId="35" fillId="0" borderId="40" xfId="1" applyNumberFormat="1" applyFont="1" applyFill="1" applyBorder="1" applyAlignment="1">
      <alignment horizontal="center" vertical="center"/>
    </xf>
    <xf numFmtId="0" fontId="47" fillId="5" borderId="47" xfId="1" applyFont="1" applyFill="1" applyBorder="1" applyAlignment="1">
      <alignment horizontal="left" vertical="center"/>
    </xf>
    <xf numFmtId="165" fontId="4" fillId="5" borderId="12" xfId="1" applyNumberFormat="1" applyFont="1" applyFill="1" applyBorder="1" applyAlignment="1">
      <alignment horizontal="center" vertical="center"/>
    </xf>
    <xf numFmtId="165" fontId="5" fillId="5" borderId="12" xfId="1" applyNumberFormat="1" applyFont="1" applyFill="1" applyBorder="1" applyAlignment="1">
      <alignment horizontal="center" vertical="center"/>
    </xf>
    <xf numFmtId="165" fontId="6" fillId="5" borderId="12" xfId="1" applyNumberFormat="1" applyFont="1" applyFill="1" applyBorder="1" applyAlignment="1">
      <alignment horizontal="center" vertical="center"/>
    </xf>
    <xf numFmtId="165" fontId="35" fillId="5" borderId="49" xfId="1" applyNumberFormat="1" applyFont="1" applyFill="1" applyBorder="1" applyAlignment="1">
      <alignment horizontal="center" vertical="center"/>
    </xf>
    <xf numFmtId="165" fontId="1" fillId="5" borderId="12" xfId="1" applyNumberFormat="1" applyFill="1" applyBorder="1" applyAlignment="1">
      <alignment horizontal="center" vertical="center"/>
    </xf>
    <xf numFmtId="165" fontId="36" fillId="5" borderId="12" xfId="1" applyNumberFormat="1" applyFont="1" applyFill="1" applyBorder="1" applyAlignment="1">
      <alignment horizontal="center" vertical="center"/>
    </xf>
    <xf numFmtId="165" fontId="34" fillId="5" borderId="12" xfId="1" applyNumberFormat="1" applyFont="1" applyFill="1" applyBorder="1" applyAlignment="1">
      <alignment horizontal="center" vertical="center"/>
    </xf>
    <xf numFmtId="165" fontId="6" fillId="5" borderId="49" xfId="1" applyNumberFormat="1" applyFont="1" applyFill="1" applyBorder="1" applyAlignment="1">
      <alignment horizontal="center" vertical="center"/>
    </xf>
    <xf numFmtId="173" fontId="13" fillId="0" borderId="12" xfId="1" applyNumberFormat="1" applyFont="1" applyBorder="1" applyAlignment="1">
      <alignment horizontal="center" vertical="center"/>
    </xf>
    <xf numFmtId="173" fontId="32" fillId="0" borderId="12" xfId="1" applyNumberFormat="1" applyFont="1" applyBorder="1" applyAlignment="1">
      <alignment horizontal="center" vertical="center"/>
    </xf>
    <xf numFmtId="0" fontId="2" fillId="0" borderId="47" xfId="1" applyFont="1" applyFill="1" applyBorder="1" applyAlignment="1">
      <alignment horizontal="left" vertical="center"/>
    </xf>
    <xf numFmtId="0" fontId="48" fillId="0" borderId="0" xfId="1" applyFont="1" applyAlignment="1">
      <alignment horizontal="center"/>
    </xf>
    <xf numFmtId="0" fontId="48" fillId="0" borderId="47" xfId="1" applyFont="1" applyBorder="1"/>
    <xf numFmtId="165" fontId="49" fillId="1" borderId="39" xfId="1" applyNumberFormat="1" applyFont="1" applyFill="1" applyBorder="1" applyAlignment="1">
      <alignment horizontal="center" vertical="center"/>
    </xf>
    <xf numFmtId="165" fontId="49" fillId="1" borderId="12" xfId="1" applyNumberFormat="1" applyFont="1" applyFill="1" applyBorder="1" applyAlignment="1">
      <alignment horizontal="center" vertical="center"/>
    </xf>
    <xf numFmtId="165" fontId="50" fillId="1" borderId="12" xfId="1" applyNumberFormat="1" applyFont="1" applyFill="1" applyBorder="1" applyAlignment="1">
      <alignment horizontal="center" vertical="center"/>
    </xf>
    <xf numFmtId="165" fontId="50" fillId="1" borderId="40" xfId="1" applyNumberFormat="1" applyFont="1" applyFill="1" applyBorder="1" applyAlignment="1">
      <alignment horizontal="center" vertical="center"/>
    </xf>
    <xf numFmtId="165" fontId="51" fillId="1" borderId="12" xfId="1" applyNumberFormat="1" applyFont="1" applyFill="1" applyBorder="1" applyAlignment="1">
      <alignment horizontal="center" vertical="center"/>
    </xf>
    <xf numFmtId="165" fontId="52" fillId="1" borderId="12" xfId="1" applyNumberFormat="1" applyFont="1" applyFill="1" applyBorder="1" applyAlignment="1">
      <alignment horizontal="center" vertical="center"/>
    </xf>
    <xf numFmtId="165" fontId="50" fillId="1" borderId="49" xfId="1" applyNumberFormat="1" applyFont="1" applyFill="1" applyBorder="1" applyAlignment="1">
      <alignment horizontal="center" vertical="center"/>
    </xf>
    <xf numFmtId="0" fontId="49" fillId="0" borderId="0" xfId="1" applyFont="1"/>
    <xf numFmtId="173" fontId="51" fillId="0" borderId="12" xfId="1" applyNumberFormat="1" applyFont="1" applyBorder="1" applyAlignment="1">
      <alignment horizontal="center"/>
    </xf>
    <xf numFmtId="173" fontId="51" fillId="0" borderId="0" xfId="1" applyNumberFormat="1" applyFont="1" applyBorder="1" applyAlignment="1">
      <alignment horizontal="center"/>
    </xf>
    <xf numFmtId="0" fontId="2" fillId="6" borderId="47" xfId="1" applyFont="1" applyFill="1" applyBorder="1" applyAlignment="1">
      <alignment horizontal="left" vertical="center"/>
    </xf>
    <xf numFmtId="0" fontId="2" fillId="0" borderId="51" xfId="1" applyFont="1" applyFill="1" applyBorder="1" applyAlignment="1">
      <alignment horizontal="left" vertical="center"/>
    </xf>
    <xf numFmtId="165" fontId="49" fillId="3" borderId="39" xfId="1" applyNumberFormat="1" applyFont="1" applyFill="1" applyBorder="1" applyAlignment="1">
      <alignment horizontal="center" vertical="center"/>
    </xf>
    <xf numFmtId="165" fontId="49" fillId="3" borderId="12" xfId="1" applyNumberFormat="1" applyFont="1" applyFill="1" applyBorder="1" applyAlignment="1">
      <alignment horizontal="center" vertical="center"/>
    </xf>
    <xf numFmtId="165" fontId="50" fillId="3" borderId="12" xfId="1" applyNumberFormat="1" applyFont="1" applyFill="1" applyBorder="1" applyAlignment="1">
      <alignment horizontal="center" vertical="center"/>
    </xf>
    <xf numFmtId="165" fontId="50" fillId="3" borderId="40" xfId="1" applyNumberFormat="1" applyFont="1" applyFill="1" applyBorder="1" applyAlignment="1">
      <alignment horizontal="center" vertical="center"/>
    </xf>
    <xf numFmtId="165" fontId="49" fillId="3" borderId="26" xfId="1" applyNumberFormat="1" applyFont="1" applyFill="1" applyBorder="1" applyAlignment="1">
      <alignment horizontal="center" vertical="center"/>
    </xf>
    <xf numFmtId="165" fontId="51" fillId="3" borderId="12" xfId="1" applyNumberFormat="1" applyFont="1" applyFill="1" applyBorder="1" applyAlignment="1">
      <alignment horizontal="center" vertical="center"/>
    </xf>
    <xf numFmtId="165" fontId="52" fillId="3" borderId="12" xfId="1" applyNumberFormat="1" applyFont="1" applyFill="1" applyBorder="1" applyAlignment="1">
      <alignment horizontal="center" vertical="center"/>
    </xf>
    <xf numFmtId="165" fontId="55" fillId="7" borderId="12" xfId="1" applyNumberFormat="1" applyFont="1" applyFill="1" applyBorder="1" applyAlignment="1">
      <alignment horizontal="center" vertical="center"/>
    </xf>
    <xf numFmtId="165" fontId="50" fillId="3" borderId="49" xfId="1" applyNumberFormat="1" applyFont="1" applyFill="1" applyBorder="1" applyAlignment="1">
      <alignment horizontal="center" vertical="center"/>
    </xf>
    <xf numFmtId="0" fontId="2" fillId="0" borderId="52" xfId="1" applyFont="1" applyBorder="1"/>
    <xf numFmtId="165" fontId="4" fillId="0" borderId="30" xfId="1" applyNumberFormat="1" applyFont="1" applyBorder="1" applyAlignment="1">
      <alignment horizontal="center" vertical="center"/>
    </xf>
    <xf numFmtId="165" fontId="5" fillId="0" borderId="30" xfId="1" applyNumberFormat="1" applyFont="1" applyBorder="1" applyAlignment="1">
      <alignment horizontal="center" vertical="center"/>
    </xf>
    <xf numFmtId="165" fontId="6" fillId="0" borderId="30" xfId="1" applyNumberFormat="1" applyFont="1" applyBorder="1" applyAlignment="1">
      <alignment horizontal="center" vertical="center"/>
    </xf>
    <xf numFmtId="165" fontId="35" fillId="0" borderId="54" xfId="1" applyNumberFormat="1" applyFont="1" applyBorder="1" applyAlignment="1">
      <alignment horizontal="center" vertical="center"/>
    </xf>
    <xf numFmtId="165" fontId="44" fillId="0" borderId="30" xfId="1" applyNumberFormat="1" applyFont="1" applyFill="1" applyBorder="1" applyAlignment="1">
      <alignment horizontal="center" vertical="center"/>
    </xf>
    <xf numFmtId="165" fontId="1" fillId="0" borderId="30" xfId="1" applyNumberFormat="1" applyBorder="1" applyAlignment="1">
      <alignment horizontal="center" vertical="center"/>
    </xf>
    <xf numFmtId="165" fontId="36" fillId="0" borderId="30" xfId="1" applyNumberFormat="1" applyFont="1" applyBorder="1" applyAlignment="1">
      <alignment horizontal="center" vertical="center"/>
    </xf>
    <xf numFmtId="165" fontId="6" fillId="0" borderId="55" xfId="1" applyNumberFormat="1" applyFont="1" applyBorder="1" applyAlignment="1">
      <alignment horizontal="center" vertical="center"/>
    </xf>
    <xf numFmtId="0" fontId="1" fillId="0" borderId="0" xfId="1" applyBorder="1"/>
    <xf numFmtId="0" fontId="34" fillId="0" borderId="0" xfId="1" applyFont="1" applyBorder="1"/>
    <xf numFmtId="165" fontId="68" fillId="0" borderId="12" xfId="1" applyNumberFormat="1" applyFont="1" applyFill="1" applyBorder="1" applyAlignment="1">
      <alignment horizontal="center" vertical="center"/>
    </xf>
    <xf numFmtId="165" fontId="69" fillId="0" borderId="12" xfId="1" applyNumberFormat="1" applyFont="1" applyFill="1" applyBorder="1" applyAlignment="1">
      <alignment horizontal="center" vertical="center"/>
    </xf>
    <xf numFmtId="165" fontId="4" fillId="0" borderId="58" xfId="1" applyNumberFormat="1" applyFont="1" applyBorder="1" applyAlignment="1">
      <alignment horizontal="center" vertical="center"/>
    </xf>
    <xf numFmtId="165" fontId="5" fillId="0" borderId="58" xfId="1" applyNumberFormat="1" applyFont="1" applyBorder="1" applyAlignment="1">
      <alignment horizontal="center" vertical="center"/>
    </xf>
    <xf numFmtId="165" fontId="6" fillId="0" borderId="58" xfId="1" applyNumberFormat="1" applyFont="1" applyBorder="1" applyAlignment="1">
      <alignment horizontal="center" vertical="center"/>
    </xf>
    <xf numFmtId="165" fontId="35" fillId="0" borderId="45" xfId="1" applyNumberFormat="1" applyFont="1" applyBorder="1" applyAlignment="1">
      <alignment horizontal="center" vertical="center"/>
    </xf>
    <xf numFmtId="1" fontId="70" fillId="0" borderId="21" xfId="1" applyNumberFormat="1" applyFont="1" applyBorder="1" applyAlignment="1">
      <alignment horizontal="center" vertical="center"/>
    </xf>
    <xf numFmtId="1" fontId="71" fillId="0" borderId="12" xfId="1" applyNumberFormat="1" applyFont="1" applyBorder="1" applyAlignment="1">
      <alignment horizontal="center" vertical="center"/>
    </xf>
    <xf numFmtId="1" fontId="38" fillId="0" borderId="21" xfId="1" applyNumberFormat="1" applyFont="1" applyBorder="1" applyAlignment="1">
      <alignment horizontal="center" vertical="center"/>
    </xf>
    <xf numFmtId="0" fontId="72" fillId="0" borderId="0" xfId="1" applyFont="1"/>
    <xf numFmtId="165" fontId="73" fillId="0" borderId="12" xfId="1" applyNumberFormat="1" applyFont="1" applyBorder="1" applyAlignment="1">
      <alignment horizontal="center" vertical="center"/>
    </xf>
    <xf numFmtId="1" fontId="1" fillId="0" borderId="21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165" fontId="4" fillId="3" borderId="12" xfId="1" applyNumberFormat="1" applyFont="1" applyFill="1" applyBorder="1" applyAlignment="1">
      <alignment horizontal="center" vertical="center"/>
    </xf>
    <xf numFmtId="165" fontId="5" fillId="3" borderId="12" xfId="1" applyNumberFormat="1" applyFont="1" applyFill="1" applyBorder="1" applyAlignment="1">
      <alignment horizontal="center" vertical="center"/>
    </xf>
    <xf numFmtId="165" fontId="6" fillId="3" borderId="12" xfId="1" applyNumberFormat="1" applyFont="1" applyFill="1" applyBorder="1" applyAlignment="1">
      <alignment horizontal="center" vertical="center"/>
    </xf>
    <xf numFmtId="0" fontId="73" fillId="0" borderId="0" xfId="1" applyFont="1"/>
    <xf numFmtId="0" fontId="2" fillId="0" borderId="47" xfId="1" applyFont="1" applyBorder="1" applyAlignment="1">
      <alignment horizontal="left" vertical="center"/>
    </xf>
    <xf numFmtId="1" fontId="71" fillId="0" borderId="12" xfId="1" applyNumberFormat="1" applyFont="1" applyFill="1" applyBorder="1" applyAlignment="1">
      <alignment horizontal="center" vertical="center"/>
    </xf>
    <xf numFmtId="1" fontId="71" fillId="0" borderId="59" xfId="1" applyNumberFormat="1" applyFont="1" applyBorder="1" applyAlignment="1">
      <alignment horizontal="center" vertical="center"/>
    </xf>
    <xf numFmtId="0" fontId="74" fillId="0" borderId="0" xfId="1" applyFont="1" applyAlignment="1">
      <alignment vertical="center"/>
    </xf>
    <xf numFmtId="1" fontId="70" fillId="0" borderId="12" xfId="1" applyNumberFormat="1" applyFont="1" applyBorder="1" applyAlignment="1">
      <alignment horizontal="center" vertical="center"/>
    </xf>
    <xf numFmtId="1" fontId="71" fillId="0" borderId="48" xfId="1" applyNumberFormat="1" applyFont="1" applyBorder="1" applyAlignment="1">
      <alignment horizontal="center" vertical="center"/>
    </xf>
    <xf numFmtId="0" fontId="47" fillId="5" borderId="47" xfId="1" applyFont="1" applyFill="1" applyBorder="1"/>
    <xf numFmtId="165" fontId="35" fillId="5" borderId="40" xfId="1" applyNumberFormat="1" applyFont="1" applyFill="1" applyBorder="1" applyAlignment="1">
      <alignment horizontal="center" vertical="center"/>
    </xf>
    <xf numFmtId="165" fontId="68" fillId="5" borderId="12" xfId="1" applyNumberFormat="1" applyFont="1" applyFill="1" applyBorder="1" applyAlignment="1">
      <alignment horizontal="center" vertical="center"/>
    </xf>
    <xf numFmtId="0" fontId="2" fillId="0" borderId="47" xfId="1" applyFont="1" applyFill="1" applyBorder="1" applyAlignment="1">
      <alignment vertical="center"/>
    </xf>
    <xf numFmtId="165" fontId="75" fillId="3" borderId="12" xfId="1" applyNumberFormat="1" applyFont="1" applyFill="1" applyBorder="1" applyAlignment="1">
      <alignment horizontal="center" vertical="center"/>
    </xf>
    <xf numFmtId="165" fontId="75" fillId="1" borderId="12" xfId="1" applyNumberFormat="1" applyFont="1" applyFill="1" applyBorder="1" applyAlignment="1">
      <alignment horizontal="center" vertical="center"/>
    </xf>
    <xf numFmtId="1" fontId="75" fillId="8" borderId="21" xfId="1" applyNumberFormat="1" applyFont="1" applyFill="1" applyBorder="1" applyAlignment="1">
      <alignment horizontal="center" vertical="center"/>
    </xf>
    <xf numFmtId="1" fontId="76" fillId="8" borderId="12" xfId="1" applyNumberFormat="1" applyFont="1" applyFill="1" applyBorder="1" applyAlignment="1">
      <alignment horizontal="center" vertical="center"/>
    </xf>
    <xf numFmtId="1" fontId="49" fillId="8" borderId="21" xfId="1" applyNumberFormat="1" applyFont="1" applyFill="1" applyBorder="1" applyAlignment="1">
      <alignment horizontal="center" vertical="center"/>
    </xf>
    <xf numFmtId="0" fontId="49" fillId="0" borderId="0" xfId="1" applyFont="1" applyAlignment="1">
      <alignment vertical="center"/>
    </xf>
    <xf numFmtId="1" fontId="49" fillId="0" borderId="12" xfId="1" applyNumberFormat="1" applyFont="1" applyBorder="1" applyAlignment="1">
      <alignment horizontal="center" vertical="center"/>
    </xf>
    <xf numFmtId="0" fontId="2" fillId="6" borderId="47" xfId="1" applyFont="1" applyFill="1" applyBorder="1" applyAlignment="1">
      <alignment vertical="center"/>
    </xf>
    <xf numFmtId="165" fontId="1" fillId="3" borderId="12" xfId="1" applyNumberFormat="1" applyFill="1" applyBorder="1" applyAlignment="1">
      <alignment horizontal="center" vertical="center"/>
    </xf>
    <xf numFmtId="165" fontId="35" fillId="3" borderId="40" xfId="1" applyNumberFormat="1" applyFont="1" applyFill="1" applyBorder="1" applyAlignment="1">
      <alignment horizontal="center" vertical="center"/>
    </xf>
    <xf numFmtId="1" fontId="75" fillId="3" borderId="21" xfId="1" applyNumberFormat="1" applyFont="1" applyFill="1" applyBorder="1" applyAlignment="1">
      <alignment horizontal="center" vertical="center"/>
    </xf>
    <xf numFmtId="1" fontId="76" fillId="3" borderId="12" xfId="1" applyNumberFormat="1" applyFont="1" applyFill="1" applyBorder="1" applyAlignment="1">
      <alignment horizontal="center" vertical="center"/>
    </xf>
    <xf numFmtId="1" fontId="49" fillId="3" borderId="21" xfId="1" applyNumberFormat="1" applyFont="1" applyFill="1" applyBorder="1" applyAlignment="1">
      <alignment horizontal="center" vertical="center"/>
    </xf>
    <xf numFmtId="0" fontId="2" fillId="0" borderId="14" xfId="1" applyFont="1" applyFill="1" applyBorder="1" applyAlignment="1">
      <alignment vertical="center"/>
    </xf>
    <xf numFmtId="165" fontId="49" fillId="3" borderId="59" xfId="1" applyNumberFormat="1" applyFont="1" applyFill="1" applyBorder="1" applyAlignment="1">
      <alignment horizontal="center" vertical="center"/>
    </xf>
    <xf numFmtId="165" fontId="50" fillId="3" borderId="59" xfId="1" applyNumberFormat="1" applyFont="1" applyFill="1" applyBorder="1" applyAlignment="1">
      <alignment horizontal="center" vertical="center"/>
    </xf>
    <xf numFmtId="165" fontId="75" fillId="3" borderId="59" xfId="1" applyNumberFormat="1" applyFont="1" applyFill="1" applyBorder="1" applyAlignment="1">
      <alignment horizontal="center" vertical="center"/>
    </xf>
    <xf numFmtId="165" fontId="50" fillId="3" borderId="70" xfId="1" applyNumberFormat="1" applyFont="1" applyFill="1" applyBorder="1" applyAlignment="1">
      <alignment horizontal="center" vertical="center"/>
    </xf>
    <xf numFmtId="165" fontId="49" fillId="3" borderId="71" xfId="1" applyNumberFormat="1" applyFont="1" applyFill="1" applyBorder="1" applyAlignment="1">
      <alignment horizontal="center" vertical="center"/>
    </xf>
    <xf numFmtId="165" fontId="77" fillId="0" borderId="59" xfId="1" applyNumberFormat="1" applyFont="1" applyFill="1" applyBorder="1" applyAlignment="1">
      <alignment horizontal="center" vertical="center"/>
    </xf>
    <xf numFmtId="165" fontId="1" fillId="0" borderId="30" xfId="1" applyNumberFormat="1" applyFill="1" applyBorder="1" applyAlignment="1">
      <alignment horizontal="center" vertical="center"/>
    </xf>
    <xf numFmtId="165" fontId="68" fillId="0" borderId="30" xfId="1" applyNumberFormat="1" applyFont="1" applyFill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165" fontId="1" fillId="0" borderId="0" xfId="1" applyNumberFormat="1" applyAlignment="1">
      <alignment horizontal="left"/>
    </xf>
    <xf numFmtId="165" fontId="4" fillId="0" borderId="0" xfId="1" applyNumberFormat="1" applyFont="1" applyBorder="1" applyAlignment="1">
      <alignment horizontal="center" vertical="center"/>
    </xf>
    <xf numFmtId="165" fontId="5" fillId="0" borderId="0" xfId="1" applyNumberFormat="1" applyFont="1" applyBorder="1" applyAlignment="1">
      <alignment horizontal="center" vertical="center"/>
    </xf>
    <xf numFmtId="165" fontId="1" fillId="0" borderId="0" xfId="1" applyNumberFormat="1" applyBorder="1" applyAlignment="1">
      <alignment horizontal="center" vertical="center"/>
    </xf>
    <xf numFmtId="165" fontId="6" fillId="0" borderId="0" xfId="1" applyNumberFormat="1" applyFont="1" applyBorder="1" applyAlignment="1">
      <alignment horizontal="center" vertical="center"/>
    </xf>
    <xf numFmtId="165" fontId="28" fillId="0" borderId="0" xfId="1" applyNumberFormat="1" applyFont="1" applyBorder="1" applyAlignment="1">
      <alignment horizontal="center" vertical="center"/>
    </xf>
    <xf numFmtId="165" fontId="78" fillId="0" borderId="0" xfId="1" applyNumberFormat="1" applyFont="1" applyBorder="1" applyAlignment="1">
      <alignment horizontal="center" vertical="center"/>
    </xf>
    <xf numFmtId="0" fontId="79" fillId="0" borderId="0" xfId="1" applyFont="1" applyBorder="1" applyAlignment="1">
      <alignment horizontal="center" vertical="center"/>
    </xf>
    <xf numFmtId="165" fontId="15" fillId="0" borderId="0" xfId="1" applyNumberFormat="1" applyFont="1" applyBorder="1" applyAlignment="1">
      <alignment horizontal="center" vertical="center"/>
    </xf>
    <xf numFmtId="165" fontId="80" fillId="0" borderId="0" xfId="1" applyNumberFormat="1" applyFont="1" applyBorder="1" applyAlignment="1">
      <alignment horizontal="center" vertical="center"/>
    </xf>
    <xf numFmtId="1" fontId="10" fillId="0" borderId="0" xfId="1" applyNumberFormat="1" applyFont="1" applyAlignment="1">
      <alignment horizontal="center"/>
    </xf>
    <xf numFmtId="1" fontId="81" fillId="0" borderId="0" xfId="1" applyNumberFormat="1" applyFont="1" applyAlignment="1">
      <alignment horizontal="center"/>
    </xf>
    <xf numFmtId="165" fontId="4" fillId="0" borderId="0" xfId="1" applyNumberFormat="1" applyFont="1" applyAlignment="1">
      <alignment horizontal="left"/>
    </xf>
    <xf numFmtId="0" fontId="21" fillId="0" borderId="0" xfId="1" applyFont="1" applyFill="1" applyBorder="1"/>
    <xf numFmtId="0" fontId="1" fillId="0" borderId="0" xfId="1" applyFill="1" applyBorder="1"/>
    <xf numFmtId="165" fontId="1" fillId="0" borderId="0" xfId="1" applyNumberFormat="1" applyAlignment="1"/>
    <xf numFmtId="0" fontId="1" fillId="0" borderId="0" xfId="1" applyBorder="1" applyAlignment="1">
      <alignment horizontal="center" vertical="center"/>
    </xf>
    <xf numFmtId="0" fontId="1" fillId="0" borderId="0" xfId="1" applyAlignment="1"/>
    <xf numFmtId="0" fontId="2" fillId="9" borderId="47" xfId="1" applyFont="1" applyFill="1" applyBorder="1" applyAlignment="1">
      <alignment vertical="center"/>
    </xf>
    <xf numFmtId="165" fontId="4" fillId="3" borderId="30" xfId="1" applyNumberFormat="1" applyFont="1" applyFill="1" applyBorder="1" applyAlignment="1">
      <alignment horizontal="center" vertical="center"/>
    </xf>
    <xf numFmtId="165" fontId="5" fillId="3" borderId="30" xfId="1" applyNumberFormat="1" applyFont="1" applyFill="1" applyBorder="1" applyAlignment="1">
      <alignment horizontal="center" vertical="center"/>
    </xf>
    <xf numFmtId="165" fontId="6" fillId="3" borderId="30" xfId="1" applyNumberFormat="1" applyFont="1" applyFill="1" applyBorder="1" applyAlignment="1">
      <alignment horizontal="center" vertical="center"/>
    </xf>
    <xf numFmtId="165" fontId="35" fillId="3" borderId="55" xfId="1" applyNumberFormat="1" applyFont="1" applyFill="1" applyBorder="1" applyAlignment="1">
      <alignment horizontal="center" vertical="center"/>
    </xf>
    <xf numFmtId="165" fontId="43" fillId="3" borderId="30" xfId="1" applyNumberFormat="1" applyFont="1" applyFill="1" applyBorder="1" applyAlignment="1">
      <alignment horizontal="center" vertical="center"/>
    </xf>
    <xf numFmtId="165" fontId="6" fillId="0" borderId="57" xfId="1" applyNumberFormat="1" applyFont="1" applyBorder="1" applyAlignment="1">
      <alignment horizontal="center" vertical="center"/>
    </xf>
    <xf numFmtId="165" fontId="4" fillId="3" borderId="0" xfId="1" applyNumberFormat="1" applyFont="1" applyFill="1" applyBorder="1" applyAlignment="1">
      <alignment horizontal="center" vertical="center"/>
    </xf>
    <xf numFmtId="165" fontId="5" fillId="3" borderId="0" xfId="1" applyNumberFormat="1" applyFont="1" applyFill="1" applyBorder="1" applyAlignment="1">
      <alignment horizontal="center" vertical="center"/>
    </xf>
    <xf numFmtId="165" fontId="6" fillId="3" borderId="0" xfId="1" applyNumberFormat="1" applyFont="1" applyFill="1" applyBorder="1" applyAlignment="1">
      <alignment horizontal="center" vertical="center"/>
    </xf>
    <xf numFmtId="165" fontId="35" fillId="3" borderId="0" xfId="1" applyNumberFormat="1" applyFont="1" applyFill="1" applyBorder="1" applyAlignment="1">
      <alignment horizontal="center" vertical="center"/>
    </xf>
    <xf numFmtId="165" fontId="1" fillId="0" borderId="0" xfId="1" applyNumberFormat="1" applyFill="1" applyBorder="1" applyAlignment="1">
      <alignment horizontal="center" vertical="center"/>
    </xf>
    <xf numFmtId="165" fontId="43" fillId="3" borderId="0" xfId="1" applyNumberFormat="1" applyFont="1" applyFill="1" applyBorder="1" applyAlignment="1">
      <alignment horizontal="center" vertical="center"/>
    </xf>
    <xf numFmtId="165" fontId="36" fillId="0" borderId="0" xfId="1" applyNumberFormat="1" applyFont="1" applyBorder="1" applyAlignment="1">
      <alignment horizontal="center" vertical="center"/>
    </xf>
    <xf numFmtId="173" fontId="32" fillId="0" borderId="0" xfId="1" applyNumberFormat="1" applyFont="1" applyBorder="1" applyAlignment="1">
      <alignment horizontal="center" vertical="center"/>
    </xf>
    <xf numFmtId="0" fontId="21" fillId="0" borderId="0" xfId="1" applyFont="1" applyFill="1" applyBorder="1" applyAlignment="1"/>
    <xf numFmtId="0" fontId="1" fillId="0" borderId="0" xfId="1" applyFill="1" applyBorder="1" applyAlignment="1"/>
    <xf numFmtId="165" fontId="35" fillId="0" borderId="55" xfId="1" applyNumberFormat="1" applyFont="1" applyBorder="1" applyAlignment="1">
      <alignment horizontal="center" vertical="center"/>
    </xf>
    <xf numFmtId="165" fontId="35" fillId="3" borderId="54" xfId="1" applyNumberFormat="1" applyFont="1" applyFill="1" applyBorder="1" applyAlignment="1">
      <alignment horizontal="center" vertical="center"/>
    </xf>
    <xf numFmtId="1" fontId="70" fillId="0" borderId="72" xfId="1" applyNumberFormat="1" applyFont="1" applyBorder="1" applyAlignment="1">
      <alignment horizontal="center" vertical="center"/>
    </xf>
    <xf numFmtId="1" fontId="71" fillId="0" borderId="73" xfId="1" applyNumberFormat="1" applyFont="1" applyBorder="1" applyAlignment="1">
      <alignment horizontal="center" vertical="center"/>
    </xf>
    <xf numFmtId="1" fontId="71" fillId="0" borderId="75" xfId="1" applyNumberFormat="1" applyFont="1" applyBorder="1" applyAlignment="1">
      <alignment horizontal="center" vertical="center"/>
    </xf>
    <xf numFmtId="1" fontId="38" fillId="0" borderId="73" xfId="1" applyNumberFormat="1" applyFont="1" applyBorder="1" applyAlignment="1">
      <alignment horizontal="center" vertical="center"/>
    </xf>
    <xf numFmtId="0" fontId="1" fillId="0" borderId="76" xfId="1" applyBorder="1" applyAlignment="1">
      <alignment vertical="center"/>
    </xf>
    <xf numFmtId="1" fontId="1" fillId="0" borderId="74" xfId="1" applyNumberFormat="1" applyBorder="1" applyAlignment="1">
      <alignment horizontal="center" vertical="center"/>
    </xf>
    <xf numFmtId="165" fontId="15" fillId="10" borderId="10" xfId="1" applyNumberFormat="1" applyFont="1" applyFill="1" applyBorder="1" applyAlignment="1">
      <alignment horizontal="center" vertical="center"/>
    </xf>
    <xf numFmtId="165" fontId="80" fillId="10" borderId="8" xfId="1" applyNumberFormat="1" applyFont="1" applyFill="1" applyBorder="1" applyAlignment="1">
      <alignment horizontal="center" vertical="center"/>
    </xf>
    <xf numFmtId="0" fontId="1" fillId="10" borderId="8" xfId="1" applyFill="1" applyBorder="1"/>
    <xf numFmtId="0" fontId="21" fillId="10" borderId="8" xfId="1" applyFont="1" applyFill="1" applyBorder="1"/>
    <xf numFmtId="0" fontId="1" fillId="10" borderId="9" xfId="1" applyFill="1" applyBorder="1"/>
    <xf numFmtId="165" fontId="15" fillId="10" borderId="17" xfId="1" applyNumberFormat="1" applyFont="1" applyFill="1" applyBorder="1" applyAlignment="1">
      <alignment horizontal="center" vertical="center"/>
    </xf>
    <xf numFmtId="165" fontId="87" fillId="11" borderId="78" xfId="1" applyNumberFormat="1" applyFont="1" applyFill="1" applyBorder="1" applyAlignment="1">
      <alignment horizontal="left"/>
    </xf>
    <xf numFmtId="165" fontId="28" fillId="11" borderId="79" xfId="1" applyNumberFormat="1" applyFont="1" applyFill="1" applyBorder="1" applyAlignment="1">
      <alignment horizontal="center"/>
    </xf>
    <xf numFmtId="0" fontId="28" fillId="11" borderId="79" xfId="1" applyFont="1" applyFill="1" applyBorder="1"/>
    <xf numFmtId="0" fontId="1" fillId="11" borderId="79" xfId="1" applyFill="1" applyBorder="1"/>
    <xf numFmtId="0" fontId="1" fillId="11" borderId="80" xfId="1" applyFill="1" applyBorder="1"/>
    <xf numFmtId="0" fontId="1" fillId="10" borderId="18" xfId="1" applyFill="1" applyBorder="1"/>
    <xf numFmtId="0" fontId="26" fillId="0" borderId="0" xfId="1" applyFont="1" applyBorder="1" applyAlignment="1">
      <alignment horizontal="center" textRotation="90"/>
    </xf>
    <xf numFmtId="0" fontId="88" fillId="0" borderId="0" xfId="1" applyFont="1" applyBorder="1" applyAlignment="1">
      <alignment horizontal="justify" textRotation="90"/>
    </xf>
    <xf numFmtId="0" fontId="89" fillId="0" borderId="0" xfId="1" applyFont="1" applyBorder="1" applyAlignment="1">
      <alignment horizontal="justify" textRotation="90"/>
    </xf>
    <xf numFmtId="0" fontId="25" fillId="0" borderId="0" xfId="1" applyFont="1" applyBorder="1" applyAlignment="1">
      <alignment horizontal="justify" textRotation="90"/>
    </xf>
    <xf numFmtId="165" fontId="1" fillId="10" borderId="17" xfId="1" applyNumberFormat="1" applyFill="1" applyBorder="1" applyAlignment="1">
      <alignment horizontal="center"/>
    </xf>
    <xf numFmtId="0" fontId="1" fillId="10" borderId="0" xfId="1" applyFill="1" applyBorder="1"/>
    <xf numFmtId="165" fontId="1" fillId="10" borderId="0" xfId="1" applyNumberFormat="1" applyFill="1" applyBorder="1" applyAlignment="1">
      <alignment horizontal="center"/>
    </xf>
    <xf numFmtId="165" fontId="18" fillId="10" borderId="0" xfId="1" applyNumberFormat="1" applyFont="1" applyFill="1" applyBorder="1" applyAlignment="1">
      <alignment horizontal="center"/>
    </xf>
    <xf numFmtId="165" fontId="90" fillId="10" borderId="0" xfId="1" applyNumberFormat="1" applyFont="1" applyFill="1" applyBorder="1" applyAlignment="1">
      <alignment horizontal="right"/>
    </xf>
    <xf numFmtId="0" fontId="91" fillId="10" borderId="0" xfId="1" applyFont="1" applyFill="1" applyBorder="1" applyAlignment="1">
      <alignment horizontal="center"/>
    </xf>
    <xf numFmtId="165" fontId="1" fillId="10" borderId="28" xfId="1" applyNumberFormat="1" applyFill="1" applyBorder="1" applyAlignment="1">
      <alignment horizontal="center"/>
    </xf>
    <xf numFmtId="0" fontId="1" fillId="10" borderId="33" xfId="1" applyFill="1" applyBorder="1"/>
    <xf numFmtId="165" fontId="96" fillId="10" borderId="33" xfId="1" applyNumberFormat="1" applyFont="1" applyFill="1" applyBorder="1" applyAlignment="1">
      <alignment horizontal="center"/>
    </xf>
    <xf numFmtId="165" fontId="1" fillId="10" borderId="33" xfId="1" applyNumberFormat="1" applyFill="1" applyBorder="1" applyAlignment="1">
      <alignment horizontal="center"/>
    </xf>
    <xf numFmtId="0" fontId="1" fillId="10" borderId="36" xfId="1" applyFill="1" applyBorder="1"/>
    <xf numFmtId="165" fontId="1" fillId="0" borderId="0" xfId="1" applyNumberFormat="1" applyBorder="1" applyAlignment="1">
      <alignment horizontal="center"/>
    </xf>
    <xf numFmtId="0" fontId="95" fillId="0" borderId="12" xfId="1" applyFont="1" applyBorder="1" applyAlignment="1">
      <alignment horizontal="justify"/>
    </xf>
    <xf numFmtId="165" fontId="6" fillId="0" borderId="0" xfId="1" applyNumberFormat="1" applyFont="1" applyAlignment="1">
      <alignment horizontal="center" vertical="center"/>
    </xf>
    <xf numFmtId="0" fontId="98" fillId="0" borderId="12" xfId="1" applyFont="1" applyBorder="1" applyAlignment="1">
      <alignment horizontal="justify"/>
    </xf>
    <xf numFmtId="0" fontId="14" fillId="0" borderId="0" xfId="1" applyFont="1"/>
    <xf numFmtId="165" fontId="10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center"/>
    </xf>
    <xf numFmtId="165" fontId="68" fillId="0" borderId="0" xfId="1" applyNumberFormat="1" applyFont="1" applyAlignment="1">
      <alignment horizontal="center"/>
    </xf>
    <xf numFmtId="39" fontId="10" fillId="0" borderId="81" xfId="1" applyNumberFormat="1" applyFont="1" applyBorder="1" applyAlignment="1">
      <alignment horizontal="right"/>
    </xf>
    <xf numFmtId="165" fontId="97" fillId="0" borderId="82" xfId="1" applyNumberFormat="1" applyFont="1" applyBorder="1" applyAlignment="1">
      <alignment horizontal="center"/>
    </xf>
    <xf numFmtId="177" fontId="1" fillId="0" borderId="0" xfId="1" applyNumberFormat="1" applyAlignment="1">
      <alignment horizontal="center"/>
    </xf>
    <xf numFmtId="0" fontId="2" fillId="0" borderId="12" xfId="1" applyFont="1" applyBorder="1"/>
    <xf numFmtId="165" fontId="78" fillId="0" borderId="12" xfId="1" applyNumberFormat="1" applyFont="1" applyBorder="1" applyAlignment="1">
      <alignment horizontal="center" vertical="center"/>
    </xf>
    <xf numFmtId="0" fontId="100" fillId="0" borderId="12" xfId="1" applyFont="1" applyBorder="1" applyAlignment="1">
      <alignment horizontal="center" vertical="center"/>
    </xf>
    <xf numFmtId="165" fontId="15" fillId="0" borderId="12" xfId="1" applyNumberFormat="1" applyFont="1" applyBorder="1" applyAlignment="1">
      <alignment horizontal="center" vertical="center"/>
    </xf>
    <xf numFmtId="165" fontId="80" fillId="0" borderId="12" xfId="1" applyNumberFormat="1" applyFont="1" applyBorder="1" applyAlignment="1">
      <alignment horizontal="center" vertical="center"/>
    </xf>
    <xf numFmtId="0" fontId="101" fillId="0" borderId="0" xfId="1" applyFont="1" applyFill="1" applyBorder="1" applyAlignment="1"/>
    <xf numFmtId="0" fontId="2" fillId="0" borderId="12" xfId="1" applyFont="1" applyFill="1" applyBorder="1" applyAlignment="1">
      <alignment vertical="center"/>
    </xf>
    <xf numFmtId="0" fontId="68" fillId="0" borderId="0" xfId="1" applyFont="1" applyFill="1" applyBorder="1" applyAlignment="1">
      <alignment horizontal="center"/>
    </xf>
    <xf numFmtId="0" fontId="2" fillId="0" borderId="12" xfId="1" applyFont="1" applyBorder="1" applyAlignment="1">
      <alignment vertical="center"/>
    </xf>
    <xf numFmtId="178" fontId="68" fillId="0" borderId="0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/>
    </xf>
    <xf numFmtId="165" fontId="1" fillId="0" borderId="0" xfId="1" applyNumberFormat="1" applyFill="1" applyAlignment="1">
      <alignment horizontal="center"/>
    </xf>
    <xf numFmtId="0" fontId="1" fillId="0" borderId="0" xfId="1" applyFill="1"/>
    <xf numFmtId="0" fontId="2" fillId="9" borderId="12" xfId="1" applyFont="1" applyFill="1" applyBorder="1" applyAlignment="1">
      <alignment vertical="center"/>
    </xf>
    <xf numFmtId="178" fontId="32" fillId="0" borderId="0" xfId="1" applyNumberFormat="1" applyFont="1" applyAlignment="1">
      <alignment horizontal="center"/>
    </xf>
    <xf numFmtId="179" fontId="68" fillId="0" borderId="0" xfId="1" applyNumberFormat="1" applyFont="1" applyFill="1" applyBorder="1" applyAlignment="1">
      <alignment horizontal="center"/>
    </xf>
    <xf numFmtId="0" fontId="109" fillId="9" borderId="12" xfId="1" applyFont="1" applyFill="1" applyBorder="1"/>
    <xf numFmtId="0" fontId="13" fillId="0" borderId="12" xfId="1" applyFont="1" applyBorder="1"/>
    <xf numFmtId="2" fontId="1" fillId="0" borderId="0" xfId="1" applyNumberFormat="1" applyBorder="1" applyAlignment="1">
      <alignment horizontal="center"/>
    </xf>
    <xf numFmtId="0" fontId="115" fillId="0" borderId="12" xfId="1" applyFont="1" applyBorder="1" applyAlignment="1">
      <alignment vertical="center"/>
    </xf>
    <xf numFmtId="172" fontId="116" fillId="0" borderId="0" xfId="1" applyNumberFormat="1" applyFont="1" applyBorder="1" applyAlignment="1">
      <alignment horizontal="center"/>
    </xf>
    <xf numFmtId="165" fontId="118" fillId="0" borderId="0" xfId="1" applyNumberFormat="1" applyFont="1" applyAlignment="1"/>
    <xf numFmtId="165" fontId="1" fillId="0" borderId="48" xfId="1" applyNumberFormat="1" applyBorder="1" applyAlignment="1">
      <alignment horizontal="left"/>
    </xf>
    <xf numFmtId="165" fontId="1" fillId="0" borderId="26" xfId="1" applyNumberFormat="1" applyBorder="1" applyAlignment="1">
      <alignment horizontal="center"/>
    </xf>
    <xf numFmtId="2" fontId="68" fillId="0" borderId="0" xfId="1" applyNumberFormat="1" applyFont="1" applyFill="1" applyBorder="1" applyAlignment="1">
      <alignment horizontal="center"/>
    </xf>
    <xf numFmtId="165" fontId="119" fillId="0" borderId="0" xfId="1" applyNumberFormat="1" applyFont="1" applyAlignment="1">
      <alignment horizontal="left"/>
    </xf>
    <xf numFmtId="165" fontId="120" fillId="0" borderId="0" xfId="1" applyNumberFormat="1" applyFont="1" applyAlignment="1">
      <alignment horizontal="center"/>
    </xf>
    <xf numFmtId="2" fontId="121" fillId="0" borderId="0" xfId="1" applyNumberFormat="1" applyFont="1" applyFill="1" applyBorder="1" applyAlignment="1">
      <alignment horizontal="center"/>
    </xf>
    <xf numFmtId="0" fontId="121" fillId="0" borderId="0" xfId="1" applyFont="1" applyFill="1" applyBorder="1" applyAlignment="1"/>
    <xf numFmtId="165" fontId="1" fillId="0" borderId="67" xfId="1" applyNumberFormat="1" applyBorder="1" applyAlignment="1">
      <alignment horizontal="center"/>
    </xf>
    <xf numFmtId="165" fontId="4" fillId="0" borderId="67" xfId="1" applyNumberFormat="1" applyFont="1" applyBorder="1" applyAlignment="1">
      <alignment horizontal="center"/>
    </xf>
    <xf numFmtId="165" fontId="5" fillId="0" borderId="67" xfId="1" applyNumberFormat="1" applyFont="1" applyBorder="1" applyAlignment="1">
      <alignment horizontal="center"/>
    </xf>
    <xf numFmtId="165" fontId="6" fillId="0" borderId="67" xfId="1" applyNumberFormat="1" applyFont="1" applyBorder="1" applyAlignment="1">
      <alignment horizontal="center"/>
    </xf>
    <xf numFmtId="165" fontId="1" fillId="0" borderId="5" xfId="1" applyNumberFormat="1" applyBorder="1" applyAlignment="1">
      <alignment horizontal="left"/>
    </xf>
    <xf numFmtId="165" fontId="1" fillId="0" borderId="5" xfId="1" applyNumberFormat="1" applyBorder="1" applyAlignment="1">
      <alignment horizontal="center"/>
    </xf>
    <xf numFmtId="165" fontId="4" fillId="0" borderId="5" xfId="1" applyNumberFormat="1" applyFont="1" applyBorder="1" applyAlignment="1">
      <alignment horizontal="center"/>
    </xf>
    <xf numFmtId="165" fontId="5" fillId="0" borderId="5" xfId="1" applyNumberFormat="1" applyFont="1" applyBorder="1" applyAlignment="1">
      <alignment horizontal="center"/>
    </xf>
    <xf numFmtId="165" fontId="6" fillId="0" borderId="5" xfId="1" applyNumberFormat="1" applyFont="1" applyBorder="1" applyAlignment="1">
      <alignment horizontal="center"/>
    </xf>
    <xf numFmtId="165" fontId="6" fillId="0" borderId="0" xfId="1" applyNumberFormat="1" applyFont="1" applyBorder="1" applyAlignment="1">
      <alignment horizontal="center"/>
    </xf>
    <xf numFmtId="165" fontId="6" fillId="0" borderId="26" xfId="1" applyNumberFormat="1" applyFont="1" applyBorder="1" applyAlignment="1">
      <alignment horizontal="center"/>
    </xf>
    <xf numFmtId="2" fontId="1" fillId="0" borderId="0" xfId="1" applyNumberFormat="1" applyAlignment="1">
      <alignment horizontal="center"/>
    </xf>
    <xf numFmtId="165" fontId="1" fillId="0" borderId="0" xfId="1" applyNumberFormat="1" applyBorder="1" applyAlignment="1">
      <alignment horizontal="left"/>
    </xf>
    <xf numFmtId="165" fontId="4" fillId="0" borderId="0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81" fontId="1" fillId="0" borderId="0" xfId="1" applyNumberFormat="1" applyAlignment="1">
      <alignment horizontal="center"/>
    </xf>
    <xf numFmtId="0" fontId="1" fillId="0" borderId="0" xfId="1" applyAlignment="1">
      <alignment horizontal="center"/>
    </xf>
    <xf numFmtId="165" fontId="118" fillId="0" borderId="0" xfId="1" applyNumberFormat="1" applyFont="1" applyAlignment="1">
      <alignment horizontal="left"/>
    </xf>
    <xf numFmtId="165" fontId="122" fillId="0" borderId="0" xfId="1" applyNumberFormat="1" applyFont="1" applyAlignment="1">
      <alignment horizontal="center"/>
    </xf>
    <xf numFmtId="165" fontId="123" fillId="0" borderId="0" xfId="1" applyNumberFormat="1" applyFont="1" applyAlignment="1">
      <alignment horizontal="center"/>
    </xf>
    <xf numFmtId="165" fontId="120" fillId="0" borderId="0" xfId="1" applyNumberFormat="1" applyFont="1" applyBorder="1" applyAlignment="1">
      <alignment horizontal="center"/>
    </xf>
    <xf numFmtId="165" fontId="122" fillId="0" borderId="0" xfId="1" applyNumberFormat="1" applyFont="1" applyBorder="1" applyAlignment="1">
      <alignment horizontal="center"/>
    </xf>
    <xf numFmtId="2" fontId="124" fillId="0" borderId="2" xfId="1" applyNumberFormat="1" applyFont="1" applyFill="1" applyBorder="1" applyAlignment="1">
      <alignment horizontal="center"/>
    </xf>
    <xf numFmtId="0" fontId="124" fillId="0" borderId="2" xfId="1" applyFont="1" applyFill="1" applyBorder="1" applyAlignment="1"/>
    <xf numFmtId="0" fontId="124" fillId="0" borderId="3" xfId="1" applyFont="1" applyFill="1" applyBorder="1" applyAlignment="1"/>
    <xf numFmtId="2" fontId="126" fillId="0" borderId="0" xfId="1" applyNumberFormat="1" applyFont="1" applyFill="1" applyBorder="1" applyAlignment="1">
      <alignment horizontal="center"/>
    </xf>
    <xf numFmtId="0" fontId="124" fillId="0" borderId="0" xfId="1" applyFont="1" applyFill="1" applyBorder="1" applyAlignment="1"/>
    <xf numFmtId="2" fontId="124" fillId="0" borderId="0" xfId="1" applyNumberFormat="1" applyFont="1" applyFill="1" applyBorder="1" applyAlignment="1">
      <alignment horizontal="center"/>
    </xf>
    <xf numFmtId="2" fontId="127" fillId="0" borderId="0" xfId="1" applyNumberFormat="1" applyFont="1" applyFill="1" applyBorder="1" applyAlignment="1">
      <alignment horizontal="center"/>
    </xf>
    <xf numFmtId="0" fontId="127" fillId="0" borderId="0" xfId="1" applyFont="1" applyFill="1" applyBorder="1" applyAlignment="1"/>
    <xf numFmtId="0" fontId="124" fillId="0" borderId="24" xfId="1" applyFont="1" applyFill="1" applyBorder="1" applyAlignment="1"/>
    <xf numFmtId="0" fontId="128" fillId="0" borderId="0" xfId="1" applyFont="1" applyFill="1" applyBorder="1" applyAlignment="1"/>
    <xf numFmtId="0" fontId="124" fillId="0" borderId="0" xfId="1" applyFont="1" applyBorder="1"/>
    <xf numFmtId="0" fontId="124" fillId="0" borderId="4" xfId="1" applyFont="1" applyFill="1" applyBorder="1" applyAlignment="1"/>
    <xf numFmtId="0" fontId="124" fillId="0" borderId="5" xfId="1" applyFont="1" applyBorder="1"/>
    <xf numFmtId="0" fontId="124" fillId="0" borderId="5" xfId="1" applyFont="1" applyFill="1" applyBorder="1" applyAlignment="1"/>
    <xf numFmtId="165" fontId="68" fillId="0" borderId="0" xfId="1" applyNumberFormat="1" applyFont="1" applyAlignment="1">
      <alignment horizontal="left"/>
    </xf>
    <xf numFmtId="165" fontId="68" fillId="0" borderId="8" xfId="1" applyNumberFormat="1" applyFont="1" applyBorder="1" applyAlignment="1">
      <alignment horizontal="left"/>
    </xf>
    <xf numFmtId="165" fontId="4" fillId="0" borderId="8" xfId="1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165" fontId="6" fillId="0" borderId="8" xfId="1" applyNumberFormat="1" applyFont="1" applyBorder="1" applyAlignment="1">
      <alignment horizontal="center"/>
    </xf>
    <xf numFmtId="0" fontId="1" fillId="0" borderId="8" xfId="1" applyBorder="1"/>
    <xf numFmtId="0" fontId="1" fillId="0" borderId="9" xfId="1" applyBorder="1"/>
    <xf numFmtId="165" fontId="118" fillId="0" borderId="0" xfId="1" applyNumberFormat="1" applyFont="1" applyBorder="1" applyAlignment="1"/>
    <xf numFmtId="0" fontId="1" fillId="0" borderId="18" xfId="1" applyBorder="1"/>
    <xf numFmtId="0" fontId="1" fillId="0" borderId="17" xfId="1" applyBorder="1"/>
    <xf numFmtId="165" fontId="119" fillId="0" borderId="0" xfId="1" applyNumberFormat="1" applyFont="1" applyBorder="1" applyAlignment="1">
      <alignment horizontal="left"/>
    </xf>
    <xf numFmtId="165" fontId="68" fillId="0" borderId="0" xfId="1" applyNumberFormat="1" applyFont="1" applyBorder="1" applyAlignment="1">
      <alignment horizontal="left"/>
    </xf>
    <xf numFmtId="165" fontId="1" fillId="0" borderId="33" xfId="1" applyNumberFormat="1" applyBorder="1" applyAlignment="1">
      <alignment horizontal="left"/>
    </xf>
    <xf numFmtId="165" fontId="1" fillId="0" borderId="33" xfId="1" applyNumberFormat="1" applyBorder="1" applyAlignment="1">
      <alignment horizontal="center"/>
    </xf>
    <xf numFmtId="165" fontId="4" fillId="0" borderId="33" xfId="1" applyNumberFormat="1" applyFont="1" applyBorder="1" applyAlignment="1">
      <alignment horizontal="center"/>
    </xf>
    <xf numFmtId="165" fontId="5" fillId="0" borderId="33" xfId="1" applyNumberFormat="1" applyFont="1" applyBorder="1" applyAlignment="1">
      <alignment horizontal="center"/>
    </xf>
    <xf numFmtId="165" fontId="6" fillId="0" borderId="33" xfId="1" applyNumberFormat="1" applyFont="1" applyBorder="1" applyAlignment="1">
      <alignment horizontal="center"/>
    </xf>
    <xf numFmtId="0" fontId="1" fillId="0" borderId="33" xfId="1" applyBorder="1"/>
    <xf numFmtId="0" fontId="1" fillId="0" borderId="36" xfId="1" applyBorder="1"/>
    <xf numFmtId="165" fontId="1" fillId="0" borderId="10" xfId="1" applyNumberFormat="1" applyBorder="1" applyAlignment="1">
      <alignment horizontal="center"/>
    </xf>
    <xf numFmtId="2" fontId="1" fillId="0" borderId="8" xfId="1" applyNumberFormat="1" applyBorder="1" applyAlignment="1">
      <alignment horizontal="center"/>
    </xf>
    <xf numFmtId="165" fontId="1" fillId="0" borderId="17" xfId="1" applyNumberFormat="1" applyBorder="1" applyAlignment="1">
      <alignment horizontal="center"/>
    </xf>
    <xf numFmtId="165" fontId="132" fillId="0" borderId="0" xfId="1" applyNumberFormat="1" applyFont="1" applyBorder="1" applyAlignment="1">
      <alignment horizontal="left"/>
    </xf>
    <xf numFmtId="165" fontId="41" fillId="0" borderId="17" xfId="1" applyNumberFormat="1" applyFont="1" applyBorder="1" applyAlignment="1">
      <alignment horizontal="center"/>
    </xf>
    <xf numFmtId="0" fontId="134" fillId="0" borderId="0" xfId="1" applyFont="1" applyBorder="1"/>
    <xf numFmtId="165" fontId="68" fillId="0" borderId="0" xfId="1" applyNumberFormat="1" applyFont="1" applyBorder="1" applyAlignment="1">
      <alignment horizontal="left" indent="2"/>
    </xf>
    <xf numFmtId="165" fontId="1" fillId="0" borderId="28" xfId="1" applyNumberFormat="1" applyBorder="1" applyAlignment="1">
      <alignment horizontal="center"/>
    </xf>
    <xf numFmtId="172" fontId="116" fillId="0" borderId="33" xfId="1" applyNumberFormat="1" applyFont="1" applyBorder="1" applyAlignment="1">
      <alignment horizontal="center"/>
    </xf>
    <xf numFmtId="165" fontId="143" fillId="0" borderId="21" xfId="1" applyNumberFormat="1" applyFont="1" applyFill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39" xfId="1" applyNumberFormat="1" applyFont="1" applyBorder="1" applyAlignment="1">
      <alignment horizontal="center" vertical="center"/>
    </xf>
    <xf numFmtId="165" fontId="1" fillId="0" borderId="21" xfId="1" applyNumberFormat="1" applyFont="1" applyBorder="1" applyAlignment="1">
      <alignment horizontal="center" vertical="center"/>
    </xf>
    <xf numFmtId="165" fontId="1" fillId="0" borderId="6" xfId="1" applyNumberFormat="1" applyFont="1" applyBorder="1" applyAlignment="1">
      <alignment horizontal="center" vertical="center"/>
    </xf>
    <xf numFmtId="165" fontId="1" fillId="0" borderId="21" xfId="1" applyNumberFormat="1" applyFont="1" applyFill="1" applyBorder="1" applyAlignment="1">
      <alignment horizontal="center" vertical="center"/>
    </xf>
    <xf numFmtId="172" fontId="14" fillId="0" borderId="46" xfId="4" applyNumberFormat="1" applyFont="1" applyBorder="1" applyAlignment="1">
      <alignment vertical="center"/>
    </xf>
    <xf numFmtId="172" fontId="37" fillId="0" borderId="12" xfId="4" applyNumberFormat="1" applyFont="1" applyBorder="1"/>
    <xf numFmtId="172" fontId="38" fillId="0" borderId="12" xfId="4" applyNumberFormat="1" applyFont="1" applyBorder="1"/>
    <xf numFmtId="172" fontId="4" fillId="0" borderId="12" xfId="4" applyNumberFormat="1" applyFont="1" applyBorder="1"/>
    <xf numFmtId="165" fontId="1" fillId="0" borderId="12" xfId="1" applyNumberFormat="1" applyFont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48" xfId="1" applyNumberFormat="1" applyFont="1" applyFill="1" applyBorder="1" applyAlignment="1">
      <alignment horizontal="center" vertical="center"/>
    </xf>
    <xf numFmtId="172" fontId="14" fillId="0" borderId="47" xfId="4" applyNumberFormat="1" applyFont="1" applyBorder="1" applyAlignment="1">
      <alignment vertical="center"/>
    </xf>
    <xf numFmtId="165" fontId="1" fillId="0" borderId="12" xfId="1" applyNumberFormat="1" applyFont="1" applyFill="1" applyBorder="1" applyAlignment="1">
      <alignment horizontal="center" vertical="center"/>
    </xf>
    <xf numFmtId="165" fontId="1" fillId="0" borderId="39" xfId="1" applyNumberFormat="1" applyFont="1" applyFill="1" applyBorder="1" applyAlignment="1">
      <alignment horizontal="center" vertical="center"/>
    </xf>
    <xf numFmtId="165" fontId="1" fillId="3" borderId="12" xfId="1" applyNumberFormat="1" applyFont="1" applyFill="1" applyBorder="1" applyAlignment="1">
      <alignment horizontal="center" vertical="center"/>
    </xf>
    <xf numFmtId="172" fontId="38" fillId="4" borderId="12" xfId="4" applyNumberFormat="1" applyFont="1" applyFill="1" applyBorder="1"/>
    <xf numFmtId="172" fontId="4" fillId="4" borderId="12" xfId="4" applyNumberFormat="1" applyFont="1" applyFill="1" applyBorder="1"/>
    <xf numFmtId="172" fontId="38" fillId="0" borderId="12" xfId="4" applyNumberFormat="1" applyFont="1" applyBorder="1" applyAlignment="1">
      <alignment vertical="center"/>
    </xf>
    <xf numFmtId="172" fontId="4" fillId="0" borderId="12" xfId="4" applyNumberFormat="1" applyFont="1" applyBorder="1" applyAlignment="1">
      <alignment vertical="center"/>
    </xf>
    <xf numFmtId="165" fontId="1" fillId="5" borderId="39" xfId="1" applyNumberFormat="1" applyFont="1" applyFill="1" applyBorder="1" applyAlignment="1">
      <alignment horizontal="center" vertical="center"/>
    </xf>
    <xf numFmtId="165" fontId="1" fillId="5" borderId="12" xfId="1" applyNumberFormat="1" applyFont="1" applyFill="1" applyBorder="1" applyAlignment="1">
      <alignment horizontal="center" vertical="center"/>
    </xf>
    <xf numFmtId="165" fontId="1" fillId="5" borderId="26" xfId="1" applyNumberFormat="1" applyFont="1" applyFill="1" applyBorder="1" applyAlignment="1">
      <alignment horizontal="center" vertical="center"/>
    </xf>
    <xf numFmtId="172" fontId="14" fillId="5" borderId="47" xfId="4" applyNumberFormat="1" applyFont="1" applyFill="1" applyBorder="1" applyAlignment="1">
      <alignment vertical="center"/>
    </xf>
    <xf numFmtId="172" fontId="54" fillId="1" borderId="47" xfId="4" applyNumberFormat="1" applyFont="1" applyFill="1" applyBorder="1" applyAlignment="1">
      <alignment vertical="center"/>
    </xf>
    <xf numFmtId="172" fontId="49" fillId="0" borderId="12" xfId="4" applyNumberFormat="1" applyFont="1" applyBorder="1"/>
    <xf numFmtId="172" fontId="54" fillId="3" borderId="47" xfId="4" applyNumberFormat="1" applyFont="1" applyFill="1" applyBorder="1" applyAlignment="1">
      <alignment vertical="center"/>
    </xf>
    <xf numFmtId="165" fontId="1" fillId="0" borderId="53" xfId="1" applyNumberFormat="1" applyFont="1" applyBorder="1" applyAlignment="1">
      <alignment horizontal="center" vertical="center"/>
    </xf>
    <xf numFmtId="165" fontId="1" fillId="0" borderId="30" xfId="1" applyNumberFormat="1" applyFont="1" applyBorder="1" applyAlignment="1">
      <alignment horizontal="center" vertical="center"/>
    </xf>
    <xf numFmtId="165" fontId="1" fillId="0" borderId="32" xfId="1" applyNumberFormat="1" applyFont="1" applyBorder="1" applyAlignment="1">
      <alignment horizontal="center" vertical="center"/>
    </xf>
    <xf numFmtId="165" fontId="1" fillId="0" borderId="30" xfId="1" applyNumberFormat="1" applyFont="1" applyFill="1" applyBorder="1" applyAlignment="1">
      <alignment horizontal="center" vertical="center"/>
    </xf>
    <xf numFmtId="172" fontId="14" fillId="0" borderId="52" xfId="4" applyNumberFormat="1" applyFont="1" applyBorder="1" applyAlignment="1">
      <alignment vertical="center"/>
    </xf>
    <xf numFmtId="172" fontId="1" fillId="0" borderId="0" xfId="4" applyNumberFormat="1"/>
    <xf numFmtId="172" fontId="66" fillId="0" borderId="0" xfId="4" applyNumberFormat="1" applyFont="1" applyBorder="1" applyAlignment="1">
      <alignment horizontal="center" vertical="center"/>
    </xf>
    <xf numFmtId="175" fontId="67" fillId="0" borderId="0" xfId="4" applyNumberFormat="1" applyFont="1" applyAlignment="1">
      <alignment horizontal="right"/>
    </xf>
    <xf numFmtId="172" fontId="38" fillId="0" borderId="0" xfId="4" applyNumberFormat="1" applyFont="1" applyAlignment="1">
      <alignment horizontal="left"/>
    </xf>
    <xf numFmtId="165" fontId="1" fillId="0" borderId="66" xfId="1" applyNumberFormat="1" applyFont="1" applyBorder="1" applyAlignment="1">
      <alignment horizontal="center" vertical="center"/>
    </xf>
    <xf numFmtId="165" fontId="1" fillId="0" borderId="58" xfId="1" applyNumberFormat="1" applyFont="1" applyBorder="1" applyAlignment="1">
      <alignment horizontal="center" vertical="center"/>
    </xf>
    <xf numFmtId="1" fontId="1" fillId="0" borderId="12" xfId="1" applyNumberFormat="1" applyFont="1" applyFill="1" applyBorder="1" applyAlignment="1">
      <alignment horizontal="center" vertical="center"/>
    </xf>
    <xf numFmtId="165" fontId="1" fillId="3" borderId="39" xfId="1" applyNumberFormat="1" applyFont="1" applyFill="1" applyBorder="1" applyAlignment="1">
      <alignment horizontal="center" vertical="center"/>
    </xf>
    <xf numFmtId="0" fontId="1" fillId="0" borderId="0" xfId="1" applyFont="1" applyFill="1" applyBorder="1"/>
    <xf numFmtId="165" fontId="1" fillId="3" borderId="53" xfId="1" applyNumberFormat="1" applyFont="1" applyFill="1" applyBorder="1" applyAlignment="1">
      <alignment horizontal="center" vertical="center"/>
    </xf>
    <xf numFmtId="165" fontId="1" fillId="3" borderId="30" xfId="1" applyNumberFormat="1" applyFont="1" applyFill="1" applyBorder="1" applyAlignment="1">
      <alignment horizontal="center" vertical="center"/>
    </xf>
    <xf numFmtId="165" fontId="1" fillId="3" borderId="32" xfId="1" applyNumberFormat="1" applyFont="1" applyFill="1" applyBorder="1" applyAlignment="1">
      <alignment horizontal="center" vertical="center"/>
    </xf>
    <xf numFmtId="172" fontId="14" fillId="0" borderId="74" xfId="4" applyNumberFormat="1" applyFont="1" applyBorder="1" applyAlignment="1">
      <alignment vertical="center"/>
    </xf>
    <xf numFmtId="165" fontId="1" fillId="3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Border="1" applyAlignment="1">
      <alignment horizontal="center" vertical="center"/>
    </xf>
    <xf numFmtId="172" fontId="18" fillId="0" borderId="0" xfId="4" applyNumberFormat="1" applyFont="1" applyBorder="1" applyAlignment="1">
      <alignment horizontal="center" vertical="center"/>
    </xf>
    <xf numFmtId="172" fontId="14" fillId="0" borderId="0" xfId="4" applyNumberFormat="1" applyFont="1" applyBorder="1" applyAlignment="1">
      <alignment vertical="center"/>
    </xf>
    <xf numFmtId="172" fontId="37" fillId="0" borderId="0" xfId="4" applyNumberFormat="1" applyFont="1" applyBorder="1"/>
    <xf numFmtId="172" fontId="38" fillId="0" borderId="0" xfId="4" applyNumberFormat="1" applyFont="1" applyBorder="1" applyAlignment="1">
      <alignment vertical="center"/>
    </xf>
    <xf numFmtId="172" fontId="4" fillId="0" borderId="0" xfId="4" applyNumberFormat="1" applyFont="1" applyBorder="1" applyAlignment="1">
      <alignment vertical="center"/>
    </xf>
    <xf numFmtId="0" fontId="1" fillId="0" borderId="0" xfId="1" applyFont="1" applyFill="1" applyBorder="1" applyAlignment="1"/>
    <xf numFmtId="0" fontId="1" fillId="10" borderId="8" xfId="1" applyFont="1" applyFill="1" applyBorder="1"/>
    <xf numFmtId="172" fontId="69" fillId="0" borderId="67" xfId="4" applyNumberFormat="1" applyFont="1" applyBorder="1" applyAlignment="1">
      <alignment horizontal="center"/>
    </xf>
    <xf numFmtId="165" fontId="1" fillId="0" borderId="0" xfId="1" applyNumberFormat="1" applyFont="1" applyFill="1" applyBorder="1" applyAlignment="1">
      <alignment horizontal="left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left"/>
    </xf>
    <xf numFmtId="179" fontId="1" fillId="0" borderId="0" xfId="1" applyNumberFormat="1" applyFont="1" applyFill="1" applyBorder="1" applyAlignment="1">
      <alignment horizontal="center"/>
    </xf>
    <xf numFmtId="172" fontId="117" fillId="11" borderId="85" xfId="4" applyNumberFormat="1" applyFont="1" applyFill="1" applyBorder="1" applyAlignment="1">
      <alignment horizontal="center"/>
    </xf>
    <xf numFmtId="172" fontId="1" fillId="0" borderId="12" xfId="4" applyNumberFormat="1" applyBorder="1"/>
    <xf numFmtId="181" fontId="1" fillId="0" borderId="0" xfId="5" applyNumberFormat="1" applyFont="1" applyFill="1" applyBorder="1" applyAlignment="1">
      <alignment horizontal="center"/>
    </xf>
    <xf numFmtId="181" fontId="1" fillId="0" borderId="0" xfId="5" applyNumberFormat="1" applyAlignment="1">
      <alignment horizontal="center"/>
    </xf>
    <xf numFmtId="181" fontId="1" fillId="0" borderId="0" xfId="5" applyNumberFormat="1" applyFont="1" applyFill="1" applyBorder="1" applyAlignment="1"/>
    <xf numFmtId="182" fontId="119" fillId="0" borderId="0" xfId="4" applyNumberFormat="1" applyFont="1"/>
    <xf numFmtId="181" fontId="1" fillId="0" borderId="0" xfId="5" applyNumberFormat="1" applyAlignment="1"/>
    <xf numFmtId="183" fontId="13" fillId="0" borderId="0" xfId="6" applyNumberFormat="1" applyFont="1" applyFill="1" applyBorder="1" applyAlignment="1">
      <alignment horizontal="center"/>
    </xf>
    <xf numFmtId="172" fontId="1" fillId="0" borderId="5" xfId="4" applyNumberFormat="1" applyBorder="1"/>
    <xf numFmtId="172" fontId="1" fillId="0" borderId="0" xfId="4" applyNumberFormat="1" applyBorder="1"/>
    <xf numFmtId="182" fontId="118" fillId="0" borderId="0" xfId="4" applyNumberFormat="1" applyFont="1"/>
    <xf numFmtId="0" fontId="1" fillId="0" borderId="1" xfId="1" applyFont="1" applyFill="1" applyBorder="1" applyAlignment="1"/>
    <xf numFmtId="0" fontId="1" fillId="0" borderId="24" xfId="1" applyFont="1" applyFill="1" applyBorder="1" applyAlignment="1"/>
    <xf numFmtId="181" fontId="124" fillId="0" borderId="23" xfId="5" applyNumberFormat="1" applyFont="1" applyFill="1" applyBorder="1" applyAlignment="1">
      <alignment horizontal="center"/>
    </xf>
    <xf numFmtId="181" fontId="124" fillId="0" borderId="23" xfId="5" applyNumberFormat="1" applyFont="1" applyFill="1" applyBorder="1" applyAlignment="1"/>
    <xf numFmtId="183" fontId="130" fillId="0" borderId="5" xfId="6" applyNumberFormat="1" applyFont="1" applyFill="1" applyBorder="1" applyAlignment="1">
      <alignment horizontal="center"/>
    </xf>
    <xf numFmtId="183" fontId="124" fillId="0" borderId="5" xfId="6" applyNumberFormat="1" applyFont="1" applyFill="1" applyBorder="1" applyAlignment="1">
      <alignment horizontal="center"/>
    </xf>
    <xf numFmtId="181" fontId="124" fillId="0" borderId="6" xfId="5" applyNumberFormat="1" applyFont="1" applyFill="1" applyBorder="1" applyAlignment="1">
      <alignment horizontal="center"/>
    </xf>
    <xf numFmtId="182" fontId="68" fillId="0" borderId="0" xfId="4" applyNumberFormat="1" applyFont="1"/>
    <xf numFmtId="172" fontId="131" fillId="6" borderId="85" xfId="4" applyNumberFormat="1" applyFont="1" applyFill="1" applyBorder="1" applyAlignment="1">
      <alignment horizontal="center"/>
    </xf>
    <xf numFmtId="172" fontId="1" fillId="0" borderId="17" xfId="4" applyNumberFormat="1" applyBorder="1"/>
    <xf numFmtId="172" fontId="1" fillId="0" borderId="39" xfId="4" applyNumberFormat="1" applyBorder="1"/>
    <xf numFmtId="182" fontId="119" fillId="0" borderId="17" xfId="4" applyNumberFormat="1" applyFont="1" applyBorder="1"/>
    <xf numFmtId="172" fontId="1" fillId="0" borderId="16" xfId="4" applyNumberFormat="1" applyBorder="1"/>
    <xf numFmtId="182" fontId="68" fillId="0" borderId="17" xfId="4" applyNumberFormat="1" applyFont="1" applyBorder="1"/>
    <xf numFmtId="172" fontId="1" fillId="0" borderId="28" xfId="4" applyNumberFormat="1" applyBorder="1"/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49" fillId="0" borderId="39" xfId="1" applyNumberFormat="1" applyFont="1" applyFill="1" applyBorder="1" applyAlignment="1">
      <alignment horizontal="center" vertical="center"/>
    </xf>
    <xf numFmtId="165" fontId="49" fillId="0" borderId="12" xfId="1" applyNumberFormat="1" applyFont="1" applyFill="1" applyBorder="1" applyAlignment="1">
      <alignment horizontal="center" vertical="center"/>
    </xf>
    <xf numFmtId="165" fontId="50" fillId="0" borderId="12" xfId="1" applyNumberFormat="1" applyFont="1" applyFill="1" applyBorder="1" applyAlignment="1">
      <alignment horizontal="center" vertical="center"/>
    </xf>
    <xf numFmtId="165" fontId="50" fillId="0" borderId="40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51" fillId="0" borderId="12" xfId="1" applyNumberFormat="1" applyFont="1" applyFill="1" applyBorder="1" applyAlignment="1">
      <alignment horizontal="center" vertical="center"/>
    </xf>
    <xf numFmtId="165" fontId="52" fillId="0" borderId="12" xfId="1" applyNumberFormat="1" applyFont="1" applyFill="1" applyBorder="1" applyAlignment="1">
      <alignment horizontal="center" vertical="center"/>
    </xf>
    <xf numFmtId="165" fontId="50" fillId="0" borderId="49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77" fillId="2" borderId="12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172" fontId="54" fillId="0" borderId="47" xfId="4" applyNumberFormat="1" applyFont="1" applyFill="1" applyBorder="1" applyAlignment="1">
      <alignment vertical="center"/>
    </xf>
    <xf numFmtId="165" fontId="75" fillId="0" borderId="12" xfId="1" applyNumberFormat="1" applyFont="1" applyFill="1" applyBorder="1" applyAlignment="1">
      <alignment horizontal="center" vertical="center"/>
    </xf>
    <xf numFmtId="1" fontId="75" fillId="0" borderId="21" xfId="1" applyNumberFormat="1" applyFont="1" applyFill="1" applyBorder="1" applyAlignment="1">
      <alignment horizontal="center" vertical="center"/>
    </xf>
    <xf numFmtId="1" fontId="76" fillId="0" borderId="12" xfId="1" applyNumberFormat="1" applyFont="1" applyFill="1" applyBorder="1" applyAlignment="1">
      <alignment horizontal="center" vertical="center"/>
    </xf>
    <xf numFmtId="1" fontId="49" fillId="0" borderId="21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45" fillId="6" borderId="48" xfId="1" applyNumberFormat="1" applyFont="1" applyFill="1" applyBorder="1" applyAlignment="1">
      <alignment vertical="center"/>
    </xf>
    <xf numFmtId="165" fontId="146" fillId="6" borderId="67" xfId="1" applyNumberFormat="1" applyFont="1" applyFill="1" applyBorder="1" applyAlignment="1">
      <alignment horizontal="center"/>
    </xf>
    <xf numFmtId="165" fontId="146" fillId="6" borderId="26" xfId="1" applyNumberFormat="1" applyFont="1" applyFill="1" applyBorder="1" applyAlignment="1">
      <alignment horizontal="center"/>
    </xf>
    <xf numFmtId="176" fontId="119" fillId="0" borderId="0" xfId="4" applyNumberFormat="1" applyFont="1"/>
    <xf numFmtId="176" fontId="118" fillId="0" borderId="0" xfId="4" applyNumberFormat="1" applyFont="1"/>
    <xf numFmtId="176" fontId="1" fillId="0" borderId="0" xfId="4" applyNumberFormat="1"/>
    <xf numFmtId="176" fontId="1" fillId="0" borderId="12" xfId="4" applyNumberFormat="1" applyBorder="1"/>
    <xf numFmtId="0" fontId="1" fillId="0" borderId="0" xfId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26" xfId="1" applyNumberFormat="1" applyFont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0" fontId="2" fillId="6" borderId="47" xfId="1" applyFont="1" applyFill="1" applyBorder="1"/>
    <xf numFmtId="0" fontId="48" fillId="6" borderId="47" xfId="1" applyFont="1" applyFill="1" applyBorder="1"/>
    <xf numFmtId="0" fontId="1" fillId="0" borderId="0" xfId="1" applyFill="1" applyAlignment="1">
      <alignment vertical="center"/>
    </xf>
    <xf numFmtId="0" fontId="48" fillId="0" borderId="38" xfId="1" applyFont="1" applyBorder="1"/>
    <xf numFmtId="165" fontId="49" fillId="0" borderId="21" xfId="1" applyNumberFormat="1" applyFont="1" applyFill="1" applyBorder="1" applyAlignment="1">
      <alignment horizontal="center" vertical="center"/>
    </xf>
    <xf numFmtId="165" fontId="50" fillId="0" borderId="21" xfId="1" applyNumberFormat="1" applyFont="1" applyFill="1" applyBorder="1" applyAlignment="1">
      <alignment horizontal="center" vertical="center"/>
    </xf>
    <xf numFmtId="165" fontId="50" fillId="0" borderId="15" xfId="1" applyNumberFormat="1" applyFont="1" applyFill="1" applyBorder="1" applyAlignment="1">
      <alignment horizontal="center" vertical="center"/>
    </xf>
    <xf numFmtId="165" fontId="75" fillId="0" borderId="21" xfId="1" applyNumberFormat="1" applyFont="1" applyFill="1" applyBorder="1" applyAlignment="1">
      <alignment horizontal="center" vertical="center"/>
    </xf>
    <xf numFmtId="165" fontId="49" fillId="0" borderId="102" xfId="1" applyNumberFormat="1" applyFont="1" applyFill="1" applyBorder="1" applyAlignment="1">
      <alignment horizontal="center" vertical="center"/>
    </xf>
    <xf numFmtId="0" fontId="46" fillId="0" borderId="101" xfId="1" applyFont="1" applyFill="1" applyBorder="1"/>
    <xf numFmtId="165" fontId="49" fillId="0" borderId="86" xfId="1" applyNumberFormat="1" applyFont="1" applyFill="1" applyBorder="1" applyAlignment="1">
      <alignment horizontal="center" vertical="center"/>
    </xf>
    <xf numFmtId="165" fontId="50" fillId="0" borderId="86" xfId="1" applyNumberFormat="1" applyFont="1" applyFill="1" applyBorder="1" applyAlignment="1">
      <alignment horizontal="center" vertical="center"/>
    </xf>
    <xf numFmtId="165" fontId="50" fillId="0" borderId="103" xfId="1" applyNumberFormat="1" applyFont="1" applyFill="1" applyBorder="1" applyAlignment="1">
      <alignment horizontal="center" vertical="center"/>
    </xf>
    <xf numFmtId="165" fontId="75" fillId="0" borderId="86" xfId="1" applyNumberFormat="1" applyFont="1" applyFill="1" applyBorder="1" applyAlignment="1">
      <alignment horizontal="center" vertical="center"/>
    </xf>
    <xf numFmtId="165" fontId="49" fillId="0" borderId="104" xfId="1" applyNumberFormat="1" applyFont="1" applyFill="1" applyBorder="1" applyAlignment="1">
      <alignment horizontal="center" vertical="center"/>
    </xf>
    <xf numFmtId="1" fontId="76" fillId="0" borderId="21" xfId="1" applyNumberFormat="1" applyFont="1" applyFill="1" applyBorder="1" applyAlignment="1">
      <alignment horizontal="center" vertical="center"/>
    </xf>
    <xf numFmtId="1" fontId="49" fillId="0" borderId="21" xfId="1" applyNumberFormat="1" applyFont="1" applyBorder="1" applyAlignment="1">
      <alignment horizontal="center" vertical="center"/>
    </xf>
    <xf numFmtId="1" fontId="75" fillId="0" borderId="105" xfId="1" applyNumberFormat="1" applyFont="1" applyFill="1" applyBorder="1" applyAlignment="1">
      <alignment horizontal="center" vertical="center"/>
    </xf>
    <xf numFmtId="1" fontId="76" fillId="0" borderId="86" xfId="1" applyNumberFormat="1" applyFont="1" applyFill="1" applyBorder="1" applyAlignment="1">
      <alignment horizontal="center" vertical="center"/>
    </xf>
    <xf numFmtId="1" fontId="49" fillId="0" borderId="105" xfId="1" applyNumberFormat="1" applyFont="1" applyFill="1" applyBorder="1" applyAlignment="1">
      <alignment horizontal="center" vertical="center"/>
    </xf>
    <xf numFmtId="1" fontId="1" fillId="0" borderId="86" xfId="1" applyNumberFormat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51" fillId="0" borderId="21" xfId="1" applyNumberFormat="1" applyFont="1" applyFill="1" applyBorder="1" applyAlignment="1">
      <alignment horizontal="center" vertical="center"/>
    </xf>
    <xf numFmtId="165" fontId="52" fillId="0" borderId="21" xfId="1" applyNumberFormat="1" applyFont="1" applyFill="1" applyBorder="1" applyAlignment="1">
      <alignment horizontal="center" vertical="center"/>
    </xf>
    <xf numFmtId="165" fontId="50" fillId="0" borderId="41" xfId="1" applyNumberFormat="1" applyFont="1" applyFill="1" applyBorder="1" applyAlignment="1">
      <alignment horizontal="center" vertical="center"/>
    </xf>
    <xf numFmtId="172" fontId="54" fillId="0" borderId="38" xfId="4" applyNumberFormat="1" applyFont="1" applyFill="1" applyBorder="1" applyAlignment="1">
      <alignment vertical="center"/>
    </xf>
    <xf numFmtId="173" fontId="51" fillId="0" borderId="21" xfId="1" applyNumberFormat="1" applyFont="1" applyBorder="1" applyAlignment="1">
      <alignment horizontal="center"/>
    </xf>
    <xf numFmtId="172" fontId="49" fillId="0" borderId="21" xfId="4" applyNumberFormat="1" applyFont="1" applyBorder="1"/>
    <xf numFmtId="165" fontId="49" fillId="0" borderId="106" xfId="1" applyNumberFormat="1" applyFont="1" applyFill="1" applyBorder="1" applyAlignment="1">
      <alignment horizontal="center" vertical="center"/>
    </xf>
    <xf numFmtId="165" fontId="51" fillId="0" borderId="86" xfId="1" applyNumberFormat="1" applyFont="1" applyFill="1" applyBorder="1" applyAlignment="1">
      <alignment horizontal="center" vertical="center"/>
    </xf>
    <xf numFmtId="165" fontId="52" fillId="0" borderId="86" xfId="1" applyNumberFormat="1" applyFont="1" applyFill="1" applyBorder="1" applyAlignment="1">
      <alignment horizontal="center" vertical="center"/>
    </xf>
    <xf numFmtId="165" fontId="50" fillId="0" borderId="109" xfId="1" applyNumberFormat="1" applyFont="1" applyFill="1" applyBorder="1" applyAlignment="1">
      <alignment horizontal="center" vertical="center"/>
    </xf>
    <xf numFmtId="172" fontId="54" fillId="0" borderId="101" xfId="4" applyNumberFormat="1" applyFont="1" applyFill="1" applyBorder="1" applyAlignment="1">
      <alignment vertical="center"/>
    </xf>
    <xf numFmtId="173" fontId="13" fillId="0" borderId="86" xfId="1" applyNumberFormat="1" applyFont="1" applyBorder="1" applyAlignment="1">
      <alignment horizontal="center" vertical="center"/>
    </xf>
    <xf numFmtId="173" fontId="32" fillId="0" borderId="86" xfId="1" applyNumberFormat="1" applyFont="1" applyBorder="1" applyAlignment="1">
      <alignment horizontal="center" vertical="center"/>
    </xf>
    <xf numFmtId="172" fontId="37" fillId="0" borderId="86" xfId="4" applyNumberFormat="1" applyFont="1" applyBorder="1"/>
    <xf numFmtId="172" fontId="38" fillId="0" borderId="86" xfId="4" applyNumberFormat="1" applyFont="1" applyBorder="1" applyAlignment="1">
      <alignment vertical="center"/>
    </xf>
    <xf numFmtId="172" fontId="4" fillId="0" borderId="86" xfId="4" applyNumberFormat="1" applyFont="1" applyBorder="1" applyAlignment="1">
      <alignment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2" borderId="39" xfId="1" applyNumberFormat="1" applyFont="1" applyFill="1" applyBorder="1" applyAlignment="1">
      <alignment horizontal="center" vertical="center"/>
    </xf>
    <xf numFmtId="165" fontId="49" fillId="12" borderId="12" xfId="1" applyNumberFormat="1" applyFont="1" applyFill="1" applyBorder="1" applyAlignment="1">
      <alignment horizontal="center" vertical="center"/>
    </xf>
    <xf numFmtId="165" fontId="50" fillId="12" borderId="12" xfId="1" applyNumberFormat="1" applyFont="1" applyFill="1" applyBorder="1" applyAlignment="1">
      <alignment horizontal="center" vertical="center"/>
    </xf>
    <xf numFmtId="165" fontId="50" fillId="12" borderId="40" xfId="1" applyNumberFormat="1" applyFont="1" applyFill="1" applyBorder="1" applyAlignment="1">
      <alignment horizontal="center" vertical="center"/>
    </xf>
    <xf numFmtId="165" fontId="49" fillId="12" borderId="26" xfId="1" applyNumberFormat="1" applyFont="1" applyFill="1" applyBorder="1" applyAlignment="1">
      <alignment horizontal="center" vertical="center"/>
    </xf>
    <xf numFmtId="165" fontId="51" fillId="12" borderId="12" xfId="1" applyNumberFormat="1" applyFont="1" applyFill="1" applyBorder="1" applyAlignment="1">
      <alignment horizontal="center" vertical="center"/>
    </xf>
    <xf numFmtId="165" fontId="52" fillId="12" borderId="12" xfId="1" applyNumberFormat="1" applyFont="1" applyFill="1" applyBorder="1" applyAlignment="1">
      <alignment horizontal="center" vertical="center"/>
    </xf>
    <xf numFmtId="165" fontId="55" fillId="12" borderId="12" xfId="1" applyNumberFormat="1" applyFont="1" applyFill="1" applyBorder="1" applyAlignment="1">
      <alignment horizontal="center" vertical="center"/>
    </xf>
    <xf numFmtId="165" fontId="50" fillId="12" borderId="49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55" fillId="6" borderId="58" xfId="1" applyNumberFormat="1" applyFont="1" applyFill="1" applyBorder="1" applyAlignment="1">
      <alignment horizontal="center" vertical="center"/>
    </xf>
    <xf numFmtId="165" fontId="55" fillId="6" borderId="21" xfId="1" applyNumberFormat="1" applyFont="1" applyFill="1" applyBorder="1" applyAlignment="1">
      <alignment horizontal="center" vertical="center"/>
    </xf>
    <xf numFmtId="165" fontId="55" fillId="6" borderId="12" xfId="1" applyNumberFormat="1" applyFont="1" applyFill="1" applyBorder="1" applyAlignment="1">
      <alignment horizontal="center" vertical="center"/>
    </xf>
    <xf numFmtId="165" fontId="151" fillId="6" borderId="12" xfId="1" applyNumberFormat="1" applyFont="1" applyFill="1" applyBorder="1" applyAlignment="1">
      <alignment horizontal="center" vertical="center"/>
    </xf>
    <xf numFmtId="165" fontId="55" fillId="6" borderId="86" xfId="1" applyNumberFormat="1" applyFont="1" applyFill="1" applyBorder="1" applyAlignment="1">
      <alignment horizontal="center" vertical="center"/>
    </xf>
    <xf numFmtId="165" fontId="55" fillId="6" borderId="59" xfId="1" applyNumberFormat="1" applyFont="1" applyFill="1" applyBorder="1" applyAlignment="1">
      <alignment horizontal="center" vertical="center"/>
    </xf>
    <xf numFmtId="165" fontId="55" fillId="6" borderId="30" xfId="1" applyNumberFormat="1" applyFont="1" applyFill="1" applyBorder="1" applyAlignment="1">
      <alignment horizontal="center" vertical="center"/>
    </xf>
    <xf numFmtId="165" fontId="35" fillId="6" borderId="40" xfId="1" applyNumberFormat="1" applyFont="1" applyFill="1" applyBorder="1" applyAlignment="1">
      <alignment horizontal="center" vertical="center"/>
    </xf>
    <xf numFmtId="165" fontId="50" fillId="6" borderId="15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72" fontId="153" fillId="6" borderId="85" xfId="4" applyNumberFormat="1" applyFont="1" applyFill="1" applyBorder="1" applyAlignment="1">
      <alignment horizontal="center"/>
    </xf>
    <xf numFmtId="165" fontId="154" fillId="0" borderId="8" xfId="1" applyNumberFormat="1" applyFont="1" applyBorder="1" applyAlignment="1">
      <alignment horizontal="left"/>
    </xf>
    <xf numFmtId="165" fontId="155" fillId="0" borderId="8" xfId="1" applyNumberFormat="1" applyFont="1" applyBorder="1" applyAlignment="1">
      <alignment horizontal="center"/>
    </xf>
    <xf numFmtId="165" fontId="156" fillId="0" borderId="8" xfId="1" applyNumberFormat="1" applyFont="1" applyBorder="1" applyAlignment="1">
      <alignment horizontal="center"/>
    </xf>
    <xf numFmtId="0" fontId="155" fillId="0" borderId="8" xfId="1" applyFont="1" applyBorder="1"/>
    <xf numFmtId="0" fontId="155" fillId="0" borderId="9" xfId="1" applyFont="1" applyBorder="1"/>
    <xf numFmtId="172" fontId="155" fillId="0" borderId="17" xfId="4" applyNumberFormat="1" applyFont="1" applyBorder="1"/>
    <xf numFmtId="165" fontId="155" fillId="0" borderId="0" xfId="1" applyNumberFormat="1" applyFont="1" applyBorder="1" applyAlignment="1">
      <alignment horizontal="left"/>
    </xf>
    <xf numFmtId="165" fontId="157" fillId="0" borderId="0" xfId="1" applyNumberFormat="1" applyFont="1" applyBorder="1" applyAlignment="1"/>
    <xf numFmtId="165" fontId="155" fillId="0" borderId="0" xfId="1" applyNumberFormat="1" applyFont="1" applyBorder="1" applyAlignment="1">
      <alignment horizontal="center"/>
    </xf>
    <xf numFmtId="165" fontId="156" fillId="0" borderId="0" xfId="1" applyNumberFormat="1" applyFont="1" applyBorder="1" applyAlignment="1">
      <alignment horizontal="center"/>
    </xf>
    <xf numFmtId="0" fontId="155" fillId="0" borderId="0" xfId="1" applyFont="1" applyBorder="1"/>
    <xf numFmtId="0" fontId="155" fillId="0" borderId="18" xfId="1" applyFont="1" applyBorder="1"/>
    <xf numFmtId="172" fontId="155" fillId="0" borderId="39" xfId="4" applyNumberFormat="1" applyFont="1" applyBorder="1"/>
    <xf numFmtId="165" fontId="155" fillId="0" borderId="48" xfId="1" applyNumberFormat="1" applyFont="1" applyBorder="1" applyAlignment="1">
      <alignment horizontal="left"/>
    </xf>
    <xf numFmtId="165" fontId="155" fillId="0" borderId="26" xfId="1" applyNumberFormat="1" applyFont="1" applyBorder="1" applyAlignment="1">
      <alignment horizontal="center"/>
    </xf>
    <xf numFmtId="0" fontId="155" fillId="0" borderId="17" xfId="1" applyFont="1" applyBorder="1"/>
    <xf numFmtId="182" fontId="157" fillId="0" borderId="17" xfId="4" applyNumberFormat="1" applyFont="1" applyBorder="1"/>
    <xf numFmtId="165" fontId="157" fillId="0" borderId="0" xfId="1" applyNumberFormat="1" applyFont="1" applyBorder="1" applyAlignment="1">
      <alignment horizontal="left"/>
    </xf>
    <xf numFmtId="165" fontId="158" fillId="0" borderId="0" xfId="1" applyNumberFormat="1" applyFont="1" applyBorder="1" applyAlignment="1">
      <alignment horizontal="center"/>
    </xf>
    <xf numFmtId="165" fontId="155" fillId="0" borderId="67" xfId="1" applyNumberFormat="1" applyFont="1" applyBorder="1" applyAlignment="1">
      <alignment horizontal="center"/>
    </xf>
    <xf numFmtId="165" fontId="156" fillId="0" borderId="67" xfId="1" applyNumberFormat="1" applyFont="1" applyBorder="1" applyAlignment="1">
      <alignment horizontal="center"/>
    </xf>
    <xf numFmtId="172" fontId="155" fillId="0" borderId="16" xfId="4" applyNumberFormat="1" applyFont="1" applyBorder="1"/>
    <xf numFmtId="165" fontId="155" fillId="0" borderId="5" xfId="1" applyNumberFormat="1" applyFont="1" applyBorder="1" applyAlignment="1">
      <alignment horizontal="left"/>
    </xf>
    <xf numFmtId="165" fontId="155" fillId="0" borderId="5" xfId="1" applyNumberFormat="1" applyFont="1" applyBorder="1" applyAlignment="1">
      <alignment horizontal="center"/>
    </xf>
    <xf numFmtId="165" fontId="156" fillId="0" borderId="5" xfId="1" applyNumberFormat="1" applyFont="1" applyBorder="1" applyAlignment="1">
      <alignment horizontal="center"/>
    </xf>
    <xf numFmtId="165" fontId="156" fillId="0" borderId="26" xfId="1" applyNumberFormat="1" applyFont="1" applyBorder="1" applyAlignment="1">
      <alignment horizontal="center"/>
    </xf>
    <xf numFmtId="182" fontId="154" fillId="0" borderId="17" xfId="4" applyNumberFormat="1" applyFont="1" applyBorder="1"/>
    <xf numFmtId="165" fontId="154" fillId="0" borderId="0" xfId="1" applyNumberFormat="1" applyFont="1" applyBorder="1" applyAlignment="1">
      <alignment horizontal="left"/>
    </xf>
    <xf numFmtId="172" fontId="155" fillId="0" borderId="28" xfId="4" applyNumberFormat="1" applyFont="1" applyBorder="1"/>
    <xf numFmtId="165" fontId="155" fillId="0" borderId="33" xfId="1" applyNumberFormat="1" applyFont="1" applyBorder="1" applyAlignment="1">
      <alignment horizontal="left"/>
    </xf>
    <xf numFmtId="165" fontId="155" fillId="0" borderId="33" xfId="1" applyNumberFormat="1" applyFont="1" applyBorder="1" applyAlignment="1">
      <alignment horizontal="center"/>
    </xf>
    <xf numFmtId="165" fontId="156" fillId="0" borderId="33" xfId="1" applyNumberFormat="1" applyFont="1" applyBorder="1" applyAlignment="1">
      <alignment horizontal="center"/>
    </xf>
    <xf numFmtId="0" fontId="155" fillId="0" borderId="33" xfId="1" applyFont="1" applyBorder="1"/>
    <xf numFmtId="0" fontId="155" fillId="0" borderId="36" xfId="1" applyFont="1" applyBorder="1"/>
    <xf numFmtId="165" fontId="155" fillId="0" borderId="8" xfId="1" applyNumberFormat="1" applyFont="1" applyBorder="1" applyAlignment="1"/>
    <xf numFmtId="172" fontId="131" fillId="6" borderId="111" xfId="4" applyNumberFormat="1" applyFont="1" applyFill="1" applyBorder="1" applyAlignment="1">
      <alignment horizontal="center"/>
    </xf>
    <xf numFmtId="165" fontId="68" fillId="0" borderId="112" xfId="1" applyNumberFormat="1" applyFont="1" applyBorder="1" applyAlignment="1">
      <alignment horizontal="left"/>
    </xf>
    <xf numFmtId="165" fontId="1" fillId="0" borderId="112" xfId="1" applyNumberFormat="1" applyBorder="1" applyAlignment="1">
      <alignment horizontal="center"/>
    </xf>
    <xf numFmtId="165" fontId="159" fillId="0" borderId="112" xfId="1" applyNumberFormat="1" applyFont="1" applyBorder="1" applyAlignment="1"/>
    <xf numFmtId="165" fontId="5" fillId="0" borderId="112" xfId="1" applyNumberFormat="1" applyFont="1" applyBorder="1" applyAlignment="1">
      <alignment horizontal="center"/>
    </xf>
    <xf numFmtId="165" fontId="6" fillId="0" borderId="112" xfId="1" applyNumberFormat="1" applyFont="1" applyBorder="1" applyAlignment="1">
      <alignment horizontal="center"/>
    </xf>
    <xf numFmtId="0" fontId="1" fillId="0" borderId="112" xfId="1" applyBorder="1"/>
    <xf numFmtId="0" fontId="1" fillId="0" borderId="113" xfId="1" applyBorder="1"/>
    <xf numFmtId="172" fontId="1" fillId="0" borderId="114" xfId="4" applyNumberFormat="1" applyBorder="1"/>
    <xf numFmtId="0" fontId="1" fillId="0" borderId="115" xfId="1" applyBorder="1"/>
    <xf numFmtId="172" fontId="1" fillId="0" borderId="116" xfId="4" applyNumberFormat="1" applyBorder="1"/>
    <xf numFmtId="0" fontId="1" fillId="0" borderId="114" xfId="1" applyBorder="1"/>
    <xf numFmtId="182" fontId="119" fillId="0" borderId="114" xfId="4" applyNumberFormat="1" applyFont="1" applyBorder="1"/>
    <xf numFmtId="172" fontId="1" fillId="0" borderId="117" xfId="4" applyNumberFormat="1" applyBorder="1"/>
    <xf numFmtId="182" fontId="68" fillId="0" borderId="114" xfId="4" applyNumberFormat="1" applyFont="1" applyBorder="1"/>
    <xf numFmtId="172" fontId="1" fillId="0" borderId="118" xfId="4" applyNumberFormat="1" applyBorder="1"/>
    <xf numFmtId="165" fontId="1" fillId="0" borderId="119" xfId="1" applyNumberFormat="1" applyBorder="1" applyAlignment="1">
      <alignment horizontal="left"/>
    </xf>
    <xf numFmtId="165" fontId="1" fillId="0" borderId="119" xfId="1" applyNumberFormat="1" applyBorder="1" applyAlignment="1">
      <alignment horizontal="center"/>
    </xf>
    <xf numFmtId="165" fontId="4" fillId="0" borderId="119" xfId="1" applyNumberFormat="1" applyFont="1" applyBorder="1" applyAlignment="1">
      <alignment horizontal="center"/>
    </xf>
    <xf numFmtId="165" fontId="5" fillId="0" borderId="119" xfId="1" applyNumberFormat="1" applyFont="1" applyBorder="1" applyAlignment="1">
      <alignment horizontal="center"/>
    </xf>
    <xf numFmtId="165" fontId="6" fillId="0" borderId="119" xfId="1" applyNumberFormat="1" applyFont="1" applyBorder="1" applyAlignment="1">
      <alignment horizontal="center"/>
    </xf>
    <xf numFmtId="0" fontId="1" fillId="0" borderId="119" xfId="1" applyBorder="1"/>
    <xf numFmtId="0" fontId="1" fillId="0" borderId="121" xfId="1" applyBorder="1"/>
    <xf numFmtId="165" fontId="1" fillId="0" borderId="0" xfId="1" applyNumberFormat="1" applyBorder="1" applyAlignment="1"/>
    <xf numFmtId="165" fontId="13" fillId="0" borderId="0" xfId="1" applyNumberFormat="1" applyFont="1" applyBorder="1" applyAlignment="1"/>
    <xf numFmtId="165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13" borderId="12" xfId="1" applyNumberFormat="1" applyFont="1" applyFill="1" applyBorder="1" applyAlignment="1">
      <alignment horizontal="center" vertical="center"/>
    </xf>
    <xf numFmtId="165" fontId="50" fillId="13" borderId="12" xfId="1" applyNumberFormat="1" applyFont="1" applyFill="1" applyBorder="1" applyAlignment="1">
      <alignment horizontal="center" vertical="center"/>
    </xf>
    <xf numFmtId="165" fontId="50" fillId="13" borderId="40" xfId="1" applyNumberFormat="1" applyFont="1" applyFill="1" applyBorder="1" applyAlignment="1">
      <alignment horizontal="center" vertical="center"/>
    </xf>
    <xf numFmtId="165" fontId="49" fillId="13" borderId="59" xfId="1" applyNumberFormat="1" applyFont="1" applyFill="1" applyBorder="1" applyAlignment="1">
      <alignment horizontal="center" vertical="center"/>
    </xf>
    <xf numFmtId="165" fontId="50" fillId="13" borderId="59" xfId="1" applyNumberFormat="1" applyFont="1" applyFill="1" applyBorder="1" applyAlignment="1">
      <alignment horizontal="center" vertical="center"/>
    </xf>
    <xf numFmtId="165" fontId="75" fillId="13" borderId="59" xfId="1" applyNumberFormat="1" applyFont="1" applyFill="1" applyBorder="1" applyAlignment="1">
      <alignment horizontal="center" vertical="center"/>
    </xf>
    <xf numFmtId="165" fontId="50" fillId="13" borderId="70" xfId="1" applyNumberFormat="1" applyFont="1" applyFill="1" applyBorder="1" applyAlignment="1">
      <alignment horizontal="center" vertical="center"/>
    </xf>
    <xf numFmtId="165" fontId="49" fillId="13" borderId="71" xfId="1" applyNumberFormat="1" applyFont="1" applyFill="1" applyBorder="1" applyAlignment="1">
      <alignment horizontal="center" vertical="center"/>
    </xf>
    <xf numFmtId="165" fontId="77" fillId="13" borderId="59" xfId="1" applyNumberFormat="1" applyFont="1" applyFill="1" applyBorder="1" applyAlignment="1">
      <alignment horizontal="center" vertical="center"/>
    </xf>
    <xf numFmtId="165" fontId="49" fillId="14" borderId="39" xfId="1" applyNumberFormat="1" applyFont="1" applyFill="1" applyBorder="1" applyAlignment="1">
      <alignment horizontal="center" vertical="center"/>
    </xf>
    <xf numFmtId="165" fontId="49" fillId="14" borderId="12" xfId="1" applyNumberFormat="1" applyFont="1" applyFill="1" applyBorder="1" applyAlignment="1">
      <alignment horizontal="center" vertical="center"/>
    </xf>
    <xf numFmtId="165" fontId="50" fillId="14" borderId="12" xfId="1" applyNumberFormat="1" applyFont="1" applyFill="1" applyBorder="1" applyAlignment="1">
      <alignment horizontal="center" vertical="center"/>
    </xf>
    <xf numFmtId="165" fontId="50" fillId="14" borderId="40" xfId="1" applyNumberFormat="1" applyFont="1" applyFill="1" applyBorder="1" applyAlignment="1">
      <alignment horizontal="center" vertical="center"/>
    </xf>
    <xf numFmtId="165" fontId="49" fillId="14" borderId="26" xfId="1" applyNumberFormat="1" applyFont="1" applyFill="1" applyBorder="1" applyAlignment="1">
      <alignment horizontal="center" vertical="center"/>
    </xf>
    <xf numFmtId="165" fontId="51" fillId="14" borderId="12" xfId="1" applyNumberFormat="1" applyFont="1" applyFill="1" applyBorder="1" applyAlignment="1">
      <alignment horizontal="center" vertical="center"/>
    </xf>
    <xf numFmtId="165" fontId="52" fillId="14" borderId="12" xfId="1" applyNumberFormat="1" applyFont="1" applyFill="1" applyBorder="1" applyAlignment="1">
      <alignment horizontal="center" vertical="center"/>
    </xf>
    <xf numFmtId="165" fontId="55" fillId="14" borderId="12" xfId="1" applyNumberFormat="1" applyFont="1" applyFill="1" applyBorder="1" applyAlignment="1">
      <alignment horizontal="center" vertical="center"/>
    </xf>
    <xf numFmtId="165" fontId="50" fillId="14" borderId="49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15" borderId="12" xfId="1" applyNumberFormat="1" applyFont="1" applyFill="1" applyBorder="1" applyAlignment="1">
      <alignment horizontal="center" vertical="center"/>
    </xf>
    <xf numFmtId="165" fontId="50" fillId="15" borderId="12" xfId="1" applyNumberFormat="1" applyFont="1" applyFill="1" applyBorder="1" applyAlignment="1">
      <alignment horizontal="center" vertical="center"/>
    </xf>
    <xf numFmtId="165" fontId="50" fillId="15" borderId="40" xfId="1" applyNumberFormat="1" applyFont="1" applyFill="1" applyBorder="1" applyAlignment="1">
      <alignment horizontal="center" vertical="center"/>
    </xf>
    <xf numFmtId="165" fontId="49" fillId="15" borderId="59" xfId="1" applyNumberFormat="1" applyFont="1" applyFill="1" applyBorder="1" applyAlignment="1">
      <alignment horizontal="center" vertical="center"/>
    </xf>
    <xf numFmtId="165" fontId="50" fillId="15" borderId="59" xfId="1" applyNumberFormat="1" applyFont="1" applyFill="1" applyBorder="1" applyAlignment="1">
      <alignment horizontal="center" vertical="center"/>
    </xf>
    <xf numFmtId="165" fontId="75" fillId="15" borderId="59" xfId="1" applyNumberFormat="1" applyFont="1" applyFill="1" applyBorder="1" applyAlignment="1">
      <alignment horizontal="center" vertical="center"/>
    </xf>
    <xf numFmtId="165" fontId="50" fillId="15" borderId="70" xfId="1" applyNumberFormat="1" applyFont="1" applyFill="1" applyBorder="1" applyAlignment="1">
      <alignment horizontal="center" vertical="center"/>
    </xf>
    <xf numFmtId="165" fontId="49" fillId="15" borderId="71" xfId="1" applyNumberFormat="1" applyFont="1" applyFill="1" applyBorder="1" applyAlignment="1">
      <alignment horizontal="center" vertical="center"/>
    </xf>
    <xf numFmtId="165" fontId="77" fillId="15" borderId="59" xfId="1" applyNumberFormat="1" applyFont="1" applyFill="1" applyBorder="1" applyAlignment="1">
      <alignment horizontal="center" vertical="center"/>
    </xf>
    <xf numFmtId="165" fontId="55" fillId="0" borderId="12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49" fillId="16" borderId="21" xfId="1" applyNumberFormat="1" applyFont="1" applyFill="1" applyBorder="1" applyAlignment="1">
      <alignment horizontal="center" vertical="center"/>
    </xf>
    <xf numFmtId="165" fontId="50" fillId="16" borderId="21" xfId="1" applyNumberFormat="1" applyFont="1" applyFill="1" applyBorder="1" applyAlignment="1">
      <alignment horizontal="center" vertical="center"/>
    </xf>
    <xf numFmtId="165" fontId="52" fillId="16" borderId="21" xfId="1" applyNumberFormat="1" applyFont="1" applyFill="1" applyBorder="1" applyAlignment="1">
      <alignment horizontal="center" vertical="center"/>
    </xf>
    <xf numFmtId="165" fontId="50" fillId="16" borderId="41" xfId="1" applyNumberFormat="1" applyFont="1" applyFill="1" applyBorder="1" applyAlignment="1">
      <alignment horizontal="center" vertical="center"/>
    </xf>
    <xf numFmtId="165" fontId="1" fillId="16" borderId="39" xfId="1" applyNumberFormat="1" applyFont="1" applyFill="1" applyBorder="1" applyAlignment="1">
      <alignment horizontal="center" vertical="center"/>
    </xf>
    <xf numFmtId="165" fontId="1" fillId="16" borderId="12" xfId="1" applyNumberFormat="1" applyFont="1" applyFill="1" applyBorder="1" applyAlignment="1">
      <alignment horizontal="center" vertical="center"/>
    </xf>
    <xf numFmtId="165" fontId="4" fillId="16" borderId="12" xfId="1" applyNumberFormat="1" applyFont="1" applyFill="1" applyBorder="1" applyAlignment="1">
      <alignment horizontal="center" vertical="center"/>
    </xf>
    <xf numFmtId="165" fontId="5" fillId="16" borderId="12" xfId="1" applyNumberFormat="1" applyFont="1" applyFill="1" applyBorder="1" applyAlignment="1">
      <alignment horizontal="center" vertical="center"/>
    </xf>
    <xf numFmtId="165" fontId="6" fillId="16" borderId="12" xfId="1" applyNumberFormat="1" applyFont="1" applyFill="1" applyBorder="1" applyAlignment="1">
      <alignment horizontal="center" vertical="center"/>
    </xf>
    <xf numFmtId="165" fontId="35" fillId="16" borderId="40" xfId="1" applyNumberFormat="1" applyFont="1" applyFill="1" applyBorder="1" applyAlignment="1">
      <alignment horizontal="center" vertical="center"/>
    </xf>
    <xf numFmtId="165" fontId="1" fillId="16" borderId="12" xfId="1" applyNumberFormat="1" applyFill="1" applyBorder="1" applyAlignment="1">
      <alignment horizontal="center" vertical="center"/>
    </xf>
    <xf numFmtId="165" fontId="40" fillId="16" borderId="12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76" fontId="119" fillId="0" borderId="114" xfId="4" applyNumberFormat="1" applyFont="1" applyBorder="1"/>
    <xf numFmtId="165" fontId="166" fillId="10" borderId="33" xfId="1" applyNumberFormat="1" applyFont="1" applyFill="1" applyBorder="1" applyAlignment="1">
      <alignment horizontal="center"/>
    </xf>
    <xf numFmtId="165" fontId="15" fillId="6" borderId="10" xfId="1" applyNumberFormat="1" applyFont="1" applyFill="1" applyBorder="1" applyAlignment="1">
      <alignment horizontal="center" vertical="center"/>
    </xf>
    <xf numFmtId="165" fontId="80" fillId="6" borderId="8" xfId="1" applyNumberFormat="1" applyFont="1" applyFill="1" applyBorder="1" applyAlignment="1">
      <alignment horizontal="center" vertical="center"/>
    </xf>
    <xf numFmtId="0" fontId="1" fillId="6" borderId="8" xfId="1" applyFill="1" applyBorder="1"/>
    <xf numFmtId="0" fontId="21" fillId="6" borderId="8" xfId="1" applyFont="1" applyFill="1" applyBorder="1"/>
    <xf numFmtId="0" fontId="1" fillId="6" borderId="8" xfId="1" applyFont="1" applyFill="1" applyBorder="1"/>
    <xf numFmtId="0" fontId="1" fillId="6" borderId="9" xfId="1" applyFill="1" applyBorder="1"/>
    <xf numFmtId="165" fontId="15" fillId="6" borderId="17" xfId="1" applyNumberFormat="1" applyFont="1" applyFill="1" applyBorder="1" applyAlignment="1">
      <alignment horizontal="center" vertical="center"/>
    </xf>
    <xf numFmtId="165" fontId="28" fillId="6" borderId="79" xfId="1" applyNumberFormat="1" applyFont="1" applyFill="1" applyBorder="1" applyAlignment="1">
      <alignment horizontal="center"/>
    </xf>
    <xf numFmtId="0" fontId="28" fillId="6" borderId="79" xfId="1" applyFont="1" applyFill="1" applyBorder="1"/>
    <xf numFmtId="0" fontId="1" fillId="6" borderId="79" xfId="1" applyFill="1" applyBorder="1"/>
    <xf numFmtId="0" fontId="1" fillId="6" borderId="80" xfId="1" applyFill="1" applyBorder="1"/>
    <xf numFmtId="0" fontId="1" fillId="6" borderId="18" xfId="1" applyFill="1" applyBorder="1"/>
    <xf numFmtId="165" fontId="1" fillId="6" borderId="28" xfId="1" applyNumberFormat="1" applyFill="1" applyBorder="1" applyAlignment="1">
      <alignment horizontal="center"/>
    </xf>
    <xf numFmtId="0" fontId="1" fillId="6" borderId="33" xfId="1" applyFill="1" applyBorder="1"/>
    <xf numFmtId="165" fontId="96" fillId="6" borderId="33" xfId="1" applyNumberFormat="1" applyFont="1" applyFill="1" applyBorder="1" applyAlignment="1">
      <alignment horizontal="center"/>
    </xf>
    <xf numFmtId="165" fontId="1" fillId="6" borderId="33" xfId="1" applyNumberFormat="1" applyFill="1" applyBorder="1" applyAlignment="1">
      <alignment horizontal="center"/>
    </xf>
    <xf numFmtId="0" fontId="1" fillId="6" borderId="36" xfId="1" applyFill="1" applyBorder="1"/>
    <xf numFmtId="165" fontId="167" fillId="11" borderId="78" xfId="1" applyNumberFormat="1" applyFont="1" applyFill="1" applyBorder="1" applyAlignment="1">
      <alignment horizontal="left" vertical="center"/>
    </xf>
    <xf numFmtId="165" fontId="168" fillId="6" borderId="78" xfId="1" applyNumberFormat="1" applyFont="1" applyFill="1" applyBorder="1" applyAlignment="1">
      <alignment horizontal="left"/>
    </xf>
    <xf numFmtId="0" fontId="1" fillId="0" borderId="0" xfId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0" fontId="1" fillId="0" borderId="0" xfId="1" applyFont="1" applyFill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5" fontId="49" fillId="1" borderId="26" xfId="1" applyNumberFormat="1" applyFont="1" applyFill="1" applyBorder="1" applyAlignment="1">
      <alignment horizontal="center" vertic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65" fontId="1" fillId="0" borderId="26" xfId="1" applyNumberFormat="1" applyFont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65" fontId="6" fillId="1" borderId="12" xfId="1" applyNumberFormat="1" applyFont="1" applyFill="1" applyBorder="1" applyAlignment="1">
      <alignment horizontal="center" vertical="center"/>
    </xf>
    <xf numFmtId="165" fontId="36" fillId="1" borderId="12" xfId="1" applyNumberFormat="1" applyFont="1" applyFill="1" applyBorder="1" applyAlignment="1">
      <alignment horizontal="center" vertical="center"/>
    </xf>
    <xf numFmtId="165" fontId="55" fillId="1" borderId="12" xfId="1" applyNumberFormat="1" applyFont="1" applyFill="1" applyBorder="1" applyAlignment="1">
      <alignment horizontal="center" vertical="center"/>
    </xf>
    <xf numFmtId="165" fontId="36" fillId="3" borderId="12" xfId="1" applyNumberFormat="1" applyFont="1" applyFill="1" applyBorder="1" applyAlignment="1">
      <alignment horizontal="center" vertical="center"/>
    </xf>
    <xf numFmtId="165" fontId="55" fillId="3" borderId="12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0" fontId="1" fillId="0" borderId="0" xfId="1" applyFont="1" applyFill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0" fontId="1" fillId="0" borderId="0" xfId="1" applyFont="1" applyFill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65" fontId="1" fillId="0" borderId="26" xfId="1" applyNumberFormat="1" applyFont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65" fontId="69" fillId="0" borderId="12" xfId="1" applyNumberFormat="1" applyFont="1" applyBorder="1" applyAlignment="1">
      <alignment horizontal="center" vertical="center"/>
    </xf>
    <xf numFmtId="1" fontId="170" fillId="2" borderId="12" xfId="1" applyNumberFormat="1" applyFont="1" applyFill="1" applyBorder="1" applyAlignment="1">
      <alignment horizontal="center" vertical="center"/>
    </xf>
    <xf numFmtId="1" fontId="50" fillId="2" borderId="21" xfId="1" applyNumberFormat="1" applyFont="1" applyFill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" fontId="170" fillId="0" borderId="12" xfId="1" applyNumberFormat="1" applyFont="1" applyFill="1" applyBorder="1" applyAlignment="1">
      <alignment horizontal="center" vertical="center"/>
    </xf>
    <xf numFmtId="178" fontId="137" fillId="0" borderId="26" xfId="1" applyNumberFormat="1" applyFont="1" applyBorder="1" applyAlignment="1">
      <alignment horizontal="center"/>
    </xf>
    <xf numFmtId="178" fontId="137" fillId="0" borderId="12" xfId="1" applyNumberFormat="1" applyFont="1" applyBorder="1" applyAlignment="1">
      <alignment horizontal="center"/>
    </xf>
    <xf numFmtId="178" fontId="138" fillId="0" borderId="12" xfId="1" applyNumberFormat="1" applyFont="1" applyBorder="1" applyAlignment="1">
      <alignment horizontal="center"/>
    </xf>
    <xf numFmtId="178" fontId="116" fillId="0" borderId="12" xfId="1" applyNumberFormat="1" applyFont="1" applyBorder="1" applyAlignment="1">
      <alignment horizontal="center"/>
    </xf>
    <xf numFmtId="172" fontId="140" fillId="0" borderId="68" xfId="1" applyNumberFormat="1" applyFont="1" applyFill="1" applyBorder="1" applyAlignment="1">
      <alignment horizontal="center"/>
    </xf>
    <xf numFmtId="172" fontId="140" fillId="0" borderId="97" xfId="1" applyNumberFormat="1" applyFont="1" applyFill="1" applyBorder="1" applyAlignment="1">
      <alignment horizontal="center"/>
    </xf>
    <xf numFmtId="172" fontId="140" fillId="0" borderId="69" xfId="1" applyNumberFormat="1" applyFont="1" applyFill="1" applyBorder="1" applyAlignment="1">
      <alignment horizontal="center"/>
    </xf>
    <xf numFmtId="172" fontId="137" fillId="0" borderId="12" xfId="1" applyNumberFormat="1" applyFont="1" applyBorder="1" applyAlignment="1">
      <alignment horizontal="center"/>
    </xf>
    <xf numFmtId="178" fontId="89" fillId="0" borderId="12" xfId="1" applyNumberFormat="1" applyFont="1" applyBorder="1" applyAlignment="1">
      <alignment horizontal="center"/>
    </xf>
    <xf numFmtId="172" fontId="116" fillId="0" borderId="72" xfId="1" applyNumberFormat="1" applyFont="1" applyBorder="1" applyAlignment="1">
      <alignment horizontal="center"/>
    </xf>
    <xf numFmtId="172" fontId="116" fillId="0" borderId="73" xfId="1" applyNumberFormat="1" applyFont="1" applyBorder="1" applyAlignment="1">
      <alignment horizontal="center"/>
    </xf>
    <xf numFmtId="172" fontId="116" fillId="0" borderId="74" xfId="1" applyNumberFormat="1" applyFont="1" applyBorder="1" applyAlignment="1">
      <alignment horizontal="center"/>
    </xf>
    <xf numFmtId="172" fontId="136" fillId="0" borderId="68" xfId="1" applyNumberFormat="1" applyFont="1" applyFill="1" applyBorder="1" applyAlignment="1">
      <alignment horizontal="center"/>
    </xf>
    <xf numFmtId="172" fontId="136" fillId="0" borderId="97" xfId="1" applyNumberFormat="1" applyFont="1" applyFill="1" applyBorder="1" applyAlignment="1">
      <alignment horizontal="center"/>
    </xf>
    <xf numFmtId="172" fontId="136" fillId="0" borderId="69" xfId="1" applyNumberFormat="1" applyFont="1" applyFill="1" applyBorder="1" applyAlignment="1">
      <alignment horizontal="center"/>
    </xf>
    <xf numFmtId="165" fontId="1" fillId="0" borderId="12" xfId="1" applyNumberFormat="1" applyBorder="1" applyAlignment="1">
      <alignment horizontal="left" indent="1"/>
    </xf>
    <xf numFmtId="178" fontId="120" fillId="0" borderId="12" xfId="1" applyNumberFormat="1" applyFont="1" applyBorder="1" applyAlignment="1">
      <alignment horizontal="center"/>
    </xf>
    <xf numFmtId="2" fontId="5" fillId="0" borderId="12" xfId="1" applyNumberFormat="1" applyFont="1" applyBorder="1" applyAlignment="1">
      <alignment horizontal="center"/>
    </xf>
    <xf numFmtId="178" fontId="5" fillId="0" borderId="12" xfId="1" applyNumberFormat="1" applyFont="1" applyBorder="1" applyAlignment="1">
      <alignment horizontal="center"/>
    </xf>
    <xf numFmtId="178" fontId="5" fillId="0" borderId="48" xfId="1" applyNumberFormat="1" applyFont="1" applyBorder="1" applyAlignment="1">
      <alignment horizontal="center"/>
    </xf>
    <xf numFmtId="178" fontId="5" fillId="0" borderId="67" xfId="1" applyNumberFormat="1" applyFont="1" applyBorder="1" applyAlignment="1">
      <alignment horizontal="center"/>
    </xf>
    <xf numFmtId="178" fontId="5" fillId="0" borderId="26" xfId="1" applyNumberFormat="1" applyFont="1" applyBorder="1" applyAlignment="1">
      <alignment horizontal="center"/>
    </xf>
    <xf numFmtId="165" fontId="1" fillId="0" borderId="21" xfId="1" applyNumberFormat="1" applyBorder="1" applyAlignment="1">
      <alignment horizontal="left" indent="1"/>
    </xf>
    <xf numFmtId="178" fontId="120" fillId="0" borderId="21" xfId="1" applyNumberFormat="1" applyFont="1" applyBorder="1" applyAlignment="1">
      <alignment horizontal="center"/>
    </xf>
    <xf numFmtId="2" fontId="5" fillId="0" borderId="21" xfId="1" applyNumberFormat="1" applyFont="1" applyBorder="1" applyAlignment="1">
      <alignment horizontal="center"/>
    </xf>
    <xf numFmtId="178" fontId="116" fillId="0" borderId="21" xfId="1" applyNumberFormat="1" applyFont="1" applyBorder="1" applyAlignment="1">
      <alignment horizontal="center"/>
    </xf>
    <xf numFmtId="178" fontId="5" fillId="0" borderId="21" xfId="1" applyNumberFormat="1" applyFont="1" applyBorder="1" applyAlignment="1">
      <alignment horizontal="center"/>
    </xf>
    <xf numFmtId="178" fontId="5" fillId="0" borderId="4" xfId="1" applyNumberFormat="1" applyFont="1" applyBorder="1" applyAlignment="1">
      <alignment horizontal="center"/>
    </xf>
    <xf numFmtId="172" fontId="136" fillId="0" borderId="94" xfId="1" applyNumberFormat="1" applyFont="1" applyFill="1" applyBorder="1" applyAlignment="1">
      <alignment horizontal="center"/>
    </xf>
    <xf numFmtId="172" fontId="136" fillId="0" borderId="95" xfId="1" applyNumberFormat="1" applyFont="1" applyFill="1" applyBorder="1" applyAlignment="1">
      <alignment horizontal="center"/>
    </xf>
    <xf numFmtId="172" fontId="136" fillId="0" borderId="96" xfId="1" applyNumberFormat="1" applyFont="1" applyFill="1" applyBorder="1" applyAlignment="1">
      <alignment horizontal="center"/>
    </xf>
    <xf numFmtId="178" fontId="137" fillId="0" borderId="6" xfId="1" applyNumberFormat="1" applyFont="1" applyBorder="1" applyAlignment="1">
      <alignment horizontal="center"/>
    </xf>
    <xf numFmtId="178" fontId="137" fillId="0" borderId="21" xfId="1" applyNumberFormat="1" applyFont="1" applyBorder="1" applyAlignment="1">
      <alignment horizontal="center"/>
    </xf>
    <xf numFmtId="178" fontId="138" fillId="0" borderId="21" xfId="1" applyNumberFormat="1" applyFont="1" applyBorder="1" applyAlignment="1">
      <alignment horizontal="center"/>
    </xf>
    <xf numFmtId="2" fontId="155" fillId="0" borderId="12" xfId="1" applyNumberFormat="1" applyFont="1" applyBorder="1" applyAlignment="1">
      <alignment horizontal="center"/>
    </xf>
    <xf numFmtId="2" fontId="155" fillId="0" borderId="30" xfId="1" applyNumberFormat="1" applyFont="1" applyBorder="1" applyAlignment="1">
      <alignment horizontal="center"/>
    </xf>
    <xf numFmtId="165" fontId="133" fillId="0" borderId="1" xfId="1" applyNumberFormat="1" applyFont="1" applyBorder="1" applyAlignment="1">
      <alignment horizontal="center"/>
    </xf>
    <xf numFmtId="165" fontId="133" fillId="0" borderId="2" xfId="1" applyNumberFormat="1" applyFont="1" applyBorder="1" applyAlignment="1">
      <alignment horizontal="center"/>
    </xf>
    <xf numFmtId="165" fontId="133" fillId="0" borderId="3" xfId="1" applyNumberFormat="1" applyFont="1" applyBorder="1" applyAlignment="1">
      <alignment horizontal="center"/>
    </xf>
    <xf numFmtId="165" fontId="134" fillId="0" borderId="1" xfId="1" applyNumberFormat="1" applyFont="1" applyBorder="1" applyAlignment="1">
      <alignment horizontal="center"/>
    </xf>
    <xf numFmtId="165" fontId="134" fillId="0" borderId="2" xfId="1" applyNumberFormat="1" applyFont="1" applyBorder="1" applyAlignment="1">
      <alignment horizontal="center"/>
    </xf>
    <xf numFmtId="165" fontId="134" fillId="0" borderId="3" xfId="1" applyNumberFormat="1" applyFont="1" applyBorder="1" applyAlignment="1">
      <alignment horizontal="center"/>
    </xf>
    <xf numFmtId="165" fontId="1" fillId="0" borderId="86" xfId="1" applyNumberFormat="1" applyBorder="1" applyAlignment="1">
      <alignment horizontal="left" indent="1"/>
    </xf>
    <xf numFmtId="165" fontId="120" fillId="0" borderId="86" xfId="1" applyNumberFormat="1" applyFont="1" applyBorder="1" applyAlignment="1">
      <alignment horizontal="center"/>
    </xf>
    <xf numFmtId="165" fontId="5" fillId="0" borderId="86" xfId="1" applyNumberFormat="1" applyFont="1" applyBorder="1" applyAlignment="1">
      <alignment horizontal="center"/>
    </xf>
    <xf numFmtId="165" fontId="116" fillId="0" borderId="86" xfId="1" applyNumberFormat="1" applyFont="1" applyBorder="1" applyAlignment="1">
      <alignment horizontal="center"/>
    </xf>
    <xf numFmtId="165" fontId="5" fillId="0" borderId="87" xfId="1" applyNumberFormat="1" applyFont="1" applyBorder="1" applyAlignment="1">
      <alignment horizontal="center"/>
    </xf>
    <xf numFmtId="165" fontId="135" fillId="0" borderId="88" xfId="1" applyNumberFormat="1" applyFont="1" applyFill="1" applyBorder="1" applyAlignment="1">
      <alignment horizontal="center"/>
    </xf>
    <xf numFmtId="165" fontId="135" fillId="0" borderId="89" xfId="1" applyNumberFormat="1" applyFont="1" applyFill="1" applyBorder="1" applyAlignment="1">
      <alignment horizontal="center"/>
    </xf>
    <xf numFmtId="165" fontId="135" fillId="0" borderId="90" xfId="1" applyNumberFormat="1" applyFont="1" applyFill="1" applyBorder="1" applyAlignment="1">
      <alignment horizontal="center"/>
    </xf>
    <xf numFmtId="165" fontId="133" fillId="0" borderId="91" xfId="1" applyNumberFormat="1" applyFont="1" applyBorder="1" applyAlignment="1">
      <alignment horizontal="center"/>
    </xf>
    <xf numFmtId="165" fontId="133" fillId="0" borderId="92" xfId="1" applyNumberFormat="1" applyFont="1" applyBorder="1" applyAlignment="1">
      <alignment horizontal="center"/>
    </xf>
    <xf numFmtId="165" fontId="134" fillId="0" borderId="93" xfId="1" applyNumberFormat="1" applyFont="1" applyBorder="1" applyAlignment="1">
      <alignment horizontal="center"/>
    </xf>
    <xf numFmtId="165" fontId="134" fillId="0" borderId="91" xfId="1" applyNumberFormat="1" applyFont="1" applyBorder="1" applyAlignment="1">
      <alignment horizontal="center"/>
    </xf>
    <xf numFmtId="165" fontId="134" fillId="0" borderId="92" xfId="1" applyNumberFormat="1" applyFont="1" applyBorder="1" applyAlignment="1">
      <alignment horizontal="center"/>
    </xf>
    <xf numFmtId="0" fontId="155" fillId="0" borderId="12" xfId="1" applyFont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188" fontId="10" fillId="0" borderId="0" xfId="1" applyNumberFormat="1" applyFont="1" applyBorder="1" applyAlignment="1">
      <alignment horizontal="center"/>
    </xf>
    <xf numFmtId="178" fontId="163" fillId="0" borderId="26" xfId="1" applyNumberFormat="1" applyFont="1" applyBorder="1" applyAlignment="1">
      <alignment horizontal="center"/>
    </xf>
    <xf numFmtId="178" fontId="163" fillId="0" borderId="12" xfId="1" applyNumberFormat="1" applyFont="1" applyBorder="1" applyAlignment="1">
      <alignment horizontal="center"/>
    </xf>
    <xf numFmtId="164" fontId="138" fillId="0" borderId="12" xfId="1" applyNumberFormat="1" applyFont="1" applyBorder="1" applyAlignment="1">
      <alignment horizontal="center"/>
    </xf>
    <xf numFmtId="164" fontId="137" fillId="0" borderId="12" xfId="1" applyNumberFormat="1" applyFont="1" applyBorder="1" applyAlignment="1">
      <alignment horizontal="center"/>
    </xf>
    <xf numFmtId="178" fontId="160" fillId="0" borderId="12" xfId="1" applyNumberFormat="1" applyFont="1" applyBorder="1" applyAlignment="1">
      <alignment horizontal="center"/>
    </xf>
    <xf numFmtId="178" fontId="152" fillId="0" borderId="12" xfId="1" applyNumberFormat="1" applyFont="1" applyBorder="1" applyAlignment="1">
      <alignment horizontal="center"/>
    </xf>
    <xf numFmtId="164" fontId="138" fillId="0" borderId="21" xfId="1" applyNumberFormat="1" applyFont="1" applyBorder="1" applyAlignment="1">
      <alignment horizontal="center"/>
    </xf>
    <xf numFmtId="178" fontId="160" fillId="0" borderId="21" xfId="1" applyNumberFormat="1" applyFont="1" applyBorder="1" applyAlignment="1">
      <alignment horizontal="center"/>
    </xf>
    <xf numFmtId="178" fontId="152" fillId="0" borderId="21" xfId="1" applyNumberFormat="1" applyFont="1" applyBorder="1" applyAlignment="1">
      <alignment horizontal="center"/>
    </xf>
    <xf numFmtId="178" fontId="163" fillId="0" borderId="6" xfId="1" applyNumberFormat="1" applyFont="1" applyBorder="1" applyAlignment="1">
      <alignment horizontal="center"/>
    </xf>
    <xf numFmtId="178" fontId="163" fillId="0" borderId="21" xfId="1" applyNumberFormat="1" applyFont="1" applyBorder="1" applyAlignment="1">
      <alignment horizontal="center"/>
    </xf>
    <xf numFmtId="177" fontId="1" fillId="0" borderId="48" xfId="4" applyNumberFormat="1" applyFont="1" applyBorder="1" applyAlignment="1">
      <alignment horizontal="center"/>
    </xf>
    <xf numFmtId="177" fontId="1" fillId="0" borderId="26" xfId="4" applyNumberFormat="1" applyFont="1" applyBorder="1" applyAlignment="1">
      <alignment horizontal="center"/>
    </xf>
    <xf numFmtId="165" fontId="162" fillId="0" borderId="1" xfId="1" applyNumberFormat="1" applyFont="1" applyBorder="1" applyAlignment="1">
      <alignment horizontal="center"/>
    </xf>
    <xf numFmtId="165" fontId="162" fillId="0" borderId="2" xfId="1" applyNumberFormat="1" applyFont="1" applyBorder="1" applyAlignment="1">
      <alignment horizontal="center"/>
    </xf>
    <xf numFmtId="165" fontId="162" fillId="0" borderId="3" xfId="1" applyNumberFormat="1" applyFont="1" applyBorder="1" applyAlignment="1">
      <alignment horizontal="center"/>
    </xf>
    <xf numFmtId="165" fontId="161" fillId="0" borderId="86" xfId="1" applyNumberFormat="1" applyFont="1" applyBorder="1" applyAlignment="1">
      <alignment horizontal="center"/>
    </xf>
    <xf numFmtId="4" fontId="110" fillId="9" borderId="48" xfId="4" applyNumberFormat="1" applyFont="1" applyFill="1" applyBorder="1" applyAlignment="1">
      <alignment horizontal="center"/>
    </xf>
    <xf numFmtId="4" fontId="110" fillId="9" borderId="26" xfId="4" applyNumberFormat="1" applyFont="1" applyFill="1" applyBorder="1" applyAlignment="1">
      <alignment horizontal="center"/>
    </xf>
    <xf numFmtId="176" fontId="112" fillId="9" borderId="48" xfId="4" applyNumberFormat="1" applyFont="1" applyFill="1" applyBorder="1" applyAlignment="1">
      <alignment horizontal="center"/>
    </xf>
    <xf numFmtId="176" fontId="112" fillId="9" borderId="26" xfId="4" applyNumberFormat="1" applyFont="1" applyFill="1" applyBorder="1" applyAlignment="1">
      <alignment horizontal="center"/>
    </xf>
    <xf numFmtId="184" fontId="149" fillId="9" borderId="48" xfId="4" applyNumberFormat="1" applyFont="1" applyFill="1" applyBorder="1" applyAlignment="1">
      <alignment horizontal="right"/>
    </xf>
    <xf numFmtId="184" fontId="149" fillId="9" borderId="26" xfId="4" applyNumberFormat="1" applyFont="1" applyFill="1" applyBorder="1" applyAlignment="1">
      <alignment horizontal="right"/>
    </xf>
    <xf numFmtId="172" fontId="111" fillId="9" borderId="48" xfId="4" applyNumberFormat="1" applyFont="1" applyFill="1" applyBorder="1" applyAlignment="1">
      <alignment horizontal="center"/>
    </xf>
    <xf numFmtId="172" fontId="111" fillId="9" borderId="26" xfId="4" applyNumberFormat="1" applyFont="1" applyFill="1" applyBorder="1" applyAlignment="1">
      <alignment horizontal="center"/>
    </xf>
    <xf numFmtId="39" fontId="112" fillId="9" borderId="48" xfId="4" applyNumberFormat="1" applyFont="1" applyFill="1" applyBorder="1" applyAlignment="1">
      <alignment horizontal="right"/>
    </xf>
    <xf numFmtId="39" fontId="112" fillId="9" borderId="26" xfId="4" applyNumberFormat="1" applyFont="1" applyFill="1" applyBorder="1" applyAlignment="1">
      <alignment horizontal="right"/>
    </xf>
    <xf numFmtId="172" fontId="97" fillId="0" borderId="82" xfId="4" applyNumberFormat="1" applyFont="1" applyBorder="1" applyAlignment="1">
      <alignment horizontal="center"/>
    </xf>
    <xf numFmtId="165" fontId="162" fillId="0" borderId="91" xfId="1" applyNumberFormat="1" applyFont="1" applyBorder="1" applyAlignment="1">
      <alignment horizontal="center"/>
    </xf>
    <xf numFmtId="165" fontId="162" fillId="0" borderId="92" xfId="1" applyNumberFormat="1" applyFont="1" applyBorder="1" applyAlignment="1">
      <alignment horizontal="center"/>
    </xf>
    <xf numFmtId="187" fontId="1" fillId="0" borderId="0" xfId="1" applyNumberFormat="1" applyFont="1" applyFill="1" applyBorder="1" applyAlignment="1">
      <alignment horizontal="center"/>
    </xf>
    <xf numFmtId="4" fontId="72" fillId="0" borderId="48" xfId="4" applyNumberFormat="1" applyFont="1" applyBorder="1" applyAlignment="1">
      <alignment horizontal="center"/>
    </xf>
    <xf numFmtId="4" fontId="72" fillId="0" borderId="26" xfId="4" applyNumberFormat="1" applyFont="1" applyBorder="1" applyAlignment="1">
      <alignment horizontal="center"/>
    </xf>
    <xf numFmtId="176" fontId="148" fillId="0" borderId="48" xfId="4" applyNumberFormat="1" applyFont="1" applyFill="1" applyBorder="1" applyAlignment="1">
      <alignment horizontal="center"/>
    </xf>
    <xf numFmtId="176" fontId="148" fillId="0" borderId="26" xfId="4" applyNumberFormat="1" applyFont="1" applyFill="1" applyBorder="1" applyAlignment="1">
      <alignment horizontal="center"/>
    </xf>
    <xf numFmtId="39" fontId="107" fillId="0" borderId="48" xfId="4" applyNumberFormat="1" applyFont="1" applyBorder="1" applyAlignment="1">
      <alignment horizontal="right"/>
    </xf>
    <xf numFmtId="39" fontId="107" fillId="0" borderId="26" xfId="4" applyNumberFormat="1" applyFont="1" applyBorder="1" applyAlignment="1">
      <alignment horizontal="right"/>
    </xf>
    <xf numFmtId="172" fontId="106" fillId="0" borderId="48" xfId="4" applyNumberFormat="1" applyFont="1" applyFill="1" applyBorder="1" applyAlignment="1">
      <alignment horizontal="center"/>
    </xf>
    <xf numFmtId="172" fontId="106" fillId="0" borderId="67" xfId="4" applyNumberFormat="1" applyFont="1" applyFill="1" applyBorder="1" applyAlignment="1">
      <alignment horizontal="center"/>
    </xf>
    <xf numFmtId="39" fontId="108" fillId="0" borderId="81" xfId="4" applyNumberFormat="1" applyFont="1" applyBorder="1" applyAlignment="1">
      <alignment horizontal="right"/>
    </xf>
    <xf numFmtId="177" fontId="102" fillId="0" borderId="48" xfId="4" applyNumberFormat="1" applyFont="1" applyBorder="1" applyAlignment="1">
      <alignment horizontal="center"/>
    </xf>
    <xf numFmtId="177" fontId="102" fillId="0" borderId="26" xfId="4" applyNumberFormat="1" applyFont="1" applyBorder="1" applyAlignment="1">
      <alignment horizontal="center"/>
    </xf>
    <xf numFmtId="172" fontId="104" fillId="9" borderId="48" xfId="4" applyNumberFormat="1" applyFont="1" applyFill="1" applyBorder="1" applyAlignment="1">
      <alignment horizontal="center"/>
    </xf>
    <xf numFmtId="172" fontId="104" fillId="9" borderId="26" xfId="4" applyNumberFormat="1" applyFont="1" applyFill="1" applyBorder="1" applyAlignment="1">
      <alignment horizontal="center"/>
    </xf>
    <xf numFmtId="172" fontId="105" fillId="9" borderId="48" xfId="4" applyNumberFormat="1" applyFont="1" applyFill="1" applyBorder="1" applyAlignment="1">
      <alignment horizontal="center"/>
    </xf>
    <xf numFmtId="172" fontId="105" fillId="9" borderId="26" xfId="4" applyNumberFormat="1" applyFont="1" applyFill="1" applyBorder="1" applyAlignment="1">
      <alignment horizontal="center"/>
    </xf>
    <xf numFmtId="184" fontId="104" fillId="9" borderId="48" xfId="4" applyNumberFormat="1" applyFont="1" applyFill="1" applyBorder="1" applyAlignment="1">
      <alignment horizontal="right"/>
    </xf>
    <xf numFmtId="184" fontId="104" fillId="9" borderId="26" xfId="4" applyNumberFormat="1" applyFont="1" applyFill="1" applyBorder="1" applyAlignment="1">
      <alignment horizontal="right"/>
    </xf>
    <xf numFmtId="39" fontId="89" fillId="9" borderId="98" xfId="4" applyNumberFormat="1" applyFont="1" applyFill="1" applyBorder="1" applyAlignment="1">
      <alignment horizontal="right"/>
    </xf>
    <xf numFmtId="39" fontId="89" fillId="9" borderId="99" xfId="4" applyNumberFormat="1" applyFont="1" applyFill="1" applyBorder="1" applyAlignment="1">
      <alignment horizontal="right"/>
    </xf>
    <xf numFmtId="172" fontId="97" fillId="0" borderId="83" xfId="4" applyNumberFormat="1" applyFont="1" applyBorder="1" applyAlignment="1">
      <alignment horizontal="center"/>
    </xf>
    <xf numFmtId="172" fontId="97" fillId="0" borderId="84" xfId="4" applyNumberFormat="1" applyFont="1" applyBorder="1" applyAlignment="1">
      <alignment horizontal="center"/>
    </xf>
    <xf numFmtId="178" fontId="1" fillId="0" borderId="0" xfId="1" applyNumberFormat="1" applyFont="1" applyFill="1" applyBorder="1" applyAlignment="1">
      <alignment horizontal="center"/>
    </xf>
    <xf numFmtId="172" fontId="10" fillId="0" borderId="48" xfId="4" applyNumberFormat="1" applyFont="1" applyBorder="1" applyAlignment="1">
      <alignment horizontal="center"/>
    </xf>
    <xf numFmtId="172" fontId="10" fillId="0" borderId="26" xfId="4" applyNumberFormat="1" applyFont="1" applyBorder="1" applyAlignment="1">
      <alignment horizontal="center"/>
    </xf>
    <xf numFmtId="176" fontId="10" fillId="0" borderId="48" xfId="4" applyNumberFormat="1" applyFont="1" applyBorder="1" applyAlignment="1">
      <alignment horizontal="center"/>
    </xf>
    <xf numFmtId="176" fontId="10" fillId="0" borderId="26" xfId="4" applyNumberFormat="1" applyFont="1" applyBorder="1" applyAlignment="1">
      <alignment horizontal="center"/>
    </xf>
    <xf numFmtId="176" fontId="89" fillId="0" borderId="48" xfId="4" applyNumberFormat="1" applyFont="1" applyBorder="1" applyAlignment="1">
      <alignment horizontal="center"/>
    </xf>
    <xf numFmtId="176" fontId="89" fillId="0" borderId="26" xfId="4" applyNumberFormat="1" applyFont="1" applyBorder="1" applyAlignment="1">
      <alignment horizontal="center"/>
    </xf>
    <xf numFmtId="172" fontId="68" fillId="0" borderId="48" xfId="4" applyNumberFormat="1" applyFont="1" applyBorder="1" applyAlignment="1">
      <alignment horizontal="center"/>
    </xf>
    <xf numFmtId="172" fontId="68" fillId="0" borderId="100" xfId="4" applyNumberFormat="1" applyFont="1" applyBorder="1" applyAlignment="1">
      <alignment horizontal="center"/>
    </xf>
    <xf numFmtId="39" fontId="10" fillId="0" borderId="78" xfId="4" applyNumberFormat="1" applyFont="1" applyBorder="1" applyAlignment="1">
      <alignment horizontal="right"/>
    </xf>
    <xf numFmtId="39" fontId="10" fillId="0" borderId="80" xfId="4" applyNumberFormat="1" applyFont="1" applyBorder="1" applyAlignment="1">
      <alignment horizontal="right"/>
    </xf>
    <xf numFmtId="177" fontId="1" fillId="0" borderId="48" xfId="4" applyNumberFormat="1" applyBorder="1" applyAlignment="1">
      <alignment horizontal="center"/>
    </xf>
    <xf numFmtId="177" fontId="1" fillId="0" borderId="26" xfId="4" applyNumberFormat="1" applyBorder="1" applyAlignment="1">
      <alignment horizontal="center"/>
    </xf>
    <xf numFmtId="172" fontId="68" fillId="0" borderId="67" xfId="4" applyNumberFormat="1" applyFont="1" applyBorder="1" applyAlignment="1">
      <alignment horizontal="center"/>
    </xf>
    <xf numFmtId="39" fontId="10" fillId="0" borderId="81" xfId="4" applyNumberFormat="1" applyFont="1" applyBorder="1" applyAlignment="1">
      <alignment horizontal="right"/>
    </xf>
    <xf numFmtId="172" fontId="1" fillId="0" borderId="48" xfId="4" applyNumberFormat="1" applyFont="1" applyFill="1" applyBorder="1" applyAlignment="1">
      <alignment horizontal="center"/>
    </xf>
    <xf numFmtId="172" fontId="1" fillId="0" borderId="26" xfId="4" applyNumberFormat="1" applyFont="1" applyFill="1" applyBorder="1" applyAlignment="1">
      <alignment horizontal="center"/>
    </xf>
    <xf numFmtId="172" fontId="69" fillId="0" borderId="48" xfId="4" applyNumberFormat="1" applyFont="1" applyBorder="1" applyAlignment="1">
      <alignment horizontal="center"/>
    </xf>
    <xf numFmtId="172" fontId="69" fillId="0" borderId="26" xfId="4" applyNumberFormat="1" applyFont="1" applyBorder="1" applyAlignment="1">
      <alignment horizontal="center"/>
    </xf>
    <xf numFmtId="165" fontId="103" fillId="0" borderId="0" xfId="2" applyNumberFormat="1" applyFill="1" applyBorder="1" applyAlignment="1" applyProtection="1">
      <alignment horizontal="center"/>
    </xf>
    <xf numFmtId="165" fontId="1" fillId="0" borderId="0" xfId="1" applyNumberFormat="1" applyFont="1" applyFill="1" applyBorder="1" applyAlignment="1">
      <alignment horizontal="center"/>
    </xf>
    <xf numFmtId="165" fontId="1" fillId="0" borderId="24" xfId="1" applyNumberFormat="1" applyBorder="1" applyAlignment="1">
      <alignment horizontal="center"/>
    </xf>
    <xf numFmtId="165" fontId="1" fillId="0" borderId="23" xfId="1" applyNumberFormat="1" applyBorder="1" applyAlignment="1">
      <alignment horizontal="center"/>
    </xf>
    <xf numFmtId="172" fontId="102" fillId="0" borderId="48" xfId="4" applyNumberFormat="1" applyFont="1" applyBorder="1" applyAlignment="1">
      <alignment horizontal="center"/>
    </xf>
    <xf numFmtId="172" fontId="102" fillId="0" borderId="26" xfId="4" applyNumberFormat="1" applyFont="1" applyBorder="1" applyAlignment="1">
      <alignment horizontal="center"/>
    </xf>
    <xf numFmtId="172" fontId="10" fillId="0" borderId="48" xfId="4" applyNumberFormat="1" applyFont="1" applyFill="1" applyBorder="1" applyAlignment="1">
      <alignment horizontal="center"/>
    </xf>
    <xf numFmtId="172" fontId="10" fillId="0" borderId="26" xfId="4" applyNumberFormat="1" applyFont="1" applyFill="1" applyBorder="1" applyAlignment="1">
      <alignment horizontal="center"/>
    </xf>
    <xf numFmtId="177" fontId="1" fillId="0" borderId="12" xfId="4" applyNumberFormat="1" applyBorder="1" applyAlignment="1">
      <alignment horizontal="center" vertical="center"/>
    </xf>
    <xf numFmtId="172" fontId="10" fillId="0" borderId="12" xfId="4" applyNumberFormat="1" applyFont="1" applyBorder="1" applyAlignment="1">
      <alignment horizontal="center" vertical="center"/>
    </xf>
    <xf numFmtId="172" fontId="1" fillId="0" borderId="12" xfId="4" applyNumberFormat="1" applyBorder="1" applyAlignment="1">
      <alignment horizontal="center" vertical="center"/>
    </xf>
    <xf numFmtId="172" fontId="68" fillId="0" borderId="12" xfId="4" applyNumberFormat="1" applyFont="1" applyBorder="1" applyAlignment="1">
      <alignment horizontal="center" vertical="center"/>
    </xf>
    <xf numFmtId="172" fontId="68" fillId="0" borderId="48" xfId="4" applyNumberFormat="1" applyFont="1" applyBorder="1" applyAlignment="1">
      <alignment horizontal="center" vertical="center"/>
    </xf>
    <xf numFmtId="39" fontId="99" fillId="0" borderId="81" xfId="4" applyNumberFormat="1" applyFont="1" applyBorder="1" applyAlignment="1">
      <alignment horizontal="right" vertical="center"/>
    </xf>
    <xf numFmtId="172" fontId="97" fillId="0" borderId="83" xfId="4" applyNumberFormat="1" applyFont="1" applyBorder="1" applyAlignment="1">
      <alignment horizontal="center" vertical="center"/>
    </xf>
    <xf numFmtId="172" fontId="97" fillId="0" borderId="84" xfId="4" applyNumberFormat="1" applyFont="1" applyBorder="1" applyAlignment="1">
      <alignment horizontal="center" vertical="center"/>
    </xf>
    <xf numFmtId="2" fontId="1" fillId="0" borderId="120" xfId="1" applyNumberFormat="1" applyBorder="1" applyAlignment="1">
      <alignment horizontal="center"/>
    </xf>
    <xf numFmtId="165" fontId="10" fillId="0" borderId="12" xfId="1" applyNumberFormat="1" applyFont="1" applyBorder="1" applyAlignment="1">
      <alignment horizontal="center" vertical="center" wrapText="1"/>
    </xf>
    <xf numFmtId="165" fontId="92" fillId="0" borderId="1" xfId="1" applyNumberFormat="1" applyFont="1" applyBorder="1" applyAlignment="1">
      <alignment horizontal="center" vertical="center" wrapText="1"/>
    </xf>
    <xf numFmtId="165" fontId="89" fillId="0" borderId="3" xfId="1" applyNumberFormat="1" applyFont="1" applyBorder="1" applyAlignment="1">
      <alignment horizontal="center" vertical="center" wrapText="1"/>
    </xf>
    <xf numFmtId="165" fontId="89" fillId="0" borderId="24" xfId="1" applyNumberFormat="1" applyFont="1" applyBorder="1" applyAlignment="1">
      <alignment horizontal="center" vertical="center" wrapText="1"/>
    </xf>
    <xf numFmtId="165" fontId="89" fillId="0" borderId="23" xfId="1" applyNumberFormat="1" applyFont="1" applyBorder="1" applyAlignment="1">
      <alignment horizontal="center" vertical="center" wrapText="1"/>
    </xf>
    <xf numFmtId="165" fontId="89" fillId="0" borderId="4" xfId="1" applyNumberFormat="1" applyFont="1" applyBorder="1" applyAlignment="1">
      <alignment horizontal="center" vertical="center" wrapText="1"/>
    </xf>
    <xf numFmtId="165" fontId="89" fillId="0" borderId="6" xfId="1" applyNumberFormat="1" applyFont="1" applyBorder="1" applyAlignment="1">
      <alignment horizontal="center" vertical="center" wrapText="1"/>
    </xf>
    <xf numFmtId="165" fontId="93" fillId="0" borderId="12" xfId="1" applyNumberFormat="1" applyFont="1" applyBorder="1" applyAlignment="1">
      <alignment horizontal="justify"/>
    </xf>
    <xf numFmtId="165" fontId="93" fillId="0" borderId="48" xfId="1" applyNumberFormat="1" applyFont="1" applyBorder="1" applyAlignment="1">
      <alignment horizontal="justify"/>
    </xf>
    <xf numFmtId="165" fontId="10" fillId="0" borderId="81" xfId="1" applyNumberFormat="1" applyFont="1" applyBorder="1" applyAlignment="1">
      <alignment horizontal="justify"/>
    </xf>
    <xf numFmtId="165" fontId="94" fillId="0" borderId="82" xfId="1" applyNumberFormat="1" applyFont="1" applyBorder="1" applyAlignment="1">
      <alignment horizontal="justify"/>
    </xf>
    <xf numFmtId="0" fontId="1" fillId="0" borderId="12" xfId="1" applyBorder="1" applyAlignment="1">
      <alignment horizontal="center"/>
    </xf>
    <xf numFmtId="2" fontId="1" fillId="0" borderId="12" xfId="1" applyNumberFormat="1" applyBorder="1" applyAlignment="1">
      <alignment horizontal="center"/>
    </xf>
    <xf numFmtId="2" fontId="104" fillId="0" borderId="12" xfId="1" applyNumberFormat="1" applyFont="1" applyBorder="1" applyAlignment="1">
      <alignment horizontal="center"/>
    </xf>
    <xf numFmtId="165" fontId="95" fillId="0" borderId="1" xfId="1" applyNumberFormat="1" applyFont="1" applyBorder="1" applyAlignment="1">
      <alignment horizontal="justify"/>
    </xf>
    <xf numFmtId="165" fontId="95" fillId="0" borderId="3" xfId="1" applyNumberFormat="1" applyFont="1" applyBorder="1" applyAlignment="1">
      <alignment horizontal="justify"/>
    </xf>
    <xf numFmtId="165" fontId="95" fillId="0" borderId="24" xfId="1" applyNumberFormat="1" applyFont="1" applyBorder="1" applyAlignment="1">
      <alignment horizontal="justify"/>
    </xf>
    <xf numFmtId="165" fontId="95" fillId="0" borderId="23" xfId="1" applyNumberFormat="1" applyFont="1" applyBorder="1" applyAlignment="1">
      <alignment horizontal="justify"/>
    </xf>
    <xf numFmtId="165" fontId="95" fillId="0" borderId="4" xfId="1" applyNumberFormat="1" applyFont="1" applyBorder="1" applyAlignment="1">
      <alignment horizontal="justify"/>
    </xf>
    <xf numFmtId="165" fontId="95" fillId="0" borderId="6" xfId="1" applyNumberFormat="1" applyFont="1" applyBorder="1" applyAlignment="1">
      <alignment horizontal="justify"/>
    </xf>
    <xf numFmtId="0" fontId="26" fillId="0" borderId="59" xfId="1" applyFont="1" applyBorder="1" applyAlignment="1">
      <alignment horizontal="justify" textRotation="90"/>
    </xf>
    <xf numFmtId="0" fontId="26" fillId="0" borderId="25" xfId="1" applyFont="1" applyBorder="1" applyAlignment="1">
      <alignment horizontal="justify" textRotation="90"/>
    </xf>
    <xf numFmtId="0" fontId="26" fillId="0" borderId="21" xfId="1" applyFont="1" applyBorder="1" applyAlignment="1">
      <alignment horizontal="justify" textRotation="90"/>
    </xf>
    <xf numFmtId="0" fontId="88" fillId="0" borderId="59" xfId="1" applyFont="1" applyBorder="1" applyAlignment="1">
      <alignment horizontal="justify" textRotation="90"/>
    </xf>
    <xf numFmtId="0" fontId="88" fillId="0" borderId="25" xfId="1" applyFont="1" applyBorder="1" applyAlignment="1">
      <alignment horizontal="justify" textRotation="90"/>
    </xf>
    <xf numFmtId="0" fontId="88" fillId="0" borderId="21" xfId="1" applyFont="1" applyBorder="1" applyAlignment="1">
      <alignment horizontal="justify" textRotation="90"/>
    </xf>
    <xf numFmtId="0" fontId="89" fillId="0" borderId="59" xfId="1" applyFont="1" applyBorder="1" applyAlignment="1">
      <alignment horizontal="justify" textRotation="90"/>
    </xf>
    <xf numFmtId="0" fontId="89" fillId="0" borderId="25" xfId="1" applyFont="1" applyBorder="1" applyAlignment="1">
      <alignment horizontal="justify" textRotation="90"/>
    </xf>
    <xf numFmtId="0" fontId="89" fillId="0" borderId="21" xfId="1" applyFont="1" applyBorder="1" applyAlignment="1">
      <alignment horizontal="justify" textRotation="90"/>
    </xf>
    <xf numFmtId="0" fontId="25" fillId="0" borderId="59" xfId="1" applyFont="1" applyBorder="1" applyAlignment="1">
      <alignment horizontal="justify" textRotation="90"/>
    </xf>
    <xf numFmtId="0" fontId="25" fillId="0" borderId="25" xfId="1" applyFont="1" applyBorder="1" applyAlignment="1">
      <alignment horizontal="justify" textRotation="90"/>
    </xf>
    <xf numFmtId="0" fontId="25" fillId="0" borderId="21" xfId="1" applyFont="1" applyBorder="1" applyAlignment="1">
      <alignment horizontal="justify" textRotation="90"/>
    </xf>
    <xf numFmtId="172" fontId="89" fillId="0" borderId="12" xfId="4" applyNumberFormat="1" applyFont="1" applyBorder="1" applyAlignment="1">
      <alignment horizontal="center" vertical="center"/>
    </xf>
    <xf numFmtId="176" fontId="89" fillId="0" borderId="12" xfId="4" applyNumberFormat="1" applyFont="1" applyBorder="1" applyAlignment="1">
      <alignment horizontal="center" vertical="center"/>
    </xf>
    <xf numFmtId="172" fontId="69" fillId="0" borderId="12" xfId="4" applyNumberFormat="1" applyFont="1" applyBorder="1" applyAlignment="1">
      <alignment horizontal="center" vertical="center"/>
    </xf>
    <xf numFmtId="172" fontId="69" fillId="0" borderId="48" xfId="4" applyNumberFormat="1" applyFont="1" applyBorder="1" applyAlignment="1">
      <alignment horizontal="center" vertical="center"/>
    </xf>
    <xf numFmtId="39" fontId="10" fillId="10" borderId="81" xfId="4" applyNumberFormat="1" applyFont="1" applyFill="1" applyBorder="1" applyAlignment="1">
      <alignment horizontal="right" vertical="center"/>
    </xf>
    <xf numFmtId="0" fontId="124" fillId="0" borderId="0" xfId="1" applyFont="1" applyFill="1" applyBorder="1" applyAlignment="1">
      <alignment horizontal="center"/>
    </xf>
    <xf numFmtId="2" fontId="125" fillId="0" borderId="0" xfId="1" applyNumberFormat="1" applyFont="1" applyFill="1" applyBorder="1" applyAlignment="1">
      <alignment horizontal="center"/>
    </xf>
    <xf numFmtId="2" fontId="129" fillId="0" borderId="0" xfId="1" applyNumberFormat="1" applyFont="1" applyFill="1" applyBorder="1" applyAlignment="1">
      <alignment horizontal="center"/>
    </xf>
    <xf numFmtId="2" fontId="129" fillId="0" borderId="23" xfId="1" applyNumberFormat="1" applyFont="1" applyFill="1" applyBorder="1" applyAlignment="1">
      <alignment horizontal="center"/>
    </xf>
    <xf numFmtId="0" fontId="124" fillId="0" borderId="2" xfId="1" applyFont="1" applyFill="1" applyBorder="1" applyAlignment="1">
      <alignment horizontal="center"/>
    </xf>
    <xf numFmtId="2" fontId="125" fillId="0" borderId="2" xfId="1" applyNumberFormat="1" applyFont="1" applyFill="1" applyBorder="1" applyAlignment="1">
      <alignment horizontal="center"/>
    </xf>
    <xf numFmtId="169" fontId="1" fillId="0" borderId="0" xfId="1" applyNumberFormat="1" applyAlignment="1">
      <alignment horizontal="center"/>
    </xf>
    <xf numFmtId="2" fontId="1" fillId="0" borderId="0" xfId="1" applyNumberFormat="1" applyFont="1" applyFill="1" applyBorder="1" applyAlignment="1">
      <alignment horizontal="center"/>
    </xf>
    <xf numFmtId="2" fontId="68" fillId="6" borderId="0" xfId="1" applyNumberFormat="1" applyFont="1" applyFill="1" applyBorder="1" applyAlignment="1">
      <alignment horizontal="center"/>
    </xf>
    <xf numFmtId="0" fontId="1" fillId="6" borderId="0" xfId="1" applyFont="1" applyFill="1" applyBorder="1" applyAlignment="1">
      <alignment horizontal="center"/>
    </xf>
    <xf numFmtId="185" fontId="1" fillId="6" borderId="0" xfId="1" applyNumberFormat="1" applyFont="1" applyFill="1" applyBorder="1" applyAlignment="1">
      <alignment horizontal="center"/>
    </xf>
    <xf numFmtId="186" fontId="1" fillId="0" borderId="0" xfId="1" applyNumberFormat="1" applyFont="1" applyFill="1" applyBorder="1" applyAlignment="1">
      <alignment horizontal="center"/>
    </xf>
    <xf numFmtId="185" fontId="77" fillId="2" borderId="0" xfId="7" applyNumberFormat="1" applyFont="1" applyFill="1" applyBorder="1" applyAlignment="1">
      <alignment horizontal="center"/>
    </xf>
    <xf numFmtId="186" fontId="68" fillId="0" borderId="48" xfId="1" applyNumberFormat="1" applyFont="1" applyFill="1" applyBorder="1" applyAlignment="1">
      <alignment horizontal="center"/>
    </xf>
    <xf numFmtId="186" fontId="68" fillId="0" borderId="67" xfId="1" applyNumberFormat="1" applyFont="1" applyFill="1" applyBorder="1" applyAlignment="1">
      <alignment horizontal="center"/>
    </xf>
    <xf numFmtId="186" fontId="68" fillId="0" borderId="26" xfId="1" applyNumberFormat="1" applyFont="1" applyFill="1" applyBorder="1" applyAlignment="1">
      <alignment horizontal="center"/>
    </xf>
    <xf numFmtId="0" fontId="1" fillId="0" borderId="68" xfId="1" applyBorder="1" applyAlignment="1">
      <alignment horizontal="center" vertical="center"/>
    </xf>
    <xf numFmtId="0" fontId="1" fillId="0" borderId="69" xfId="1" applyBorder="1" applyAlignment="1">
      <alignment horizontal="center" vertical="center"/>
    </xf>
    <xf numFmtId="165" fontId="1" fillId="0" borderId="72" xfId="1" applyNumberFormat="1" applyBorder="1" applyAlignment="1">
      <alignment horizontal="center" vertical="center"/>
    </xf>
    <xf numFmtId="165" fontId="1" fillId="0" borderId="73" xfId="1" applyNumberFormat="1" applyBorder="1" applyAlignment="1">
      <alignment horizontal="center" vertical="center"/>
    </xf>
    <xf numFmtId="172" fontId="18" fillId="0" borderId="73" xfId="4" applyNumberFormat="1" applyFont="1" applyBorder="1" applyAlignment="1">
      <alignment horizontal="center" vertical="center"/>
    </xf>
    <xf numFmtId="169" fontId="15" fillId="0" borderId="10" xfId="1" applyNumberFormat="1" applyFont="1" applyBorder="1" applyAlignment="1">
      <alignment horizontal="center" vertical="center"/>
    </xf>
    <xf numFmtId="169" fontId="15" fillId="0" borderId="8" xfId="1" applyNumberFormat="1" applyFont="1" applyBorder="1" applyAlignment="1">
      <alignment horizontal="center" vertical="center"/>
    </xf>
    <xf numFmtId="169" fontId="15" fillId="0" borderId="16" xfId="1" applyNumberFormat="1" applyFont="1" applyBorder="1" applyAlignment="1">
      <alignment horizontal="center" vertical="center"/>
    </xf>
    <xf numFmtId="169" fontId="15" fillId="0" borderId="5" xfId="1" applyNumberFormat="1" applyFont="1" applyBorder="1" applyAlignment="1">
      <alignment horizontal="center" vertical="center"/>
    </xf>
    <xf numFmtId="169" fontId="86" fillId="0" borderId="8" xfId="1" applyNumberFormat="1" applyFont="1" applyBorder="1" applyAlignment="1">
      <alignment horizontal="center" vertical="center"/>
    </xf>
    <xf numFmtId="169" fontId="86" fillId="0" borderId="9" xfId="1" applyNumberFormat="1" applyFont="1" applyBorder="1" applyAlignment="1">
      <alignment horizontal="center" vertical="center"/>
    </xf>
    <xf numFmtId="169" fontId="86" fillId="0" borderId="5" xfId="1" applyNumberFormat="1" applyFont="1" applyBorder="1" applyAlignment="1">
      <alignment horizontal="center" vertical="center"/>
    </xf>
    <xf numFmtId="169" fontId="86" fillId="0" borderId="15" xfId="1" applyNumberFormat="1" applyFont="1" applyBorder="1" applyAlignment="1">
      <alignment horizontal="center" vertical="center"/>
    </xf>
    <xf numFmtId="169" fontId="15" fillId="0" borderId="43" xfId="1" applyNumberFormat="1" applyFont="1" applyBorder="1" applyAlignment="1">
      <alignment horizontal="center" vertical="center"/>
    </xf>
    <xf numFmtId="169" fontId="15" fillId="0" borderId="58" xfId="1" applyNumberFormat="1" applyFont="1" applyBorder="1" applyAlignment="1">
      <alignment horizontal="center" vertical="center"/>
    </xf>
    <xf numFmtId="169" fontId="15" fillId="0" borderId="44" xfId="1" applyNumberFormat="1" applyFont="1" applyBorder="1" applyAlignment="1">
      <alignment horizontal="center" vertical="center"/>
    </xf>
    <xf numFmtId="169" fontId="15" fillId="0" borderId="26" xfId="1" applyNumberFormat="1" applyFont="1" applyBorder="1" applyAlignment="1">
      <alignment horizontal="center" vertical="center"/>
    </xf>
    <xf numFmtId="169" fontId="15" fillId="0" borderId="12" xfId="1" applyNumberFormat="1" applyFont="1" applyBorder="1" applyAlignment="1">
      <alignment horizontal="center" vertical="center"/>
    </xf>
    <xf numFmtId="169" fontId="15" fillId="0" borderId="48" xfId="1" applyNumberFormat="1" applyFont="1" applyBorder="1" applyAlignment="1">
      <alignment horizontal="center" vertical="center"/>
    </xf>
    <xf numFmtId="169" fontId="60" fillId="0" borderId="8" xfId="1" applyNumberFormat="1" applyFont="1" applyBorder="1" applyAlignment="1">
      <alignment horizontal="center" vertical="center"/>
    </xf>
    <xf numFmtId="169" fontId="60" fillId="0" borderId="9" xfId="1" applyNumberFormat="1" applyFont="1" applyBorder="1" applyAlignment="1">
      <alignment horizontal="center" vertical="center"/>
    </xf>
    <xf numFmtId="169" fontId="60" fillId="0" borderId="5" xfId="1" applyNumberFormat="1" applyFont="1" applyBorder="1" applyAlignment="1">
      <alignment horizontal="center" vertical="center"/>
    </xf>
    <xf numFmtId="169" fontId="60" fillId="0" borderId="15" xfId="1" applyNumberFormat="1" applyFont="1" applyBorder="1" applyAlignment="1">
      <alignment horizontal="center" vertical="center"/>
    </xf>
    <xf numFmtId="172" fontId="1" fillId="0" borderId="75" xfId="1" applyNumberFormat="1" applyBorder="1" applyAlignment="1">
      <alignment horizontal="center" vertical="center"/>
    </xf>
    <xf numFmtId="172" fontId="1" fillId="0" borderId="77" xfId="1" applyNumberFormat="1" applyBorder="1" applyAlignment="1">
      <alignment horizontal="center" vertical="center"/>
    </xf>
    <xf numFmtId="172" fontId="1" fillId="0" borderId="48" xfId="1" applyNumberFormat="1" applyBorder="1" applyAlignment="1">
      <alignment horizontal="center" vertical="center"/>
    </xf>
    <xf numFmtId="172" fontId="1" fillId="0" borderId="26" xfId="1" applyNumberFormat="1" applyBorder="1" applyAlignment="1">
      <alignment horizontal="center" vertical="center"/>
    </xf>
    <xf numFmtId="165" fontId="81" fillId="0" borderId="0" xfId="1" applyNumberFormat="1" applyFont="1" applyAlignment="1">
      <alignment horizontal="center" vertical="center"/>
    </xf>
    <xf numFmtId="0" fontId="81" fillId="0" borderId="0" xfId="1" applyFont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169" fontId="82" fillId="0" borderId="8" xfId="1" applyNumberFormat="1" applyFont="1" applyBorder="1" applyAlignment="1">
      <alignment horizontal="center" vertical="center" wrapText="1" shrinkToFit="1"/>
    </xf>
    <xf numFmtId="169" fontId="82" fillId="0" borderId="9" xfId="1" applyNumberFormat="1" applyFont="1" applyBorder="1" applyAlignment="1">
      <alignment horizontal="center" vertical="center" wrapText="1" shrinkToFit="1"/>
    </xf>
    <xf numFmtId="169" fontId="82" fillId="0" borderId="5" xfId="1" applyNumberFormat="1" applyFont="1" applyBorder="1" applyAlignment="1">
      <alignment horizontal="center" vertical="center" wrapText="1" shrinkToFit="1"/>
    </xf>
    <xf numFmtId="169" fontId="82" fillId="0" borderId="15" xfId="1" applyNumberFormat="1" applyFont="1" applyBorder="1" applyAlignment="1">
      <alignment horizontal="center" vertical="center" wrapText="1" shrinkToFit="1"/>
    </xf>
    <xf numFmtId="169" fontId="83" fillId="0" borderId="10" xfId="1" applyNumberFormat="1" applyFont="1" applyFill="1" applyBorder="1" applyAlignment="1">
      <alignment horizontal="center" vertical="center"/>
    </xf>
    <xf numFmtId="169" fontId="83" fillId="0" borderId="8" xfId="1" applyNumberFormat="1" applyFont="1" applyFill="1" applyBorder="1" applyAlignment="1">
      <alignment horizontal="center" vertical="center"/>
    </xf>
    <xf numFmtId="169" fontId="83" fillId="0" borderId="16" xfId="1" applyNumberFormat="1" applyFont="1" applyFill="1" applyBorder="1" applyAlignment="1">
      <alignment horizontal="center" vertical="center"/>
    </xf>
    <xf numFmtId="169" fontId="83" fillId="0" borderId="5" xfId="1" applyNumberFormat="1" applyFont="1" applyFill="1" applyBorder="1" applyAlignment="1">
      <alignment horizontal="center" vertical="center"/>
    </xf>
    <xf numFmtId="169" fontId="84" fillId="0" borderId="8" xfId="1" applyNumberFormat="1" applyFont="1" applyBorder="1" applyAlignment="1">
      <alignment horizontal="center" vertical="center"/>
    </xf>
    <xf numFmtId="169" fontId="84" fillId="0" borderId="9" xfId="1" applyNumberFormat="1" applyFont="1" applyBorder="1" applyAlignment="1">
      <alignment horizontal="center" vertical="center"/>
    </xf>
    <xf numFmtId="169" fontId="84" fillId="0" borderId="5" xfId="1" applyNumberFormat="1" applyFont="1" applyBorder="1" applyAlignment="1">
      <alignment horizontal="center" vertical="center"/>
    </xf>
    <xf numFmtId="169" fontId="84" fillId="0" borderId="15" xfId="1" applyNumberFormat="1" applyFont="1" applyBorder="1" applyAlignment="1">
      <alignment horizontal="center" vertical="center"/>
    </xf>
    <xf numFmtId="169" fontId="85" fillId="0" borderId="11" xfId="1" applyNumberFormat="1" applyFont="1" applyBorder="1" applyAlignment="1">
      <alignment horizontal="center" vertical="center"/>
    </xf>
    <xf numFmtId="169" fontId="85" fillId="0" borderId="8" xfId="1" applyNumberFormat="1" applyFont="1" applyBorder="1" applyAlignment="1">
      <alignment horizontal="center" vertical="center"/>
    </xf>
    <xf numFmtId="169" fontId="85" fillId="0" borderId="4" xfId="1" applyNumberFormat="1" applyFont="1" applyBorder="1" applyAlignment="1">
      <alignment horizontal="center" vertical="center"/>
    </xf>
    <xf numFmtId="169" fontId="85" fillId="0" borderId="5" xfId="1" applyNumberFormat="1" applyFont="1" applyBorder="1" applyAlignment="1">
      <alignment horizontal="center" vertical="center"/>
    </xf>
    <xf numFmtId="169" fontId="20" fillId="0" borderId="9" xfId="1" applyNumberFormat="1" applyFont="1" applyBorder="1" applyAlignment="1">
      <alignment horizontal="center" vertical="center"/>
    </xf>
    <xf numFmtId="169" fontId="20" fillId="0" borderId="15" xfId="1" applyNumberFormat="1" applyFont="1" applyBorder="1" applyAlignment="1">
      <alignment horizontal="center" vertical="center"/>
    </xf>
    <xf numFmtId="0" fontId="1" fillId="0" borderId="78" xfId="1" applyBorder="1" applyAlignment="1">
      <alignment horizontal="center" vertical="center"/>
    </xf>
    <xf numFmtId="0" fontId="1" fillId="0" borderId="80" xfId="1" applyBorder="1" applyAlignment="1">
      <alignment horizontal="center" vertical="center"/>
    </xf>
    <xf numFmtId="172" fontId="49" fillId="0" borderId="4" xfId="1" applyNumberFormat="1" applyFont="1" applyBorder="1" applyAlignment="1">
      <alignment horizontal="center" vertical="center"/>
    </xf>
    <xf numFmtId="172" fontId="49" fillId="0" borderId="6" xfId="1" applyNumberFormat="1" applyFont="1" applyBorder="1" applyAlignment="1">
      <alignment horizontal="center" vertical="center"/>
    </xf>
    <xf numFmtId="0" fontId="1" fillId="0" borderId="64" xfId="1" applyBorder="1" applyAlignment="1">
      <alignment horizontal="center" vertical="center"/>
    </xf>
    <xf numFmtId="0" fontId="1" fillId="0" borderId="65" xfId="1" applyBorder="1" applyAlignment="1">
      <alignment horizontal="center" vertical="center"/>
    </xf>
    <xf numFmtId="172" fontId="1" fillId="0" borderId="87" xfId="1" applyNumberFormat="1" applyBorder="1" applyAlignment="1">
      <alignment horizontal="center" vertical="center"/>
    </xf>
    <xf numFmtId="172" fontId="1" fillId="0" borderId="106" xfId="1" applyNumberFormat="1" applyBorder="1" applyAlignment="1">
      <alignment horizontal="center" vertical="center"/>
    </xf>
    <xf numFmtId="0" fontId="1" fillId="0" borderId="107" xfId="1" applyBorder="1" applyAlignment="1">
      <alignment horizontal="center" vertical="center"/>
    </xf>
    <xf numFmtId="0" fontId="1" fillId="0" borderId="108" xfId="1" applyBorder="1" applyAlignment="1">
      <alignment horizontal="center" vertical="center"/>
    </xf>
    <xf numFmtId="0" fontId="1" fillId="0" borderId="68" xfId="1" applyFont="1" applyBorder="1" applyAlignment="1">
      <alignment horizontal="center" vertical="center"/>
    </xf>
    <xf numFmtId="0" fontId="1" fillId="0" borderId="69" xfId="1" applyFont="1" applyBorder="1" applyAlignment="1">
      <alignment horizontal="center" vertical="center"/>
    </xf>
    <xf numFmtId="172" fontId="1" fillId="0" borderId="67" xfId="1" applyNumberForma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textRotation="90"/>
    </xf>
    <xf numFmtId="165" fontId="28" fillId="0" borderId="30" xfId="1" applyNumberFormat="1" applyFont="1" applyBorder="1" applyAlignment="1">
      <alignment horizontal="center" textRotation="90"/>
    </xf>
    <xf numFmtId="169" fontId="29" fillId="0" borderId="18" xfId="1" applyNumberFormat="1" applyFont="1" applyBorder="1" applyAlignment="1">
      <alignment horizontal="center" vertical="center" textRotation="90"/>
    </xf>
    <xf numFmtId="169" fontId="29" fillId="0" borderId="36" xfId="1" applyNumberFormat="1" applyFont="1" applyBorder="1" applyAlignment="1">
      <alignment horizontal="center" vertical="center" textRotation="90"/>
    </xf>
    <xf numFmtId="165" fontId="10" fillId="0" borderId="20" xfId="1" applyNumberFormat="1" applyFont="1" applyBorder="1" applyAlignment="1">
      <alignment horizontal="center" vertical="center" textRotation="90" wrapText="1"/>
    </xf>
    <xf numFmtId="0" fontId="10" fillId="0" borderId="3" xfId="1" applyFont="1" applyBorder="1" applyAlignment="1">
      <alignment horizontal="center" vertical="center" textRotation="90" wrapText="1"/>
    </xf>
    <xf numFmtId="0" fontId="10" fillId="0" borderId="17" xfId="1" applyFont="1" applyBorder="1" applyAlignment="1">
      <alignment horizontal="center" vertical="center" textRotation="90" wrapText="1"/>
    </xf>
    <xf numFmtId="0" fontId="10" fillId="0" borderId="23" xfId="1" applyFont="1" applyBorder="1" applyAlignment="1">
      <alignment horizontal="center" vertical="center" textRotation="90" wrapText="1"/>
    </xf>
    <xf numFmtId="0" fontId="10" fillId="0" borderId="28" xfId="1" applyFont="1" applyBorder="1" applyAlignment="1">
      <alignment horizontal="center" vertical="center" textRotation="90" wrapText="1"/>
    </xf>
    <xf numFmtId="0" fontId="10" fillId="0" borderId="29" xfId="1" applyFont="1" applyBorder="1" applyAlignment="1">
      <alignment horizontal="center" vertical="center" textRotation="90" wrapText="1"/>
    </xf>
    <xf numFmtId="165" fontId="25" fillId="0" borderId="12" xfId="1" applyNumberFormat="1" applyFont="1" applyBorder="1" applyAlignment="1">
      <alignment horizontal="center" textRotation="75"/>
    </xf>
    <xf numFmtId="165" fontId="25" fillId="0" borderId="30" xfId="1" applyNumberFormat="1" applyFont="1" applyBorder="1" applyAlignment="1">
      <alignment horizontal="center" textRotation="75"/>
    </xf>
    <xf numFmtId="165" fontId="26" fillId="0" borderId="12" xfId="1" applyNumberFormat="1" applyFont="1" applyBorder="1" applyAlignment="1">
      <alignment horizontal="center" textRotation="75"/>
    </xf>
    <xf numFmtId="165" fontId="26" fillId="0" borderId="30" xfId="1" applyNumberFormat="1" applyFont="1" applyBorder="1" applyAlignment="1">
      <alignment horizontal="center" textRotation="75"/>
    </xf>
    <xf numFmtId="165" fontId="10" fillId="0" borderId="1" xfId="1" applyNumberFormat="1" applyFont="1" applyBorder="1" applyAlignment="1">
      <alignment horizontal="center" vertical="center" textRotation="90" wrapText="1"/>
    </xf>
    <xf numFmtId="0" fontId="1" fillId="0" borderId="3" xfId="1" applyBorder="1" applyAlignment="1">
      <alignment horizontal="center" vertical="center" wrapText="1"/>
    </xf>
    <xf numFmtId="0" fontId="1" fillId="0" borderId="24" xfId="1" applyBorder="1" applyAlignment="1">
      <alignment horizontal="center" vertical="center" wrapText="1"/>
    </xf>
    <xf numFmtId="0" fontId="1" fillId="0" borderId="23" xfId="1" applyBorder="1" applyAlignment="1">
      <alignment horizontal="center" vertical="center" wrapText="1"/>
    </xf>
    <xf numFmtId="0" fontId="1" fillId="0" borderId="34" xfId="1" applyBorder="1" applyAlignment="1">
      <alignment horizontal="center" vertical="center" wrapText="1"/>
    </xf>
    <xf numFmtId="0" fontId="1" fillId="0" borderId="29" xfId="1" applyBorder="1" applyAlignment="1">
      <alignment horizontal="center" vertical="center" wrapText="1"/>
    </xf>
    <xf numFmtId="174" fontId="62" fillId="0" borderId="12" xfId="1" applyNumberFormat="1" applyFont="1" applyFill="1" applyBorder="1" applyAlignment="1">
      <alignment horizontal="center" textRotation="90"/>
    </xf>
    <xf numFmtId="174" fontId="63" fillId="0" borderId="12" xfId="1" applyNumberFormat="1" applyFont="1" applyBorder="1" applyAlignment="1">
      <alignment horizontal="center" textRotation="90"/>
    </xf>
    <xf numFmtId="174" fontId="62" fillId="0" borderId="12" xfId="1" applyNumberFormat="1" applyFont="1" applyBorder="1" applyAlignment="1">
      <alignment horizontal="center" textRotation="90"/>
    </xf>
    <xf numFmtId="165" fontId="28" fillId="0" borderId="21" xfId="1" applyNumberFormat="1" applyFont="1" applyBorder="1" applyAlignment="1">
      <alignment horizontal="center" textRotation="90"/>
    </xf>
    <xf numFmtId="0" fontId="5" fillId="0" borderId="12" xfId="1" applyFont="1" applyBorder="1" applyAlignment="1">
      <alignment horizontal="center" textRotation="90"/>
    </xf>
    <xf numFmtId="0" fontId="1" fillId="0" borderId="24" xfId="1" applyBorder="1" applyAlignment="1">
      <alignment horizontal="center"/>
    </xf>
    <xf numFmtId="0" fontId="33" fillId="0" borderId="1" xfId="1" applyFont="1" applyBorder="1" applyAlignment="1">
      <alignment horizontal="justify" textRotation="90"/>
    </xf>
    <xf numFmtId="0" fontId="33" fillId="0" borderId="3" xfId="1" applyFont="1" applyBorder="1" applyAlignment="1">
      <alignment horizontal="justify" textRotation="90"/>
    </xf>
    <xf numFmtId="0" fontId="33" fillId="0" borderId="24" xfId="1" applyFont="1" applyBorder="1" applyAlignment="1">
      <alignment horizontal="justify" textRotation="90"/>
    </xf>
    <xf numFmtId="0" fontId="33" fillId="0" borderId="23" xfId="1" applyFont="1" applyBorder="1" applyAlignment="1">
      <alignment horizontal="justify" textRotation="90"/>
    </xf>
    <xf numFmtId="0" fontId="33" fillId="0" borderId="4" xfId="1" applyFont="1" applyBorder="1" applyAlignment="1">
      <alignment horizontal="justify" textRotation="90"/>
    </xf>
    <xf numFmtId="0" fontId="33" fillId="0" borderId="6" xfId="1" applyFont="1" applyBorder="1" applyAlignment="1">
      <alignment horizontal="justify" textRotation="90"/>
    </xf>
    <xf numFmtId="0" fontId="5" fillId="0" borderId="59" xfId="1" applyFont="1" applyBorder="1" applyAlignment="1">
      <alignment horizontal="center" textRotation="85" wrapText="1" shrinkToFit="1"/>
    </xf>
    <xf numFmtId="0" fontId="5" fillId="0" borderId="25" xfId="1" applyFont="1" applyBorder="1" applyAlignment="1">
      <alignment horizontal="center" textRotation="85" wrapText="1" shrinkToFit="1"/>
    </xf>
    <xf numFmtId="0" fontId="5" fillId="0" borderId="21" xfId="1" applyFont="1" applyBorder="1" applyAlignment="1">
      <alignment horizontal="center" textRotation="85" wrapText="1" shrinkToFit="1"/>
    </xf>
    <xf numFmtId="174" fontId="64" fillId="0" borderId="60" xfId="1" applyNumberFormat="1" applyFont="1" applyBorder="1" applyAlignment="1">
      <alignment horizontal="center" vertical="center" textRotation="90"/>
    </xf>
    <xf numFmtId="174" fontId="64" fillId="0" borderId="61" xfId="1" applyNumberFormat="1" applyFont="1" applyBorder="1" applyAlignment="1">
      <alignment horizontal="center" vertical="center" textRotation="90"/>
    </xf>
    <xf numFmtId="174" fontId="64" fillId="0" borderId="62" xfId="1" applyNumberFormat="1" applyFont="1" applyBorder="1" applyAlignment="1">
      <alignment horizontal="center" vertical="center" textRotation="90"/>
    </xf>
    <xf numFmtId="174" fontId="64" fillId="0" borderId="63" xfId="1" applyNumberFormat="1" applyFont="1" applyBorder="1" applyAlignment="1">
      <alignment horizontal="center" vertical="center" textRotation="90"/>
    </xf>
    <xf numFmtId="174" fontId="64" fillId="0" borderId="64" xfId="1" applyNumberFormat="1" applyFont="1" applyBorder="1" applyAlignment="1">
      <alignment horizontal="center" vertical="center" textRotation="90"/>
    </xf>
    <xf numFmtId="174" fontId="64" fillId="0" borderId="65" xfId="1" applyNumberFormat="1" applyFont="1" applyBorder="1" applyAlignment="1">
      <alignment horizontal="center" vertical="center" textRotation="90"/>
    </xf>
    <xf numFmtId="165" fontId="27" fillId="0" borderId="12" xfId="1" applyNumberFormat="1" applyFont="1" applyBorder="1" applyAlignment="1">
      <alignment horizontal="center" textRotation="75"/>
    </xf>
    <xf numFmtId="165" fontId="27" fillId="0" borderId="30" xfId="1" applyNumberFormat="1" applyFont="1" applyBorder="1" applyAlignment="1">
      <alignment horizontal="center" textRotation="75"/>
    </xf>
    <xf numFmtId="172" fontId="56" fillId="0" borderId="12" xfId="4" applyNumberFormat="1" applyFont="1" applyBorder="1" applyAlignment="1">
      <alignment horizontal="center" vertical="center"/>
    </xf>
    <xf numFmtId="172" fontId="57" fillId="0" borderId="13" xfId="4" applyNumberFormat="1" applyFont="1" applyBorder="1" applyAlignment="1">
      <alignment horizontal="center" vertical="center"/>
    </xf>
    <xf numFmtId="172" fontId="57" fillId="0" borderId="37" xfId="4" applyNumberFormat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45" wrapText="1"/>
    </xf>
    <xf numFmtId="0" fontId="14" fillId="0" borderId="14" xfId="1" applyFont="1" applyBorder="1" applyAlignment="1">
      <alignment horizontal="center" vertical="center" textRotation="45" wrapText="1"/>
    </xf>
    <xf numFmtId="0" fontId="14" fillId="0" borderId="27" xfId="1" applyFont="1" applyBorder="1" applyAlignment="1">
      <alignment horizontal="center" vertical="center" textRotation="45" wrapText="1"/>
    </xf>
    <xf numFmtId="169" fontId="144" fillId="0" borderId="8" xfId="1" applyNumberFormat="1" applyFont="1" applyBorder="1" applyAlignment="1">
      <alignment horizontal="center" vertical="center"/>
    </xf>
    <xf numFmtId="169" fontId="144" fillId="0" borderId="9" xfId="1" applyNumberFormat="1" applyFont="1" applyBorder="1" applyAlignment="1">
      <alignment horizontal="center" vertical="center"/>
    </xf>
    <xf numFmtId="169" fontId="144" fillId="0" borderId="5" xfId="1" applyNumberFormat="1" applyFont="1" applyBorder="1" applyAlignment="1">
      <alignment horizontal="center" vertical="center"/>
    </xf>
    <xf numFmtId="169" fontId="144" fillId="0" borderId="15" xfId="1" applyNumberFormat="1" applyFont="1" applyBorder="1" applyAlignment="1">
      <alignment horizontal="center" vertical="center"/>
    </xf>
    <xf numFmtId="169" fontId="165" fillId="0" borderId="8" xfId="1" applyNumberFormat="1" applyFont="1" applyBorder="1" applyAlignment="1">
      <alignment horizontal="center" vertical="center"/>
    </xf>
    <xf numFmtId="169" fontId="165" fillId="0" borderId="9" xfId="1" applyNumberFormat="1" applyFont="1" applyBorder="1" applyAlignment="1">
      <alignment horizontal="center" vertical="center"/>
    </xf>
    <xf numFmtId="169" fontId="165" fillId="0" borderId="5" xfId="1" applyNumberFormat="1" applyFont="1" applyBorder="1" applyAlignment="1">
      <alignment horizontal="center" vertical="center"/>
    </xf>
    <xf numFmtId="169" fontId="165" fillId="0" borderId="15" xfId="1" applyNumberFormat="1" applyFont="1" applyBorder="1" applyAlignment="1">
      <alignment horizontal="center" vertical="center"/>
    </xf>
    <xf numFmtId="0" fontId="61" fillId="0" borderId="12" xfId="1" applyFont="1" applyBorder="1" applyAlignment="1">
      <alignment horizontal="center" textRotation="90"/>
    </xf>
    <xf numFmtId="0" fontId="32" fillId="0" borderId="12" xfId="1" applyFont="1" applyBorder="1" applyAlignment="1">
      <alignment horizontal="center"/>
    </xf>
    <xf numFmtId="173" fontId="65" fillId="0" borderId="21" xfId="1" applyNumberFormat="1" applyFont="1" applyBorder="1" applyAlignment="1">
      <alignment horizontal="center" vertical="center"/>
    </xf>
    <xf numFmtId="0" fontId="65" fillId="0" borderId="21" xfId="1" applyFont="1" applyBorder="1" applyAlignment="1">
      <alignment horizontal="center" vertical="center"/>
    </xf>
    <xf numFmtId="0" fontId="65" fillId="0" borderId="12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 wrapText="1"/>
    </xf>
    <xf numFmtId="0" fontId="10" fillId="0" borderId="23" xfId="1" applyFont="1" applyBorder="1" applyAlignment="1">
      <alignment horizontal="center" vertical="center" wrapText="1"/>
    </xf>
    <xf numFmtId="0" fontId="10" fillId="0" borderId="28" xfId="1" applyFont="1" applyBorder="1" applyAlignment="1">
      <alignment horizontal="center" vertical="center" wrapText="1"/>
    </xf>
    <xf numFmtId="0" fontId="10" fillId="0" borderId="29" xfId="1" applyFont="1" applyBorder="1" applyAlignment="1">
      <alignment horizontal="center" vertical="center" wrapText="1"/>
    </xf>
    <xf numFmtId="165" fontId="25" fillId="0" borderId="21" xfId="1" applyNumberFormat="1" applyFont="1" applyBorder="1" applyAlignment="1">
      <alignment horizontal="center" textRotation="75"/>
    </xf>
    <xf numFmtId="165" fontId="26" fillId="0" borderId="21" xfId="1" applyNumberFormat="1" applyFont="1" applyBorder="1" applyAlignment="1">
      <alignment horizontal="center" textRotation="75"/>
    </xf>
    <xf numFmtId="0" fontId="10" fillId="0" borderId="24" xfId="1" applyFont="1" applyBorder="1" applyAlignment="1">
      <alignment horizontal="center" vertical="center" wrapText="1"/>
    </xf>
    <xf numFmtId="0" fontId="10" fillId="0" borderId="34" xfId="1" applyFont="1" applyBorder="1" applyAlignment="1">
      <alignment horizontal="center" vertical="center" wrapText="1"/>
    </xf>
    <xf numFmtId="165" fontId="27" fillId="0" borderId="21" xfId="1" applyNumberFormat="1" applyFont="1" applyBorder="1" applyAlignment="1">
      <alignment horizontal="center" textRotation="75"/>
    </xf>
    <xf numFmtId="165" fontId="169" fillId="0" borderId="50" xfId="1" applyNumberFormat="1" applyFont="1" applyBorder="1" applyAlignment="1">
      <alignment horizontal="center" vertical="center"/>
    </xf>
    <xf numFmtId="165" fontId="169" fillId="0" borderId="26" xfId="1" applyNumberFormat="1" applyFont="1" applyBorder="1" applyAlignment="1">
      <alignment horizontal="center" vertical="center"/>
    </xf>
    <xf numFmtId="172" fontId="53" fillId="3" borderId="48" xfId="4" applyNumberFormat="1" applyFont="1" applyFill="1" applyBorder="1" applyAlignment="1">
      <alignment horizontal="center" vertical="center"/>
    </xf>
    <xf numFmtId="172" fontId="53" fillId="3" borderId="40" xfId="4" applyNumberFormat="1" applyFont="1" applyFill="1" applyBorder="1" applyAlignment="1">
      <alignment horizontal="center" vertical="center"/>
    </xf>
    <xf numFmtId="165" fontId="49" fillId="0" borderId="16" xfId="1" applyNumberFormat="1" applyFont="1" applyFill="1" applyBorder="1" applyAlignment="1">
      <alignment horizontal="center" vertical="center"/>
    </xf>
    <xf numFmtId="165" fontId="49" fillId="0" borderId="6" xfId="1" applyNumberFormat="1" applyFont="1" applyFill="1" applyBorder="1" applyAlignment="1">
      <alignment horizontal="center" vertical="center"/>
    </xf>
    <xf numFmtId="172" fontId="53" fillId="0" borderId="4" xfId="4" applyNumberFormat="1" applyFont="1" applyFill="1" applyBorder="1" applyAlignment="1">
      <alignment horizontal="center" vertical="center"/>
    </xf>
    <xf numFmtId="172" fontId="53" fillId="0" borderId="15" xfId="4" applyNumberFormat="1" applyFont="1" applyFill="1" applyBorder="1" applyAlignment="1">
      <alignment horizontal="center" vertical="center"/>
    </xf>
    <xf numFmtId="165" fontId="1" fillId="0" borderId="56" xfId="1" applyNumberFormat="1" applyBorder="1" applyAlignment="1">
      <alignment horizontal="center" vertical="center"/>
    </xf>
    <xf numFmtId="165" fontId="1" fillId="0" borderId="32" xfId="1" applyNumberFormat="1" applyBorder="1" applyAlignment="1">
      <alignment horizontal="center" vertical="center"/>
    </xf>
    <xf numFmtId="172" fontId="18" fillId="0" borderId="57" xfId="4" applyNumberFormat="1" applyFont="1" applyBorder="1" applyAlignment="1">
      <alignment horizontal="center" vertical="center"/>
    </xf>
    <xf numFmtId="172" fontId="18" fillId="0" borderId="54" xfId="4" applyNumberFormat="1" applyFont="1" applyBorder="1" applyAlignment="1">
      <alignment horizontal="center" vertical="center"/>
    </xf>
    <xf numFmtId="165" fontId="1" fillId="0" borderId="50" xfId="1" applyNumberFormat="1" applyBorder="1" applyAlignment="1">
      <alignment horizontal="center" vertical="center"/>
    </xf>
    <xf numFmtId="165" fontId="1" fillId="0" borderId="26" xfId="1" applyNumberFormat="1" applyBorder="1" applyAlignment="1">
      <alignment horizontal="center" vertical="center"/>
    </xf>
    <xf numFmtId="172" fontId="18" fillId="0" borderId="48" xfId="4" applyNumberFormat="1" applyFont="1" applyBorder="1" applyAlignment="1">
      <alignment horizontal="center" vertical="center"/>
    </xf>
    <xf numFmtId="172" fontId="18" fillId="0" borderId="40" xfId="4" applyNumberFormat="1" applyFont="1" applyBorder="1" applyAlignment="1">
      <alignment horizontal="center" vertical="center"/>
    </xf>
    <xf numFmtId="165" fontId="49" fillId="0" borderId="110" xfId="1" applyNumberFormat="1" applyFont="1" applyFill="1" applyBorder="1" applyAlignment="1">
      <alignment horizontal="center" vertical="center"/>
    </xf>
    <xf numFmtId="165" fontId="49" fillId="0" borderId="106" xfId="1" applyNumberFormat="1" applyFont="1" applyFill="1" applyBorder="1" applyAlignment="1">
      <alignment horizontal="center" vertical="center"/>
    </xf>
    <xf numFmtId="172" fontId="53" fillId="0" borderId="87" xfId="4" applyNumberFormat="1" applyFont="1" applyFill="1" applyBorder="1" applyAlignment="1">
      <alignment horizontal="center" vertical="center"/>
    </xf>
    <xf numFmtId="172" fontId="53" fillId="0" borderId="103" xfId="4" applyNumberFormat="1" applyFont="1" applyFill="1" applyBorder="1" applyAlignment="1">
      <alignment horizontal="center" vertical="center"/>
    </xf>
    <xf numFmtId="165" fontId="49" fillId="0" borderId="50" xfId="1" applyNumberFormat="1" applyFont="1" applyFill="1" applyBorder="1" applyAlignment="1">
      <alignment horizontal="center" vertical="center"/>
    </xf>
    <xf numFmtId="165" fontId="49" fillId="0" borderId="26" xfId="1" applyNumberFormat="1" applyFont="1" applyFill="1" applyBorder="1" applyAlignment="1">
      <alignment horizontal="center" vertical="center"/>
    </xf>
    <xf numFmtId="172" fontId="53" fillId="0" borderId="48" xfId="4" applyNumberFormat="1" applyFont="1" applyFill="1" applyBorder="1" applyAlignment="1">
      <alignment horizontal="center" vertical="center"/>
    </xf>
    <xf numFmtId="172" fontId="53" fillId="0" borderId="40" xfId="4" applyNumberFormat="1" applyFont="1" applyFill="1" applyBorder="1" applyAlignment="1">
      <alignment horizontal="center" vertical="center"/>
    </xf>
    <xf numFmtId="165" fontId="1" fillId="0" borderId="50" xfId="1" applyNumberFormat="1" applyFont="1" applyBorder="1" applyAlignment="1">
      <alignment horizontal="center" vertical="center"/>
    </xf>
    <xf numFmtId="165" fontId="1" fillId="0" borderId="26" xfId="1" applyNumberFormat="1" applyFont="1" applyBorder="1" applyAlignment="1">
      <alignment horizontal="center" vertical="center"/>
    </xf>
    <xf numFmtId="170" fontId="13" fillId="0" borderId="12" xfId="1" applyNumberFormat="1" applyFont="1" applyBorder="1" applyAlignment="1">
      <alignment horizontal="center" vertical="center" textRotation="90"/>
    </xf>
    <xf numFmtId="165" fontId="1" fillId="0" borderId="42" xfId="1" applyNumberFormat="1" applyBorder="1" applyAlignment="1">
      <alignment horizontal="center" vertical="center"/>
    </xf>
    <xf numFmtId="165" fontId="1" fillId="0" borderId="43" xfId="1" applyNumberFormat="1" applyBorder="1" applyAlignment="1">
      <alignment horizontal="center" vertical="center"/>
    </xf>
    <xf numFmtId="172" fontId="18" fillId="0" borderId="44" xfId="4" applyNumberFormat="1" applyFont="1" applyBorder="1" applyAlignment="1">
      <alignment horizontal="center" vertical="center"/>
    </xf>
    <xf numFmtId="172" fontId="18" fillId="0" borderId="45" xfId="4" applyNumberFormat="1" applyFont="1" applyBorder="1" applyAlignment="1">
      <alignment horizontal="center" vertical="center"/>
    </xf>
    <xf numFmtId="165" fontId="30" fillId="0" borderId="21" xfId="1" applyNumberFormat="1" applyFont="1" applyBorder="1" applyAlignment="1">
      <alignment horizontal="center" textRotation="75"/>
    </xf>
    <xf numFmtId="165" fontId="30" fillId="0" borderId="12" xfId="1" applyNumberFormat="1" applyFont="1" applyBorder="1" applyAlignment="1">
      <alignment horizontal="center" textRotation="75"/>
    </xf>
    <xf numFmtId="165" fontId="30" fillId="0" borderId="30" xfId="1" applyNumberFormat="1" applyFont="1" applyBorder="1" applyAlignment="1">
      <alignment horizontal="center" textRotation="75"/>
    </xf>
    <xf numFmtId="165" fontId="10" fillId="0" borderId="24" xfId="1" applyNumberFormat="1" applyFont="1" applyBorder="1" applyAlignment="1">
      <alignment horizontal="center" vertical="center" textRotation="90" wrapText="1"/>
    </xf>
    <xf numFmtId="165" fontId="31" fillId="0" borderId="25" xfId="1" applyNumberFormat="1" applyFont="1" applyBorder="1" applyAlignment="1">
      <alignment horizontal="center" vertical="center" textRotation="90"/>
    </xf>
    <xf numFmtId="165" fontId="31" fillId="0" borderId="35" xfId="1" applyNumberFormat="1" applyFont="1" applyBorder="1" applyAlignment="1">
      <alignment horizontal="center" vertical="center" textRotation="90"/>
    </xf>
    <xf numFmtId="165" fontId="28" fillId="0" borderId="22" xfId="1" applyNumberFormat="1" applyFont="1" applyBorder="1" applyAlignment="1">
      <alignment horizontal="center" textRotation="90"/>
    </xf>
    <xf numFmtId="165" fontId="28" fillId="0" borderId="31" xfId="1" applyNumberFormat="1" applyFont="1" applyBorder="1" applyAlignment="1">
      <alignment horizontal="center" textRotation="90"/>
    </xf>
    <xf numFmtId="170" fontId="32" fillId="0" borderId="12" xfId="1" applyNumberFormat="1" applyFont="1" applyBorder="1" applyAlignment="1">
      <alignment horizontal="center" vertical="center" textRotation="90"/>
    </xf>
    <xf numFmtId="0" fontId="4" fillId="0" borderId="13" xfId="1" applyFont="1" applyBorder="1" applyAlignment="1">
      <alignment horizontal="justify"/>
    </xf>
    <xf numFmtId="0" fontId="4" fillId="0" borderId="19" xfId="1" applyFont="1" applyBorder="1" applyAlignment="1">
      <alignment horizontal="justify"/>
    </xf>
    <xf numFmtId="0" fontId="4" fillId="0" borderId="37" xfId="1" applyFont="1" applyBorder="1" applyAlignment="1">
      <alignment horizontal="justify"/>
    </xf>
    <xf numFmtId="0" fontId="10" fillId="0" borderId="12" xfId="1" applyFont="1" applyBorder="1" applyAlignment="1">
      <alignment horizontal="center"/>
    </xf>
    <xf numFmtId="0" fontId="1" fillId="0" borderId="3" xfId="1" applyFont="1" applyBorder="1"/>
    <xf numFmtId="0" fontId="1" fillId="0" borderId="17" xfId="1" applyFont="1" applyBorder="1"/>
    <xf numFmtId="0" fontId="1" fillId="0" borderId="23" xfId="1" applyFont="1" applyBorder="1"/>
    <xf numFmtId="0" fontId="1" fillId="0" borderId="28" xfId="1" applyFont="1" applyBorder="1"/>
    <xf numFmtId="0" fontId="1" fillId="0" borderId="29" xfId="1" applyFont="1" applyBorder="1"/>
    <xf numFmtId="165" fontId="10" fillId="0" borderId="21" xfId="1" applyNumberFormat="1" applyFont="1" applyBorder="1" applyAlignment="1">
      <alignment horizontal="center" vertical="center" textRotation="90" wrapText="1"/>
    </xf>
    <xf numFmtId="0" fontId="10" fillId="0" borderId="21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30" xfId="1" applyFont="1" applyBorder="1" applyAlignment="1">
      <alignment horizontal="center" vertical="center" wrapText="1"/>
    </xf>
    <xf numFmtId="169" fontId="29" fillId="0" borderId="22" xfId="1" applyNumberFormat="1" applyFont="1" applyBorder="1" applyAlignment="1">
      <alignment horizontal="center" vertical="center" textRotation="90"/>
    </xf>
    <xf numFmtId="169" fontId="29" fillId="0" borderId="31" xfId="1" applyNumberFormat="1" applyFont="1" applyBorder="1" applyAlignment="1">
      <alignment horizontal="center" vertical="center" textRotation="90"/>
    </xf>
    <xf numFmtId="0" fontId="14" fillId="0" borderId="10" xfId="1" applyFont="1" applyBorder="1" applyAlignment="1">
      <alignment horizontal="center" vertical="center" textRotation="75" wrapText="1"/>
    </xf>
    <xf numFmtId="0" fontId="14" fillId="0" borderId="8" xfId="1" applyFont="1" applyBorder="1" applyAlignment="1">
      <alignment horizontal="center" vertical="center" textRotation="75" wrapText="1"/>
    </xf>
    <xf numFmtId="0" fontId="14" fillId="0" borderId="9" xfId="1" applyFont="1" applyBorder="1" applyAlignment="1">
      <alignment horizontal="center" vertical="center" textRotation="75" wrapText="1"/>
    </xf>
    <xf numFmtId="0" fontId="14" fillId="0" borderId="17" xfId="1" applyFont="1" applyBorder="1" applyAlignment="1">
      <alignment horizontal="center" vertical="center" textRotation="75" wrapText="1"/>
    </xf>
    <xf numFmtId="0" fontId="14" fillId="0" borderId="0" xfId="1" applyFont="1" applyBorder="1" applyAlignment="1">
      <alignment horizontal="center" vertical="center" textRotation="75" wrapText="1"/>
    </xf>
    <xf numFmtId="0" fontId="14" fillId="0" borderId="18" xfId="1" applyFont="1" applyBorder="1" applyAlignment="1">
      <alignment horizontal="center" vertical="center" textRotation="75" wrapText="1"/>
    </xf>
    <xf numFmtId="0" fontId="14" fillId="0" borderId="28" xfId="1" applyFont="1" applyBorder="1" applyAlignment="1">
      <alignment horizontal="center" vertical="center" textRotation="75" wrapText="1"/>
    </xf>
    <xf numFmtId="0" fontId="14" fillId="0" borderId="33" xfId="1" applyFont="1" applyBorder="1" applyAlignment="1">
      <alignment horizontal="center" vertical="center" textRotation="75" wrapText="1"/>
    </xf>
    <xf numFmtId="0" fontId="14" fillId="0" borderId="36" xfId="1" applyFont="1" applyBorder="1" applyAlignment="1">
      <alignment horizontal="center" vertical="center" textRotation="75" wrapText="1"/>
    </xf>
    <xf numFmtId="0" fontId="21" fillId="0" borderId="7" xfId="1" applyFont="1" applyBorder="1" applyAlignment="1">
      <alignment horizontal="center" textRotation="85" wrapText="1" shrinkToFit="1"/>
    </xf>
    <xf numFmtId="0" fontId="21" fillId="0" borderId="14" xfId="1" applyFont="1" applyBorder="1" applyAlignment="1">
      <alignment horizontal="center" textRotation="85" wrapText="1" shrinkToFit="1"/>
    </xf>
    <xf numFmtId="0" fontId="22" fillId="0" borderId="12" xfId="1" applyFont="1" applyBorder="1" applyAlignment="1">
      <alignment horizontal="justify"/>
    </xf>
    <xf numFmtId="0" fontId="23" fillId="0" borderId="12" xfId="1" applyFont="1" applyBorder="1" applyAlignment="1">
      <alignment horizontal="justify"/>
    </xf>
    <xf numFmtId="165" fontId="28" fillId="0" borderId="24" xfId="1" applyNumberFormat="1" applyFont="1" applyBorder="1" applyAlignment="1">
      <alignment horizontal="center" textRotation="90"/>
    </xf>
    <xf numFmtId="165" fontId="28" fillId="0" borderId="34" xfId="1" applyNumberFormat="1" applyFont="1" applyBorder="1" applyAlignment="1">
      <alignment horizontal="center" textRotation="90"/>
    </xf>
    <xf numFmtId="166" fontId="8" fillId="2" borderId="1" xfId="1" applyNumberFormat="1" applyFont="1" applyFill="1" applyBorder="1" applyAlignment="1">
      <alignment horizontal="center"/>
    </xf>
    <xf numFmtId="166" fontId="8" fillId="2" borderId="2" xfId="1" applyNumberFormat="1" applyFont="1" applyFill="1" applyBorder="1" applyAlignment="1">
      <alignment horizontal="center"/>
    </xf>
    <xf numFmtId="166" fontId="8" fillId="2" borderId="3" xfId="1" applyNumberFormat="1" applyFont="1" applyFill="1" applyBorder="1" applyAlignment="1">
      <alignment horizontal="center"/>
    </xf>
    <xf numFmtId="166" fontId="8" fillId="2" borderId="4" xfId="1" applyNumberFormat="1" applyFont="1" applyFill="1" applyBorder="1" applyAlignment="1">
      <alignment horizontal="center"/>
    </xf>
    <xf numFmtId="166" fontId="8" fillId="2" borderId="5" xfId="1" applyNumberFormat="1" applyFont="1" applyFill="1" applyBorder="1" applyAlignment="1">
      <alignment horizontal="center"/>
    </xf>
    <xf numFmtId="166" fontId="8" fillId="2" borderId="6" xfId="1" applyNumberFormat="1" applyFont="1" applyFill="1" applyBorder="1" applyAlignment="1">
      <alignment horizontal="center"/>
    </xf>
    <xf numFmtId="167" fontId="9" fillId="0" borderId="0" xfId="1" applyNumberFormat="1" applyFont="1" applyAlignment="1">
      <alignment horizontal="center" vertical="center"/>
    </xf>
    <xf numFmtId="169" fontId="16" fillId="0" borderId="8" xfId="1" applyNumberFormat="1" applyFont="1" applyBorder="1" applyAlignment="1">
      <alignment horizontal="center" vertical="center" wrapText="1" shrinkToFit="1"/>
    </xf>
    <xf numFmtId="169" fontId="16" fillId="0" borderId="9" xfId="1" applyNumberFormat="1" applyFont="1" applyBorder="1" applyAlignment="1">
      <alignment horizontal="center" vertical="center" wrapText="1" shrinkToFit="1"/>
    </xf>
    <xf numFmtId="169" fontId="16" fillId="0" borderId="5" xfId="1" applyNumberFormat="1" applyFont="1" applyBorder="1" applyAlignment="1">
      <alignment horizontal="center" vertical="center" wrapText="1" shrinkToFit="1"/>
    </xf>
    <xf numFmtId="169" fontId="16" fillId="0" borderId="15" xfId="1" applyNumberFormat="1" applyFont="1" applyBorder="1" applyAlignment="1">
      <alignment horizontal="center" vertical="center" wrapText="1" shrinkToFit="1"/>
    </xf>
    <xf numFmtId="169" fontId="15" fillId="0" borderId="8" xfId="1" applyNumberFormat="1" applyFont="1" applyFill="1" applyBorder="1" applyAlignment="1">
      <alignment horizontal="center" vertical="center"/>
    </xf>
    <xf numFmtId="169" fontId="15" fillId="0" borderId="5" xfId="1" applyNumberFormat="1" applyFont="1" applyFill="1" applyBorder="1" applyAlignment="1">
      <alignment horizontal="center" vertical="center"/>
    </xf>
    <xf numFmtId="169" fontId="15" fillId="0" borderId="10" xfId="1" applyNumberFormat="1" applyFont="1" applyFill="1" applyBorder="1" applyAlignment="1">
      <alignment horizontal="center" vertical="center"/>
    </xf>
    <xf numFmtId="169" fontId="15" fillId="0" borderId="16" xfId="1" applyNumberFormat="1" applyFont="1" applyFill="1" applyBorder="1" applyAlignment="1">
      <alignment horizontal="center" vertical="center"/>
    </xf>
    <xf numFmtId="169" fontId="17" fillId="0" borderId="8" xfId="1" applyNumberFormat="1" applyFont="1" applyFill="1" applyBorder="1" applyAlignment="1">
      <alignment horizontal="center" vertical="center" wrapText="1" shrinkToFit="1"/>
    </xf>
    <xf numFmtId="169" fontId="17" fillId="0" borderId="9" xfId="1" applyNumberFormat="1" applyFont="1" applyFill="1" applyBorder="1" applyAlignment="1">
      <alignment horizontal="center" vertical="center" wrapText="1" shrinkToFit="1"/>
    </xf>
    <xf numFmtId="169" fontId="17" fillId="0" borderId="5" xfId="1" applyNumberFormat="1" applyFont="1" applyFill="1" applyBorder="1" applyAlignment="1">
      <alignment horizontal="center" vertical="center" wrapText="1" shrinkToFit="1"/>
    </xf>
    <xf numFmtId="169" fontId="17" fillId="0" borderId="15" xfId="1" applyNumberFormat="1" applyFont="1" applyFill="1" applyBorder="1" applyAlignment="1">
      <alignment horizontal="center" vertical="center" wrapText="1" shrinkToFit="1"/>
    </xf>
    <xf numFmtId="169" fontId="19" fillId="0" borderId="11" xfId="1" applyNumberFormat="1" applyFont="1" applyBorder="1" applyAlignment="1">
      <alignment horizontal="center" vertical="center"/>
    </xf>
    <xf numFmtId="169" fontId="19" fillId="0" borderId="8" xfId="1" applyNumberFormat="1" applyFont="1" applyBorder="1" applyAlignment="1">
      <alignment horizontal="center" vertical="center"/>
    </xf>
    <xf numFmtId="169" fontId="19" fillId="0" borderId="4" xfId="1" applyNumberFormat="1" applyFont="1" applyBorder="1" applyAlignment="1">
      <alignment horizontal="center" vertical="center"/>
    </xf>
    <xf numFmtId="169" fontId="19" fillId="0" borderId="5" xfId="1" applyNumberFormat="1" applyFont="1" applyBorder="1" applyAlignment="1">
      <alignment horizontal="center" vertical="center"/>
    </xf>
    <xf numFmtId="165" fontId="10" fillId="0" borderId="6" xfId="1" applyNumberFormat="1" applyFont="1" applyBorder="1" applyAlignment="1">
      <alignment horizontal="center" vertical="center" textRotation="90" wrapText="1"/>
    </xf>
    <xf numFmtId="0" fontId="10" fillId="0" borderId="26" xfId="1" applyFont="1" applyBorder="1" applyAlignment="1">
      <alignment horizontal="center" vertical="center" wrapText="1"/>
    </xf>
    <xf numFmtId="0" fontId="10" fillId="0" borderId="32" xfId="1" applyFont="1" applyBorder="1" applyAlignment="1">
      <alignment horizontal="center" vertical="center" wrapText="1"/>
    </xf>
    <xf numFmtId="165" fontId="10" fillId="0" borderId="0" xfId="1" applyNumberFormat="1" applyFont="1" applyBorder="1" applyAlignment="1">
      <alignment horizontal="center" vertical="center" textRotation="90" wrapText="1"/>
    </xf>
    <xf numFmtId="0" fontId="10" fillId="0" borderId="0" xfId="1" applyFont="1" applyBorder="1" applyAlignment="1">
      <alignment horizontal="center" vertical="center" wrapText="1"/>
    </xf>
    <xf numFmtId="0" fontId="10" fillId="0" borderId="33" xfId="1" applyFont="1" applyBorder="1" applyAlignment="1">
      <alignment horizontal="center" vertical="center" wrapText="1"/>
    </xf>
    <xf numFmtId="165" fontId="1" fillId="0" borderId="8" xfId="1" applyNumberFormat="1" applyBorder="1" applyAlignment="1">
      <alignment horizontal="center"/>
    </xf>
    <xf numFmtId="165" fontId="1" fillId="0" borderId="0" xfId="1" applyNumberFormat="1" applyAlignment="1">
      <alignment horizontal="center"/>
    </xf>
    <xf numFmtId="169" fontId="164" fillId="0" borderId="43" xfId="1" applyNumberFormat="1" applyFont="1" applyBorder="1" applyAlignment="1">
      <alignment horizontal="center" vertical="center"/>
    </xf>
    <xf numFmtId="169" fontId="164" fillId="0" borderId="58" xfId="1" applyNumberFormat="1" applyFont="1" applyBorder="1" applyAlignment="1">
      <alignment horizontal="center" vertical="center"/>
    </xf>
    <xf numFmtId="169" fontId="164" fillId="0" borderId="44" xfId="1" applyNumberFormat="1" applyFont="1" applyBorder="1" applyAlignment="1">
      <alignment horizontal="center" vertical="center"/>
    </xf>
    <xf numFmtId="169" fontId="164" fillId="0" borderId="26" xfId="1" applyNumberFormat="1" applyFont="1" applyBorder="1" applyAlignment="1">
      <alignment horizontal="center" vertical="center"/>
    </xf>
    <xf numFmtId="169" fontId="164" fillId="0" borderId="12" xfId="1" applyNumberFormat="1" applyFont="1" applyBorder="1" applyAlignment="1">
      <alignment horizontal="center" vertical="center"/>
    </xf>
    <xf numFmtId="169" fontId="164" fillId="0" borderId="48" xfId="1" applyNumberFormat="1" applyFont="1" applyBorder="1" applyAlignment="1">
      <alignment horizontal="center" vertical="center"/>
    </xf>
    <xf numFmtId="169" fontId="18" fillId="0" borderId="8" xfId="1" applyNumberFormat="1" applyFont="1" applyFill="1" applyBorder="1" applyAlignment="1">
      <alignment horizontal="center" vertical="center" wrapText="1" shrinkToFit="1"/>
    </xf>
    <xf numFmtId="169" fontId="18" fillId="0" borderId="9" xfId="1" applyNumberFormat="1" applyFont="1" applyFill="1" applyBorder="1" applyAlignment="1">
      <alignment horizontal="center" vertical="center" wrapText="1" shrinkToFit="1"/>
    </xf>
    <xf numFmtId="169" fontId="18" fillId="0" borderId="5" xfId="1" applyNumberFormat="1" applyFont="1" applyFill="1" applyBorder="1" applyAlignment="1">
      <alignment horizontal="center" vertical="center" wrapText="1" shrinkToFit="1"/>
    </xf>
    <xf numFmtId="169" fontId="18" fillId="0" borderId="15" xfId="1" applyNumberFormat="1" applyFont="1" applyFill="1" applyBorder="1" applyAlignment="1">
      <alignment horizontal="center" vertical="center" wrapText="1" shrinkToFit="1"/>
    </xf>
    <xf numFmtId="2" fontId="1" fillId="0" borderId="30" xfId="1" applyNumberFormat="1" applyBorder="1" applyAlignment="1">
      <alignment horizontal="center"/>
    </xf>
    <xf numFmtId="176" fontId="147" fillId="9" borderId="48" xfId="4" applyNumberFormat="1" applyFont="1" applyFill="1" applyBorder="1" applyAlignment="1">
      <alignment horizontal="center"/>
    </xf>
    <xf numFmtId="176" fontId="147" fillId="9" borderId="26" xfId="4" applyNumberFormat="1" applyFont="1" applyFill="1" applyBorder="1" applyAlignment="1">
      <alignment horizontal="center"/>
    </xf>
    <xf numFmtId="39" fontId="104" fillId="9" borderId="48" xfId="4" applyNumberFormat="1" applyFont="1" applyFill="1" applyBorder="1" applyAlignment="1">
      <alignment horizontal="right"/>
    </xf>
    <xf numFmtId="39" fontId="104" fillId="9" borderId="26" xfId="4" applyNumberFormat="1" applyFont="1" applyFill="1" applyBorder="1" applyAlignment="1">
      <alignment horizontal="right"/>
    </xf>
    <xf numFmtId="39" fontId="89" fillId="9" borderId="48" xfId="4" applyNumberFormat="1" applyFont="1" applyFill="1" applyBorder="1" applyAlignment="1">
      <alignment horizontal="right"/>
    </xf>
    <xf numFmtId="39" fontId="89" fillId="9" borderId="26" xfId="4" applyNumberFormat="1" applyFont="1" applyFill="1" applyBorder="1" applyAlignment="1">
      <alignment horizontal="right"/>
    </xf>
    <xf numFmtId="39" fontId="89" fillId="9" borderId="4" xfId="4" applyNumberFormat="1" applyFont="1" applyFill="1" applyBorder="1" applyAlignment="1">
      <alignment horizontal="right"/>
    </xf>
    <xf numFmtId="39" fontId="89" fillId="9" borderId="6" xfId="4" applyNumberFormat="1" applyFont="1" applyFill="1" applyBorder="1" applyAlignment="1">
      <alignment horizontal="right"/>
    </xf>
    <xf numFmtId="172" fontId="49" fillId="0" borderId="48" xfId="1" applyNumberFormat="1" applyFont="1" applyBorder="1" applyAlignment="1">
      <alignment horizontal="center" vertical="center"/>
    </xf>
    <xf numFmtId="172" fontId="49" fillId="0" borderId="26" xfId="1" applyNumberFormat="1" applyFont="1" applyBorder="1" applyAlignment="1">
      <alignment horizontal="center" vertical="center"/>
    </xf>
    <xf numFmtId="0" fontId="49" fillId="0" borderId="68" xfId="1" applyFont="1" applyBorder="1" applyAlignment="1">
      <alignment horizontal="center" vertical="center"/>
    </xf>
    <xf numFmtId="0" fontId="49" fillId="0" borderId="69" xfId="1" applyFont="1" applyBorder="1" applyAlignment="1">
      <alignment horizontal="center" vertical="center"/>
    </xf>
    <xf numFmtId="165" fontId="1" fillId="5" borderId="50" xfId="1" applyNumberFormat="1" applyFill="1" applyBorder="1" applyAlignment="1">
      <alignment horizontal="center" vertical="center"/>
    </xf>
    <xf numFmtId="165" fontId="1" fillId="5" borderId="26" xfId="1" applyNumberFormat="1" applyFill="1" applyBorder="1" applyAlignment="1">
      <alignment horizontal="center" vertical="center"/>
    </xf>
    <xf numFmtId="172" fontId="18" fillId="5" borderId="48" xfId="4" applyNumberFormat="1" applyFont="1" applyFill="1" applyBorder="1" applyAlignment="1">
      <alignment horizontal="center" vertical="center"/>
    </xf>
    <xf numFmtId="172" fontId="18" fillId="5" borderId="40" xfId="4" applyNumberFormat="1" applyFont="1" applyFill="1" applyBorder="1" applyAlignment="1">
      <alignment horizontal="center" vertical="center"/>
    </xf>
    <xf numFmtId="165" fontId="49" fillId="1" borderId="50" xfId="1" applyNumberFormat="1" applyFont="1" applyFill="1" applyBorder="1" applyAlignment="1">
      <alignment horizontal="center" vertical="center"/>
    </xf>
    <xf numFmtId="165" fontId="49" fillId="1" borderId="26" xfId="1" applyNumberFormat="1" applyFont="1" applyFill="1" applyBorder="1" applyAlignment="1">
      <alignment horizontal="center" vertical="center"/>
    </xf>
    <xf numFmtId="172" fontId="53" fillId="1" borderId="48" xfId="4" applyNumberFormat="1" applyFont="1" applyFill="1" applyBorder="1" applyAlignment="1">
      <alignment horizontal="center" vertical="center"/>
    </xf>
    <xf numFmtId="172" fontId="53" fillId="1" borderId="40" xfId="4" applyNumberFormat="1" applyFont="1" applyFill="1" applyBorder="1" applyAlignment="1">
      <alignment horizontal="center" vertical="center"/>
    </xf>
    <xf numFmtId="172" fontId="1" fillId="0" borderId="48" xfId="4" applyNumberFormat="1" applyBorder="1" applyAlignment="1">
      <alignment horizontal="center"/>
    </xf>
    <xf numFmtId="172" fontId="1" fillId="0" borderId="26" xfId="4" applyNumberFormat="1" applyBorder="1" applyAlignment="1">
      <alignment horizontal="center"/>
    </xf>
    <xf numFmtId="39" fontId="93" fillId="0" borderId="81" xfId="4" applyNumberFormat="1" applyFont="1" applyBorder="1" applyAlignment="1">
      <alignment horizontal="right"/>
    </xf>
    <xf numFmtId="172" fontId="110" fillId="9" borderId="48" xfId="4" applyNumberFormat="1" applyFont="1" applyFill="1" applyBorder="1" applyAlignment="1">
      <alignment horizontal="center"/>
    </xf>
    <xf numFmtId="172" fontId="110" fillId="9" borderId="26" xfId="4" applyNumberFormat="1" applyFont="1" applyFill="1" applyBorder="1" applyAlignment="1">
      <alignment horizontal="center"/>
    </xf>
    <xf numFmtId="39" fontId="111" fillId="9" borderId="48" xfId="4" applyNumberFormat="1" applyFont="1" applyFill="1" applyBorder="1" applyAlignment="1">
      <alignment horizontal="right"/>
    </xf>
    <xf numFmtId="39" fontId="111" fillId="9" borderId="26" xfId="4" applyNumberFormat="1" applyFont="1" applyFill="1" applyBorder="1" applyAlignment="1">
      <alignment horizontal="right"/>
    </xf>
    <xf numFmtId="172" fontId="106" fillId="0" borderId="26" xfId="4" applyNumberFormat="1" applyFont="1" applyFill="1" applyBorder="1" applyAlignment="1">
      <alignment horizontal="center"/>
    </xf>
    <xf numFmtId="172" fontId="113" fillId="0" borderId="48" xfId="4" applyNumberFormat="1" applyFont="1" applyBorder="1" applyAlignment="1">
      <alignment horizontal="center"/>
    </xf>
    <xf numFmtId="172" fontId="113" fillId="0" borderId="26" xfId="4" applyNumberFormat="1" applyFont="1" applyBorder="1" applyAlignment="1">
      <alignment horizontal="center"/>
    </xf>
    <xf numFmtId="172" fontId="114" fillId="0" borderId="48" xfId="4" applyNumberFormat="1" applyFont="1" applyBorder="1" applyAlignment="1">
      <alignment horizontal="center"/>
    </xf>
    <xf numFmtId="172" fontId="114" fillId="0" borderId="26" xfId="4" applyNumberFormat="1" applyFont="1" applyBorder="1" applyAlignment="1">
      <alignment horizontal="center"/>
    </xf>
    <xf numFmtId="180" fontId="1" fillId="0" borderId="48" xfId="4" applyNumberFormat="1" applyBorder="1" applyAlignment="1">
      <alignment horizontal="right"/>
    </xf>
    <xf numFmtId="180" fontId="1" fillId="0" borderId="26" xfId="4" applyNumberFormat="1" applyBorder="1" applyAlignment="1">
      <alignment horizontal="right"/>
    </xf>
    <xf numFmtId="172" fontId="113" fillId="0" borderId="48" xfId="4" applyNumberFormat="1" applyFont="1" applyFill="1" applyBorder="1" applyAlignment="1">
      <alignment horizontal="center"/>
    </xf>
    <xf numFmtId="172" fontId="113" fillId="0" borderId="26" xfId="4" applyNumberFormat="1" applyFont="1" applyFill="1" applyBorder="1" applyAlignment="1">
      <alignment horizontal="center"/>
    </xf>
    <xf numFmtId="39" fontId="10" fillId="0" borderId="48" xfId="4" applyNumberFormat="1" applyFont="1" applyBorder="1" applyAlignment="1">
      <alignment horizontal="right"/>
    </xf>
    <xf numFmtId="39" fontId="10" fillId="0" borderId="26" xfId="4" applyNumberFormat="1" applyFont="1" applyBorder="1" applyAlignment="1">
      <alignment horizontal="right"/>
    </xf>
    <xf numFmtId="169" fontId="58" fillId="0" borderId="8" xfId="1" applyNumberFormat="1" applyFont="1" applyBorder="1" applyAlignment="1">
      <alignment horizontal="center" vertical="center"/>
    </xf>
    <xf numFmtId="169" fontId="58" fillId="0" borderId="5" xfId="1" applyNumberFormat="1" applyFont="1" applyBorder="1" applyAlignment="1">
      <alignment horizontal="center" vertical="center"/>
    </xf>
    <xf numFmtId="169" fontId="59" fillId="0" borderId="8" xfId="1" applyNumberFormat="1" applyFont="1" applyBorder="1" applyAlignment="1">
      <alignment horizontal="center" vertical="center"/>
    </xf>
    <xf numFmtId="169" fontId="59" fillId="0" borderId="9" xfId="1" applyNumberFormat="1" applyFont="1" applyBorder="1" applyAlignment="1">
      <alignment horizontal="center" vertical="center"/>
    </xf>
    <xf numFmtId="169" fontId="59" fillId="0" borderId="5" xfId="1" applyNumberFormat="1" applyFont="1" applyBorder="1" applyAlignment="1">
      <alignment horizontal="center" vertical="center"/>
    </xf>
    <xf numFmtId="169" fontId="59" fillId="0" borderId="15" xfId="1" applyNumberFormat="1" applyFont="1" applyBorder="1" applyAlignment="1">
      <alignment horizontal="center" vertical="center"/>
    </xf>
  </cellXfs>
  <cellStyles count="8">
    <cellStyle name="Hipervínculo" xfId="2" builtinId="8"/>
    <cellStyle name="Millares_Horas Extras - 2007 2" xfId="4"/>
    <cellStyle name="Millares_Horas Extras - 2009 2" xfId="5"/>
    <cellStyle name="Normal" xfId="0" builtinId="0"/>
    <cellStyle name="Normal 2" xfId="1"/>
    <cellStyle name="Porcentual" xfId="7" builtinId="5"/>
    <cellStyle name="Porcentual 2" xfId="3"/>
    <cellStyle name="Porcentual 2 2" xfId="6"/>
  </cellStyles>
  <dxfs count="630">
    <dxf>
      <font>
        <condense val="0"/>
        <extend val="0"/>
        <color indexed="44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39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5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677150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22</xdr:col>
      <xdr:colOff>0</xdr:colOff>
      <xdr:row>11</xdr:row>
      <xdr:rowOff>50130</xdr:rowOff>
    </xdr:from>
    <xdr:to>
      <xdr:col>29</xdr:col>
      <xdr:colOff>154831</xdr:colOff>
      <xdr:row>11</xdr:row>
      <xdr:rowOff>155965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6878053" y="1714498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Permiso  no  remunerado  </a:t>
          </a:r>
        </a:p>
      </xdr:txBody>
    </xdr:sp>
    <xdr:clientData/>
  </xdr:twoCellAnchor>
  <xdr:twoCellAnchor>
    <xdr:from>
      <xdr:col>2</xdr:col>
      <xdr:colOff>70182</xdr:colOff>
      <xdr:row>33</xdr:row>
      <xdr:rowOff>40104</xdr:rowOff>
    </xdr:from>
    <xdr:to>
      <xdr:col>9</xdr:col>
      <xdr:colOff>225012</xdr:colOff>
      <xdr:row>33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132971" y="5374104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80208</xdr:colOff>
      <xdr:row>36</xdr:row>
      <xdr:rowOff>40104</xdr:rowOff>
    </xdr:from>
    <xdr:to>
      <xdr:col>9</xdr:col>
      <xdr:colOff>235038</xdr:colOff>
      <xdr:row>36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1142997" y="5885446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677150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22</xdr:col>
      <xdr:colOff>70182</xdr:colOff>
      <xdr:row>12</xdr:row>
      <xdr:rowOff>40104</xdr:rowOff>
    </xdr:from>
    <xdr:to>
      <xdr:col>31</xdr:col>
      <xdr:colOff>90235</xdr:colOff>
      <xdr:row>12</xdr:row>
      <xdr:rowOff>140367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6948235" y="1874920"/>
          <a:ext cx="2636921" cy="10026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x atencion en ESSALUD</a:t>
          </a:r>
        </a:p>
      </xdr:txBody>
    </xdr:sp>
    <xdr:clientData/>
  </xdr:twoCellAnchor>
  <xdr:twoCellAnchor>
    <xdr:from>
      <xdr:col>12</xdr:col>
      <xdr:colOff>80208</xdr:colOff>
      <xdr:row>34</xdr:row>
      <xdr:rowOff>50130</xdr:rowOff>
    </xdr:from>
    <xdr:to>
      <xdr:col>19</xdr:col>
      <xdr:colOff>235039</xdr:colOff>
      <xdr:row>34</xdr:row>
      <xdr:rowOff>155965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050629" y="5554577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677150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140366</xdr:colOff>
      <xdr:row>15</xdr:row>
      <xdr:rowOff>40104</xdr:rowOff>
    </xdr:from>
    <xdr:to>
      <xdr:col>10</xdr:col>
      <xdr:colOff>4433</xdr:colOff>
      <xdr:row>15</xdr:row>
      <xdr:rowOff>145939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207166" y="2383254"/>
          <a:ext cx="215006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0</xdr:colOff>
      <xdr:row>15</xdr:row>
      <xdr:rowOff>40104</xdr:rowOff>
    </xdr:from>
    <xdr:to>
      <xdr:col>19</xdr:col>
      <xdr:colOff>154831</xdr:colOff>
      <xdr:row>15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3924300" y="238325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15</xdr:row>
      <xdr:rowOff>40104</xdr:rowOff>
    </xdr:from>
    <xdr:to>
      <xdr:col>29</xdr:col>
      <xdr:colOff>154831</xdr:colOff>
      <xdr:row>15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781800" y="238325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</xdr:col>
      <xdr:colOff>0</xdr:colOff>
      <xdr:row>36</xdr:row>
      <xdr:rowOff>40104</xdr:rowOff>
    </xdr:from>
    <xdr:to>
      <xdr:col>9</xdr:col>
      <xdr:colOff>154830</xdr:colOff>
      <xdr:row>36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066800" y="5897979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36</xdr:row>
      <xdr:rowOff>40104</xdr:rowOff>
    </xdr:from>
    <xdr:to>
      <xdr:col>29</xdr:col>
      <xdr:colOff>154831</xdr:colOff>
      <xdr:row>36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6781800" y="589797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677150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140366</xdr:colOff>
      <xdr:row>15</xdr:row>
      <xdr:rowOff>40104</xdr:rowOff>
    </xdr:from>
    <xdr:to>
      <xdr:col>10</xdr:col>
      <xdr:colOff>4433</xdr:colOff>
      <xdr:row>15</xdr:row>
      <xdr:rowOff>145939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207166" y="2383254"/>
          <a:ext cx="215006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0</xdr:colOff>
      <xdr:row>15</xdr:row>
      <xdr:rowOff>40104</xdr:rowOff>
    </xdr:from>
    <xdr:to>
      <xdr:col>19</xdr:col>
      <xdr:colOff>154831</xdr:colOff>
      <xdr:row>15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3924300" y="238325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15</xdr:row>
      <xdr:rowOff>40104</xdr:rowOff>
    </xdr:from>
    <xdr:to>
      <xdr:col>29</xdr:col>
      <xdr:colOff>154831</xdr:colOff>
      <xdr:row>15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781800" y="238325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</xdr:col>
      <xdr:colOff>0</xdr:colOff>
      <xdr:row>36</xdr:row>
      <xdr:rowOff>40104</xdr:rowOff>
    </xdr:from>
    <xdr:to>
      <xdr:col>9</xdr:col>
      <xdr:colOff>154830</xdr:colOff>
      <xdr:row>36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066800" y="5897979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0</xdr:colOff>
      <xdr:row>36</xdr:row>
      <xdr:rowOff>40104</xdr:rowOff>
    </xdr:from>
    <xdr:to>
      <xdr:col>19</xdr:col>
      <xdr:colOff>154831</xdr:colOff>
      <xdr:row>36</xdr:row>
      <xdr:rowOff>145939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3924300" y="589797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36</xdr:row>
      <xdr:rowOff>40104</xdr:rowOff>
    </xdr:from>
    <xdr:to>
      <xdr:col>29</xdr:col>
      <xdr:colOff>154831</xdr:colOff>
      <xdr:row>36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6781800" y="589797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80208</xdr:colOff>
      <xdr:row>33</xdr:row>
      <xdr:rowOff>50130</xdr:rowOff>
    </xdr:from>
    <xdr:to>
      <xdr:col>19</xdr:col>
      <xdr:colOff>235039</xdr:colOff>
      <xdr:row>33</xdr:row>
      <xdr:rowOff>155965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4050629" y="5384130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80208</xdr:colOff>
      <xdr:row>34</xdr:row>
      <xdr:rowOff>50130</xdr:rowOff>
    </xdr:from>
    <xdr:to>
      <xdr:col>19</xdr:col>
      <xdr:colOff>235039</xdr:colOff>
      <xdr:row>34</xdr:row>
      <xdr:rowOff>155965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4050629" y="5554577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677150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10229850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7677150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8" name="WordArt 2"/>
        <xdr:cNvSpPr>
          <a:spLocks noChangeArrowheads="1" noChangeShapeType="1"/>
        </xdr:cNvSpPr>
      </xdr:nvSpPr>
      <xdr:spPr bwMode="auto">
        <a:xfrm>
          <a:off x="1263015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140366</xdr:colOff>
      <xdr:row>15</xdr:row>
      <xdr:rowOff>40104</xdr:rowOff>
    </xdr:from>
    <xdr:to>
      <xdr:col>10</xdr:col>
      <xdr:colOff>4433</xdr:colOff>
      <xdr:row>15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207166" y="2383254"/>
          <a:ext cx="215006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0</xdr:colOff>
      <xdr:row>15</xdr:row>
      <xdr:rowOff>40104</xdr:rowOff>
    </xdr:from>
    <xdr:to>
      <xdr:col>19</xdr:col>
      <xdr:colOff>154831</xdr:colOff>
      <xdr:row>15</xdr:row>
      <xdr:rowOff>145939</xdr:rowOff>
    </xdr:to>
    <xdr:sp macro="" textlink="">
      <xdr:nvSpPr>
        <xdr:cNvPr id="22" name="WordArt 30"/>
        <xdr:cNvSpPr>
          <a:spLocks noChangeArrowheads="1" noChangeShapeType="1"/>
        </xdr:cNvSpPr>
      </xdr:nvSpPr>
      <xdr:spPr bwMode="auto">
        <a:xfrm>
          <a:off x="3970421" y="2386262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15</xdr:row>
      <xdr:rowOff>40104</xdr:rowOff>
    </xdr:from>
    <xdr:to>
      <xdr:col>29</xdr:col>
      <xdr:colOff>154831</xdr:colOff>
      <xdr:row>15</xdr:row>
      <xdr:rowOff>145939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6878053" y="2386262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</xdr:col>
      <xdr:colOff>0</xdr:colOff>
      <xdr:row>36</xdr:row>
      <xdr:rowOff>40104</xdr:rowOff>
    </xdr:from>
    <xdr:to>
      <xdr:col>9</xdr:col>
      <xdr:colOff>154830</xdr:colOff>
      <xdr:row>36</xdr:row>
      <xdr:rowOff>145939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1062789" y="5885446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12</xdr:col>
      <xdr:colOff>0</xdr:colOff>
      <xdr:row>36</xdr:row>
      <xdr:rowOff>40104</xdr:rowOff>
    </xdr:from>
    <xdr:to>
      <xdr:col>19</xdr:col>
      <xdr:colOff>154831</xdr:colOff>
      <xdr:row>36</xdr:row>
      <xdr:rowOff>145939</xdr:rowOff>
    </xdr:to>
    <xdr:sp macro="" textlink="">
      <xdr:nvSpPr>
        <xdr:cNvPr id="25" name="WordArt 30"/>
        <xdr:cNvSpPr>
          <a:spLocks noChangeArrowheads="1" noChangeShapeType="1"/>
        </xdr:cNvSpPr>
      </xdr:nvSpPr>
      <xdr:spPr bwMode="auto">
        <a:xfrm>
          <a:off x="3970421" y="5885446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0</xdr:colOff>
      <xdr:row>36</xdr:row>
      <xdr:rowOff>40104</xdr:rowOff>
    </xdr:from>
    <xdr:to>
      <xdr:col>29</xdr:col>
      <xdr:colOff>154831</xdr:colOff>
      <xdr:row>36</xdr:row>
      <xdr:rowOff>145939</xdr:rowOff>
    </xdr:to>
    <xdr:sp macro="" textlink="">
      <xdr:nvSpPr>
        <xdr:cNvPr id="26" name="WordArt 30"/>
        <xdr:cNvSpPr>
          <a:spLocks noChangeArrowheads="1" noChangeShapeType="1"/>
        </xdr:cNvSpPr>
      </xdr:nvSpPr>
      <xdr:spPr bwMode="auto">
        <a:xfrm>
          <a:off x="6878053" y="5885446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 v a c a c i o n e s   </a:t>
          </a:r>
        </a:p>
      </xdr:txBody>
    </xdr:sp>
    <xdr:clientData/>
  </xdr:twoCellAnchor>
  <xdr:twoCellAnchor>
    <xdr:from>
      <xdr:col>22</xdr:col>
      <xdr:colOff>190494</xdr:colOff>
      <xdr:row>10</xdr:row>
      <xdr:rowOff>40104</xdr:rowOff>
    </xdr:from>
    <xdr:to>
      <xdr:col>30</xdr:col>
      <xdr:colOff>54562</xdr:colOff>
      <xdr:row>10</xdr:row>
      <xdr:rowOff>145939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7068547" y="15340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186598</xdr:colOff>
      <xdr:row>12</xdr:row>
      <xdr:rowOff>52915</xdr:rowOff>
    </xdr:from>
    <xdr:to>
      <xdr:col>10</xdr:col>
      <xdr:colOff>50665</xdr:colOff>
      <xdr:row>12</xdr:row>
      <xdr:rowOff>158750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1319572" y="1887731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10296525" y="377714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7743825" y="384920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8" name="WordArt 2"/>
        <xdr:cNvSpPr>
          <a:spLocks noChangeArrowheads="1" noChangeShapeType="1"/>
        </xdr:cNvSpPr>
      </xdr:nvSpPr>
      <xdr:spPr bwMode="auto">
        <a:xfrm>
          <a:off x="12763500" y="384920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140366</xdr:colOff>
      <xdr:row>15</xdr:row>
      <xdr:rowOff>40104</xdr:rowOff>
    </xdr:from>
    <xdr:to>
      <xdr:col>10</xdr:col>
      <xdr:colOff>4433</xdr:colOff>
      <xdr:row>15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273340" y="2386262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100260</xdr:colOff>
      <xdr:row>13</xdr:row>
      <xdr:rowOff>50131</xdr:rowOff>
    </xdr:from>
    <xdr:to>
      <xdr:col>21</xdr:col>
      <xdr:colOff>20553</xdr:colOff>
      <xdr:row>13</xdr:row>
      <xdr:rowOff>150395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4140865" y="2055394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NO  Remunerado</a:t>
          </a:r>
        </a:p>
      </xdr:txBody>
    </xdr:sp>
    <xdr:clientData/>
  </xdr:twoCellAnchor>
  <xdr:twoCellAnchor>
    <xdr:from>
      <xdr:col>2</xdr:col>
      <xdr:colOff>120312</xdr:colOff>
      <xdr:row>13</xdr:row>
      <xdr:rowOff>50130</xdr:rowOff>
    </xdr:from>
    <xdr:to>
      <xdr:col>11</xdr:col>
      <xdr:colOff>40606</xdr:colOff>
      <xdr:row>13</xdr:row>
      <xdr:rowOff>150394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253286" y="2055393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NO  Remunerado</a:t>
          </a:r>
        </a:p>
      </xdr:txBody>
    </xdr:sp>
    <xdr:clientData/>
  </xdr:twoCellAnchor>
  <xdr:twoCellAnchor>
    <xdr:from>
      <xdr:col>12</xdr:col>
      <xdr:colOff>100263</xdr:colOff>
      <xdr:row>15</xdr:row>
      <xdr:rowOff>40105</xdr:rowOff>
    </xdr:from>
    <xdr:to>
      <xdr:col>19</xdr:col>
      <xdr:colOff>255093</xdr:colOff>
      <xdr:row>15</xdr:row>
      <xdr:rowOff>145940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4140868" y="2386263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70184</xdr:colOff>
      <xdr:row>13</xdr:row>
      <xdr:rowOff>50131</xdr:rowOff>
    </xdr:from>
    <xdr:to>
      <xdr:col>30</xdr:col>
      <xdr:colOff>281241</xdr:colOff>
      <xdr:row>13</xdr:row>
      <xdr:rowOff>150395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7018421" y="2055394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NO  Remunerado</a:t>
          </a:r>
        </a:p>
      </xdr:txBody>
    </xdr:sp>
    <xdr:clientData/>
  </xdr:twoCellAnchor>
  <xdr:twoCellAnchor>
    <xdr:from>
      <xdr:col>22</xdr:col>
      <xdr:colOff>170447</xdr:colOff>
      <xdr:row>15</xdr:row>
      <xdr:rowOff>40105</xdr:rowOff>
    </xdr:from>
    <xdr:to>
      <xdr:col>30</xdr:col>
      <xdr:colOff>34514</xdr:colOff>
      <xdr:row>15</xdr:row>
      <xdr:rowOff>145940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7118684" y="2386263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130342</xdr:colOff>
      <xdr:row>36</xdr:row>
      <xdr:rowOff>40105</xdr:rowOff>
    </xdr:from>
    <xdr:to>
      <xdr:col>9</xdr:col>
      <xdr:colOff>285172</xdr:colOff>
      <xdr:row>36</xdr:row>
      <xdr:rowOff>145940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1263316" y="5885447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80208</xdr:colOff>
      <xdr:row>38</xdr:row>
      <xdr:rowOff>40104</xdr:rowOff>
    </xdr:from>
    <xdr:to>
      <xdr:col>11</xdr:col>
      <xdr:colOff>502</xdr:colOff>
      <xdr:row>38</xdr:row>
      <xdr:rowOff>140368</xdr:rowOff>
    </xdr:to>
    <xdr:sp macro="" textlink="">
      <xdr:nvSpPr>
        <xdr:cNvPr id="20" name="WordArt 30"/>
        <xdr:cNvSpPr>
          <a:spLocks noChangeArrowheads="1" noChangeShapeType="1"/>
        </xdr:cNvSpPr>
      </xdr:nvSpPr>
      <xdr:spPr bwMode="auto">
        <a:xfrm>
          <a:off x="1213182" y="6226341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x tramites personales </a:t>
          </a:r>
        </a:p>
      </xdr:txBody>
    </xdr:sp>
    <xdr:clientData/>
  </xdr:twoCellAnchor>
  <xdr:twoCellAnchor>
    <xdr:from>
      <xdr:col>2</xdr:col>
      <xdr:colOff>50130</xdr:colOff>
      <xdr:row>41</xdr:row>
      <xdr:rowOff>50130</xdr:rowOff>
    </xdr:from>
    <xdr:to>
      <xdr:col>9</xdr:col>
      <xdr:colOff>204960</xdr:colOff>
      <xdr:row>41</xdr:row>
      <xdr:rowOff>155965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1183104" y="674770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Renuncia  voluntaria  </a:t>
          </a:r>
        </a:p>
      </xdr:txBody>
    </xdr:sp>
    <xdr:clientData/>
  </xdr:twoCellAnchor>
  <xdr:twoCellAnchor>
    <xdr:from>
      <xdr:col>12</xdr:col>
      <xdr:colOff>70182</xdr:colOff>
      <xdr:row>41</xdr:row>
      <xdr:rowOff>50130</xdr:rowOff>
    </xdr:from>
    <xdr:to>
      <xdr:col>19</xdr:col>
      <xdr:colOff>225012</xdr:colOff>
      <xdr:row>41</xdr:row>
      <xdr:rowOff>155965</xdr:rowOff>
    </xdr:to>
    <xdr:sp macro="" textlink="">
      <xdr:nvSpPr>
        <xdr:cNvPr id="22" name="WordArt 30"/>
        <xdr:cNvSpPr>
          <a:spLocks noChangeArrowheads="1" noChangeShapeType="1"/>
        </xdr:cNvSpPr>
      </xdr:nvSpPr>
      <xdr:spPr bwMode="auto">
        <a:xfrm>
          <a:off x="4110787" y="674770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Renuncia  voluntaria  </a:t>
          </a:r>
        </a:p>
      </xdr:txBody>
    </xdr:sp>
    <xdr:clientData/>
  </xdr:twoCellAnchor>
  <xdr:twoCellAnchor>
    <xdr:from>
      <xdr:col>22</xdr:col>
      <xdr:colOff>70182</xdr:colOff>
      <xdr:row>41</xdr:row>
      <xdr:rowOff>50130</xdr:rowOff>
    </xdr:from>
    <xdr:to>
      <xdr:col>29</xdr:col>
      <xdr:colOff>225012</xdr:colOff>
      <xdr:row>41</xdr:row>
      <xdr:rowOff>155965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7018419" y="674770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Renuncia  voluntaria  </a:t>
          </a:r>
        </a:p>
      </xdr:txBody>
    </xdr:sp>
    <xdr:clientData/>
  </xdr:twoCellAnchor>
  <xdr:twoCellAnchor>
    <xdr:from>
      <xdr:col>12</xdr:col>
      <xdr:colOff>90234</xdr:colOff>
      <xdr:row>36</xdr:row>
      <xdr:rowOff>50130</xdr:rowOff>
    </xdr:from>
    <xdr:to>
      <xdr:col>19</xdr:col>
      <xdr:colOff>245064</xdr:colOff>
      <xdr:row>36</xdr:row>
      <xdr:rowOff>155965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4130839" y="5895472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100260</xdr:colOff>
      <xdr:row>36</xdr:row>
      <xdr:rowOff>40104</xdr:rowOff>
    </xdr:from>
    <xdr:to>
      <xdr:col>29</xdr:col>
      <xdr:colOff>255090</xdr:colOff>
      <xdr:row>36</xdr:row>
      <xdr:rowOff>145939</xdr:rowOff>
    </xdr:to>
    <xdr:sp macro="" textlink="">
      <xdr:nvSpPr>
        <xdr:cNvPr id="25" name="WordArt 30"/>
        <xdr:cNvSpPr>
          <a:spLocks noChangeArrowheads="1" noChangeShapeType="1"/>
        </xdr:cNvSpPr>
      </xdr:nvSpPr>
      <xdr:spPr bwMode="auto">
        <a:xfrm>
          <a:off x="7048497" y="5885446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22</xdr:col>
      <xdr:colOff>116414</xdr:colOff>
      <xdr:row>16</xdr:row>
      <xdr:rowOff>52915</xdr:rowOff>
    </xdr:from>
    <xdr:to>
      <xdr:col>29</xdr:col>
      <xdr:colOff>271244</xdr:colOff>
      <xdr:row>16</xdr:row>
      <xdr:rowOff>158750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6963831" y="25611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7" name="WordArt 2"/>
        <xdr:cNvSpPr>
          <a:spLocks noChangeArrowheads="1" noChangeShapeType="1" noTextEdit="1"/>
        </xdr:cNvSpPr>
      </xdr:nvSpPr>
      <xdr:spPr bwMode="auto">
        <a:xfrm>
          <a:off x="10295467" y="10793430"/>
          <a:ext cx="19653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8" name="WordArt 2"/>
        <xdr:cNvSpPr>
          <a:spLocks noChangeArrowheads="1" noChangeShapeType="1"/>
        </xdr:cNvSpPr>
      </xdr:nvSpPr>
      <xdr:spPr bwMode="auto">
        <a:xfrm>
          <a:off x="7742767" y="11524634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9" name="WordArt 2"/>
        <xdr:cNvSpPr>
          <a:spLocks noChangeArrowheads="1" noChangeShapeType="1"/>
        </xdr:cNvSpPr>
      </xdr:nvSpPr>
      <xdr:spPr bwMode="auto">
        <a:xfrm>
          <a:off x="12769850" y="11524634"/>
          <a:ext cx="37257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90234</xdr:colOff>
      <xdr:row>41</xdr:row>
      <xdr:rowOff>50130</xdr:rowOff>
    </xdr:from>
    <xdr:to>
      <xdr:col>9</xdr:col>
      <xdr:colOff>245064</xdr:colOff>
      <xdr:row>41</xdr:row>
      <xdr:rowOff>155965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223208" y="674770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70181</xdr:colOff>
      <xdr:row>34</xdr:row>
      <xdr:rowOff>40105</xdr:rowOff>
    </xdr:from>
    <xdr:to>
      <xdr:col>20</xdr:col>
      <xdr:colOff>281237</xdr:colOff>
      <xdr:row>34</xdr:row>
      <xdr:rowOff>140369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4110786" y="5544552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NO  Remunerado</a:t>
          </a:r>
        </a:p>
      </xdr:txBody>
    </xdr:sp>
    <xdr:clientData/>
  </xdr:twoCellAnchor>
  <xdr:twoCellAnchor>
    <xdr:from>
      <xdr:col>22</xdr:col>
      <xdr:colOff>120312</xdr:colOff>
      <xdr:row>34</xdr:row>
      <xdr:rowOff>40104</xdr:rowOff>
    </xdr:from>
    <xdr:to>
      <xdr:col>31</xdr:col>
      <xdr:colOff>40606</xdr:colOff>
      <xdr:row>34</xdr:row>
      <xdr:rowOff>140368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7068549" y="5544551"/>
          <a:ext cx="2537162" cy="1002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NO  Remunerado</a:t>
          </a:r>
        </a:p>
      </xdr:txBody>
    </xdr:sp>
    <xdr:clientData/>
  </xdr:twoCellAnchor>
  <xdr:twoCellAnchor>
    <xdr:from>
      <xdr:col>12</xdr:col>
      <xdr:colOff>140364</xdr:colOff>
      <xdr:row>37</xdr:row>
      <xdr:rowOff>40104</xdr:rowOff>
    </xdr:from>
    <xdr:to>
      <xdr:col>20</xdr:col>
      <xdr:colOff>4430</xdr:colOff>
      <xdr:row>37</xdr:row>
      <xdr:rowOff>145939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4180969" y="6055893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FIN  DE  CONTRATO  </a:t>
          </a:r>
        </a:p>
      </xdr:txBody>
    </xdr:sp>
    <xdr:clientData/>
  </xdr:twoCellAnchor>
  <xdr:twoCellAnchor>
    <xdr:from>
      <xdr:col>3</xdr:col>
      <xdr:colOff>0</xdr:colOff>
      <xdr:row>37</xdr:row>
      <xdr:rowOff>50130</xdr:rowOff>
    </xdr:from>
    <xdr:to>
      <xdr:col>10</xdr:col>
      <xdr:colOff>154830</xdr:colOff>
      <xdr:row>37</xdr:row>
      <xdr:rowOff>155965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1423737" y="606591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FIN  DE  CONTRATO  </a:t>
          </a:r>
        </a:p>
      </xdr:txBody>
    </xdr:sp>
    <xdr:clientData/>
  </xdr:twoCellAnchor>
  <xdr:twoCellAnchor>
    <xdr:from>
      <xdr:col>23</xdr:col>
      <xdr:colOff>0</xdr:colOff>
      <xdr:row>37</xdr:row>
      <xdr:rowOff>50130</xdr:rowOff>
    </xdr:from>
    <xdr:to>
      <xdr:col>30</xdr:col>
      <xdr:colOff>154830</xdr:colOff>
      <xdr:row>37</xdr:row>
      <xdr:rowOff>155965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7239000" y="6065919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FIN  DE  CONTRATO 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08632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5839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5839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12</xdr:col>
      <xdr:colOff>84664</xdr:colOff>
      <xdr:row>16</xdr:row>
      <xdr:rowOff>42332</xdr:rowOff>
    </xdr:from>
    <xdr:to>
      <xdr:col>19</xdr:col>
      <xdr:colOff>239494</xdr:colOff>
      <xdr:row>16</xdr:row>
      <xdr:rowOff>148167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4075639" y="25569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105830</xdr:colOff>
      <xdr:row>12</xdr:row>
      <xdr:rowOff>52915</xdr:rowOff>
    </xdr:from>
    <xdr:to>
      <xdr:col>29</xdr:col>
      <xdr:colOff>260660</xdr:colOff>
      <xdr:row>12</xdr:row>
      <xdr:rowOff>158750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6953247" y="18838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105830</xdr:colOff>
      <xdr:row>16</xdr:row>
      <xdr:rowOff>52915</xdr:rowOff>
    </xdr:from>
    <xdr:to>
      <xdr:col>29</xdr:col>
      <xdr:colOff>260660</xdr:colOff>
      <xdr:row>16</xdr:row>
      <xdr:rowOff>158750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6953247" y="25611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95247</xdr:colOff>
      <xdr:row>37</xdr:row>
      <xdr:rowOff>52915</xdr:rowOff>
    </xdr:from>
    <xdr:to>
      <xdr:col>19</xdr:col>
      <xdr:colOff>250077</xdr:colOff>
      <xdr:row>37</xdr:row>
      <xdr:rowOff>158750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085164" y="60536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95247</xdr:colOff>
      <xdr:row>43</xdr:row>
      <xdr:rowOff>52915</xdr:rowOff>
    </xdr:from>
    <xdr:to>
      <xdr:col>19</xdr:col>
      <xdr:colOff>250077</xdr:colOff>
      <xdr:row>43</xdr:row>
      <xdr:rowOff>158750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4085164" y="70696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116413</xdr:colOff>
      <xdr:row>43</xdr:row>
      <xdr:rowOff>52915</xdr:rowOff>
    </xdr:from>
    <xdr:to>
      <xdr:col>29</xdr:col>
      <xdr:colOff>271243</xdr:colOff>
      <xdr:row>43</xdr:row>
      <xdr:rowOff>158750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6963830" y="70696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70</xdr:row>
      <xdr:rowOff>211051</xdr:rowOff>
    </xdr:from>
    <xdr:to>
      <xdr:col>33</xdr:col>
      <xdr:colOff>47625</xdr:colOff>
      <xdr:row>70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42331</xdr:colOff>
      <xdr:row>16</xdr:row>
      <xdr:rowOff>42331</xdr:rowOff>
    </xdr:from>
    <xdr:to>
      <xdr:col>11</xdr:col>
      <xdr:colOff>84668</xdr:colOff>
      <xdr:row>16</xdr:row>
      <xdr:rowOff>158748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174748" y="2550581"/>
          <a:ext cx="2614087" cy="11641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suspenddo x inasistencas</a:t>
          </a:r>
        </a:p>
      </xdr:txBody>
    </xdr:sp>
    <xdr:clientData/>
  </xdr:twoCellAnchor>
  <xdr:twoCellAnchor>
    <xdr:from>
      <xdr:col>12</xdr:col>
      <xdr:colOff>105830</xdr:colOff>
      <xdr:row>14</xdr:row>
      <xdr:rowOff>52915</xdr:rowOff>
    </xdr:from>
    <xdr:to>
      <xdr:col>19</xdr:col>
      <xdr:colOff>260660</xdr:colOff>
      <xdr:row>14</xdr:row>
      <xdr:rowOff>158750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4095747" y="22224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84664</xdr:colOff>
      <xdr:row>16</xdr:row>
      <xdr:rowOff>42332</xdr:rowOff>
    </xdr:from>
    <xdr:to>
      <xdr:col>19</xdr:col>
      <xdr:colOff>239494</xdr:colOff>
      <xdr:row>16</xdr:row>
      <xdr:rowOff>148167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4074581" y="25505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84664</xdr:colOff>
      <xdr:row>37</xdr:row>
      <xdr:rowOff>52915</xdr:rowOff>
    </xdr:from>
    <xdr:to>
      <xdr:col>29</xdr:col>
      <xdr:colOff>239494</xdr:colOff>
      <xdr:row>37</xdr:row>
      <xdr:rowOff>158750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6932081" y="62229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56812</xdr:colOff>
      <xdr:row>12</xdr:row>
      <xdr:rowOff>40104</xdr:rowOff>
    </xdr:from>
    <xdr:to>
      <xdr:col>9</xdr:col>
      <xdr:colOff>211642</xdr:colOff>
      <xdr:row>12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189229" y="1871021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12</xdr:col>
      <xdr:colOff>113962</xdr:colOff>
      <xdr:row>12</xdr:row>
      <xdr:rowOff>44337</xdr:rowOff>
    </xdr:from>
    <xdr:to>
      <xdr:col>19</xdr:col>
      <xdr:colOff>268792</xdr:colOff>
      <xdr:row>12</xdr:row>
      <xdr:rowOff>150172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4103879" y="1875254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22</xdr:col>
      <xdr:colOff>118195</xdr:colOff>
      <xdr:row>12</xdr:row>
      <xdr:rowOff>37987</xdr:rowOff>
    </xdr:from>
    <xdr:to>
      <xdr:col>29</xdr:col>
      <xdr:colOff>273025</xdr:colOff>
      <xdr:row>12</xdr:row>
      <xdr:rowOff>143822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6965612" y="1868904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</xdr:col>
      <xdr:colOff>116413</xdr:colOff>
      <xdr:row>10</xdr:row>
      <xdr:rowOff>42332</xdr:rowOff>
    </xdr:from>
    <xdr:to>
      <xdr:col>9</xdr:col>
      <xdr:colOff>271243</xdr:colOff>
      <xdr:row>10</xdr:row>
      <xdr:rowOff>148167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248830" y="15345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95247</xdr:colOff>
      <xdr:row>38</xdr:row>
      <xdr:rowOff>42332</xdr:rowOff>
    </xdr:from>
    <xdr:to>
      <xdr:col>9</xdr:col>
      <xdr:colOff>250077</xdr:colOff>
      <xdr:row>38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227664" y="62124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42331</xdr:colOff>
      <xdr:row>38</xdr:row>
      <xdr:rowOff>31750</xdr:rowOff>
    </xdr:from>
    <xdr:to>
      <xdr:col>21</xdr:col>
      <xdr:colOff>84668</xdr:colOff>
      <xdr:row>38</xdr:row>
      <xdr:rowOff>148167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4032248" y="6201833"/>
          <a:ext cx="2614087" cy="11641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suspenddo x inasistencas</a:t>
          </a:r>
        </a:p>
      </xdr:txBody>
    </xdr:sp>
    <xdr:clientData/>
  </xdr:twoCellAnchor>
  <xdr:twoCellAnchor>
    <xdr:from>
      <xdr:col>22</xdr:col>
      <xdr:colOff>63498</xdr:colOff>
      <xdr:row>38</xdr:row>
      <xdr:rowOff>42332</xdr:rowOff>
    </xdr:from>
    <xdr:to>
      <xdr:col>31</xdr:col>
      <xdr:colOff>105835</xdr:colOff>
      <xdr:row>38</xdr:row>
      <xdr:rowOff>158749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6910915" y="6212415"/>
          <a:ext cx="2614087" cy="11641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suspenddo x inasistencas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13</xdr:col>
      <xdr:colOff>0</xdr:colOff>
      <xdr:row>10</xdr:row>
      <xdr:rowOff>47625</xdr:rowOff>
    </xdr:from>
    <xdr:to>
      <xdr:col>20</xdr:col>
      <xdr:colOff>189923</xdr:colOff>
      <xdr:row>10</xdr:row>
      <xdr:rowOff>153460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210050" y="15335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0</xdr:colOff>
      <xdr:row>33</xdr:row>
      <xdr:rowOff>47625</xdr:rowOff>
    </xdr:from>
    <xdr:to>
      <xdr:col>10</xdr:col>
      <xdr:colOff>189923</xdr:colOff>
      <xdr:row>33</xdr:row>
      <xdr:rowOff>153460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1352550" y="5391150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64556</xdr:colOff>
      <xdr:row>12</xdr:row>
      <xdr:rowOff>42332</xdr:rowOff>
    </xdr:from>
    <xdr:to>
      <xdr:col>9</xdr:col>
      <xdr:colOff>219386</xdr:colOff>
      <xdr:row>12</xdr:row>
      <xdr:rowOff>148167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1198031" y="18711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12</xdr:col>
      <xdr:colOff>104775</xdr:colOff>
      <xdr:row>12</xdr:row>
      <xdr:rowOff>38100</xdr:rowOff>
    </xdr:from>
    <xdr:to>
      <xdr:col>19</xdr:col>
      <xdr:colOff>259605</xdr:colOff>
      <xdr:row>12</xdr:row>
      <xdr:rowOff>143935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095750" y="1866900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22</xdr:col>
      <xdr:colOff>95250</xdr:colOff>
      <xdr:row>12</xdr:row>
      <xdr:rowOff>38100</xdr:rowOff>
    </xdr:from>
    <xdr:to>
      <xdr:col>29</xdr:col>
      <xdr:colOff>250080</xdr:colOff>
      <xdr:row>12</xdr:row>
      <xdr:rowOff>143935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943725" y="1866900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32</xdr:col>
      <xdr:colOff>110286</xdr:colOff>
      <xdr:row>12</xdr:row>
      <xdr:rowOff>50130</xdr:rowOff>
    </xdr:from>
    <xdr:to>
      <xdr:col>39</xdr:col>
      <xdr:colOff>265115</xdr:colOff>
      <xdr:row>12</xdr:row>
      <xdr:rowOff>155965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966154" y="1884946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</xdr:col>
      <xdr:colOff>130338</xdr:colOff>
      <xdr:row>34</xdr:row>
      <xdr:rowOff>40104</xdr:rowOff>
    </xdr:from>
    <xdr:to>
      <xdr:col>9</xdr:col>
      <xdr:colOff>285168</xdr:colOff>
      <xdr:row>34</xdr:row>
      <xdr:rowOff>145939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1263312" y="5544551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12</xdr:col>
      <xdr:colOff>110286</xdr:colOff>
      <xdr:row>34</xdr:row>
      <xdr:rowOff>40104</xdr:rowOff>
    </xdr:from>
    <xdr:to>
      <xdr:col>19</xdr:col>
      <xdr:colOff>265116</xdr:colOff>
      <xdr:row>34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4150891" y="5544551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22</xdr:col>
      <xdr:colOff>120312</xdr:colOff>
      <xdr:row>34</xdr:row>
      <xdr:rowOff>40104</xdr:rowOff>
    </xdr:from>
    <xdr:to>
      <xdr:col>29</xdr:col>
      <xdr:colOff>275142</xdr:colOff>
      <xdr:row>34</xdr:row>
      <xdr:rowOff>145939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7068549" y="5544551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</a:t>
          </a:r>
        </a:p>
      </xdr:txBody>
    </xdr:sp>
    <xdr:clientData/>
  </xdr:twoCellAnchor>
  <xdr:twoCellAnchor>
    <xdr:from>
      <xdr:col>22</xdr:col>
      <xdr:colOff>70182</xdr:colOff>
      <xdr:row>13</xdr:row>
      <xdr:rowOff>50130</xdr:rowOff>
    </xdr:from>
    <xdr:to>
      <xdr:col>29</xdr:col>
      <xdr:colOff>225012</xdr:colOff>
      <xdr:row>13</xdr:row>
      <xdr:rowOff>155965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7018419" y="2055393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Inasistencia    fin de operativo </a:t>
          </a:r>
        </a:p>
      </xdr:txBody>
    </xdr:sp>
    <xdr:clientData/>
  </xdr:twoCellAnchor>
  <xdr:twoCellAnchor>
    <xdr:from>
      <xdr:col>22</xdr:col>
      <xdr:colOff>0</xdr:colOff>
      <xdr:row>16</xdr:row>
      <xdr:rowOff>50130</xdr:rowOff>
    </xdr:from>
    <xdr:to>
      <xdr:col>29</xdr:col>
      <xdr:colOff>154830</xdr:colOff>
      <xdr:row>16</xdr:row>
      <xdr:rowOff>155965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6948237" y="2566735"/>
          <a:ext cx="2190172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Inasistencia    fin de operativo 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12</xdr:col>
      <xdr:colOff>74081</xdr:colOff>
      <xdr:row>16</xdr:row>
      <xdr:rowOff>42332</xdr:rowOff>
    </xdr:from>
    <xdr:to>
      <xdr:col>19</xdr:col>
      <xdr:colOff>228911</xdr:colOff>
      <xdr:row>16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065056" y="25569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95247</xdr:colOff>
      <xdr:row>14</xdr:row>
      <xdr:rowOff>42332</xdr:rowOff>
    </xdr:from>
    <xdr:to>
      <xdr:col>29</xdr:col>
      <xdr:colOff>250077</xdr:colOff>
      <xdr:row>14</xdr:row>
      <xdr:rowOff>148167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943722" y="22140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209547</xdr:colOff>
      <xdr:row>38</xdr:row>
      <xdr:rowOff>43390</xdr:rowOff>
    </xdr:from>
    <xdr:to>
      <xdr:col>11</xdr:col>
      <xdr:colOff>78627</xdr:colOff>
      <xdr:row>38</xdr:row>
      <xdr:rowOff>149225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1628772" y="62441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84664</xdr:colOff>
      <xdr:row>34</xdr:row>
      <xdr:rowOff>52915</xdr:rowOff>
    </xdr:from>
    <xdr:to>
      <xdr:col>29</xdr:col>
      <xdr:colOff>239494</xdr:colOff>
      <xdr:row>34</xdr:row>
      <xdr:rowOff>158750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6932081" y="55456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 medica  ESSALUD 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95248</xdr:colOff>
      <xdr:row>16</xdr:row>
      <xdr:rowOff>31792</xdr:rowOff>
    </xdr:from>
    <xdr:to>
      <xdr:col>9</xdr:col>
      <xdr:colOff>250078</xdr:colOff>
      <xdr:row>16</xdr:row>
      <xdr:rowOff>137627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1227665" y="254004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95246</xdr:colOff>
      <xdr:row>12</xdr:row>
      <xdr:rowOff>42332</xdr:rowOff>
    </xdr:from>
    <xdr:to>
      <xdr:col>9</xdr:col>
      <xdr:colOff>250076</xdr:colOff>
      <xdr:row>12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227663" y="1873249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x fallecimiento de madre</a:t>
          </a:r>
        </a:p>
      </xdr:txBody>
    </xdr:sp>
    <xdr:clientData/>
  </xdr:twoCellAnchor>
  <xdr:twoCellAnchor>
    <xdr:from>
      <xdr:col>12</xdr:col>
      <xdr:colOff>84664</xdr:colOff>
      <xdr:row>12</xdr:row>
      <xdr:rowOff>42332</xdr:rowOff>
    </xdr:from>
    <xdr:to>
      <xdr:col>19</xdr:col>
      <xdr:colOff>239494</xdr:colOff>
      <xdr:row>12</xdr:row>
      <xdr:rowOff>148167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4074581" y="1873249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x fallecimiento de madre</a:t>
          </a:r>
        </a:p>
      </xdr:txBody>
    </xdr:sp>
    <xdr:clientData/>
  </xdr:twoCellAnchor>
  <xdr:twoCellAnchor>
    <xdr:from>
      <xdr:col>22</xdr:col>
      <xdr:colOff>95247</xdr:colOff>
      <xdr:row>12</xdr:row>
      <xdr:rowOff>31749</xdr:rowOff>
    </xdr:from>
    <xdr:to>
      <xdr:col>29</xdr:col>
      <xdr:colOff>250077</xdr:colOff>
      <xdr:row>12</xdr:row>
      <xdr:rowOff>137584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942664" y="1862666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x fallecimiento de madre</a:t>
          </a:r>
        </a:p>
      </xdr:txBody>
    </xdr:sp>
    <xdr:clientData/>
  </xdr:twoCellAnchor>
  <xdr:twoCellAnchor>
    <xdr:from>
      <xdr:col>12</xdr:col>
      <xdr:colOff>74081</xdr:colOff>
      <xdr:row>16</xdr:row>
      <xdr:rowOff>42332</xdr:rowOff>
    </xdr:from>
    <xdr:to>
      <xdr:col>19</xdr:col>
      <xdr:colOff>228911</xdr:colOff>
      <xdr:row>16</xdr:row>
      <xdr:rowOff>148167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4063998" y="25505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95247</xdr:colOff>
      <xdr:row>14</xdr:row>
      <xdr:rowOff>42332</xdr:rowOff>
    </xdr:from>
    <xdr:to>
      <xdr:col>29</xdr:col>
      <xdr:colOff>250077</xdr:colOff>
      <xdr:row>14</xdr:row>
      <xdr:rowOff>148167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6942664" y="22119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95247</xdr:colOff>
      <xdr:row>32</xdr:row>
      <xdr:rowOff>52915</xdr:rowOff>
    </xdr:from>
    <xdr:to>
      <xdr:col>9</xdr:col>
      <xdr:colOff>250077</xdr:colOff>
      <xdr:row>32</xdr:row>
      <xdr:rowOff>158750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227664" y="52069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84664</xdr:colOff>
      <xdr:row>34</xdr:row>
      <xdr:rowOff>52915</xdr:rowOff>
    </xdr:from>
    <xdr:to>
      <xdr:col>19</xdr:col>
      <xdr:colOff>239494</xdr:colOff>
      <xdr:row>34</xdr:row>
      <xdr:rowOff>158750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4074581" y="554566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84664</xdr:colOff>
      <xdr:row>38</xdr:row>
      <xdr:rowOff>42332</xdr:rowOff>
    </xdr:from>
    <xdr:to>
      <xdr:col>19</xdr:col>
      <xdr:colOff>239494</xdr:colOff>
      <xdr:row>38</xdr:row>
      <xdr:rowOff>148167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4074581" y="62124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63497</xdr:colOff>
      <xdr:row>12</xdr:row>
      <xdr:rowOff>31749</xdr:rowOff>
    </xdr:from>
    <xdr:to>
      <xdr:col>9</xdr:col>
      <xdr:colOff>218327</xdr:colOff>
      <xdr:row>12</xdr:row>
      <xdr:rowOff>137584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1195914" y="1862666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medica particular  dental</a:t>
          </a:r>
        </a:p>
      </xdr:txBody>
    </xdr:sp>
    <xdr:clientData/>
  </xdr:twoCellAnchor>
  <xdr:twoCellAnchor>
    <xdr:from>
      <xdr:col>22</xdr:col>
      <xdr:colOff>95247</xdr:colOff>
      <xdr:row>10</xdr:row>
      <xdr:rowOff>42332</xdr:rowOff>
    </xdr:from>
    <xdr:to>
      <xdr:col>29</xdr:col>
      <xdr:colOff>250077</xdr:colOff>
      <xdr:row>10</xdr:row>
      <xdr:rowOff>148167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6942664" y="15345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105830</xdr:colOff>
      <xdr:row>14</xdr:row>
      <xdr:rowOff>31792</xdr:rowOff>
    </xdr:from>
    <xdr:to>
      <xdr:col>29</xdr:col>
      <xdr:colOff>260660</xdr:colOff>
      <xdr:row>14</xdr:row>
      <xdr:rowOff>137627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6953247" y="220137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84664</xdr:colOff>
      <xdr:row>35</xdr:row>
      <xdr:rowOff>52915</xdr:rowOff>
    </xdr:from>
    <xdr:to>
      <xdr:col>9</xdr:col>
      <xdr:colOff>239494</xdr:colOff>
      <xdr:row>35</xdr:row>
      <xdr:rowOff>158750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217081" y="57149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105830</xdr:colOff>
      <xdr:row>34</xdr:row>
      <xdr:rowOff>42332</xdr:rowOff>
    </xdr:from>
    <xdr:to>
      <xdr:col>19</xdr:col>
      <xdr:colOff>260660</xdr:colOff>
      <xdr:row>34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095747" y="55350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x fallecimiento de madre</a:t>
          </a:r>
        </a:p>
      </xdr:txBody>
    </xdr:sp>
    <xdr:clientData/>
  </xdr:twoCellAnchor>
  <xdr:twoCellAnchor>
    <xdr:from>
      <xdr:col>22</xdr:col>
      <xdr:colOff>84664</xdr:colOff>
      <xdr:row>38</xdr:row>
      <xdr:rowOff>42332</xdr:rowOff>
    </xdr:from>
    <xdr:to>
      <xdr:col>29</xdr:col>
      <xdr:colOff>239494</xdr:colOff>
      <xdr:row>38</xdr:row>
      <xdr:rowOff>148167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6932081" y="62124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105830</xdr:colOff>
      <xdr:row>34</xdr:row>
      <xdr:rowOff>42332</xdr:rowOff>
    </xdr:from>
    <xdr:to>
      <xdr:col>29</xdr:col>
      <xdr:colOff>260660</xdr:colOff>
      <xdr:row>34</xdr:row>
      <xdr:rowOff>148167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6953247" y="55350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x fallecimiento de madre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22</xdr:col>
      <xdr:colOff>95247</xdr:colOff>
      <xdr:row>15</xdr:row>
      <xdr:rowOff>52915</xdr:rowOff>
    </xdr:from>
    <xdr:to>
      <xdr:col>29</xdr:col>
      <xdr:colOff>250077</xdr:colOff>
      <xdr:row>15</xdr:row>
      <xdr:rowOff>158750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6942664" y="23918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105830</xdr:colOff>
      <xdr:row>10</xdr:row>
      <xdr:rowOff>42343</xdr:rowOff>
    </xdr:from>
    <xdr:to>
      <xdr:col>9</xdr:col>
      <xdr:colOff>260660</xdr:colOff>
      <xdr:row>10</xdr:row>
      <xdr:rowOff>148178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1239305" y="1528243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84664</xdr:colOff>
      <xdr:row>12</xdr:row>
      <xdr:rowOff>52915</xdr:rowOff>
    </xdr:from>
    <xdr:to>
      <xdr:col>29</xdr:col>
      <xdr:colOff>239494</xdr:colOff>
      <xdr:row>12</xdr:row>
      <xdr:rowOff>158750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6932081" y="18838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105830</xdr:colOff>
      <xdr:row>13</xdr:row>
      <xdr:rowOff>31754</xdr:rowOff>
    </xdr:from>
    <xdr:to>
      <xdr:col>9</xdr:col>
      <xdr:colOff>260660</xdr:colOff>
      <xdr:row>13</xdr:row>
      <xdr:rowOff>137589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1238247" y="2032004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105830</xdr:colOff>
      <xdr:row>10</xdr:row>
      <xdr:rowOff>42343</xdr:rowOff>
    </xdr:from>
    <xdr:to>
      <xdr:col>9</xdr:col>
      <xdr:colOff>260660</xdr:colOff>
      <xdr:row>10</xdr:row>
      <xdr:rowOff>148178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1238247" y="1534593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95247</xdr:colOff>
      <xdr:row>44</xdr:row>
      <xdr:rowOff>42332</xdr:rowOff>
    </xdr:from>
    <xdr:to>
      <xdr:col>19</xdr:col>
      <xdr:colOff>250077</xdr:colOff>
      <xdr:row>44</xdr:row>
      <xdr:rowOff>148167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4085164" y="72284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105830</xdr:colOff>
      <xdr:row>14</xdr:row>
      <xdr:rowOff>52915</xdr:rowOff>
    </xdr:from>
    <xdr:to>
      <xdr:col>9</xdr:col>
      <xdr:colOff>260660</xdr:colOff>
      <xdr:row>14</xdr:row>
      <xdr:rowOff>158750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238247" y="22224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105830</xdr:colOff>
      <xdr:row>12</xdr:row>
      <xdr:rowOff>52915</xdr:rowOff>
    </xdr:from>
    <xdr:to>
      <xdr:col>9</xdr:col>
      <xdr:colOff>260660</xdr:colOff>
      <xdr:row>12</xdr:row>
      <xdr:rowOff>158750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1238247" y="18838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116413</xdr:colOff>
      <xdr:row>12</xdr:row>
      <xdr:rowOff>42332</xdr:rowOff>
    </xdr:from>
    <xdr:to>
      <xdr:col>19</xdr:col>
      <xdr:colOff>271243</xdr:colOff>
      <xdr:row>12</xdr:row>
      <xdr:rowOff>148167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4106330" y="1873249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 medica  ESSALUD 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84664</xdr:colOff>
      <xdr:row>11</xdr:row>
      <xdr:rowOff>52915</xdr:rowOff>
    </xdr:from>
    <xdr:to>
      <xdr:col>9</xdr:col>
      <xdr:colOff>239494</xdr:colOff>
      <xdr:row>11</xdr:row>
      <xdr:rowOff>158750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217081" y="1714498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PERMISO  no  REMUERADO </a:t>
          </a:r>
        </a:p>
      </xdr:txBody>
    </xdr:sp>
    <xdr:clientData/>
  </xdr:twoCellAnchor>
  <xdr:twoCellAnchor>
    <xdr:from>
      <xdr:col>12</xdr:col>
      <xdr:colOff>95247</xdr:colOff>
      <xdr:row>11</xdr:row>
      <xdr:rowOff>42332</xdr:rowOff>
    </xdr:from>
    <xdr:to>
      <xdr:col>19</xdr:col>
      <xdr:colOff>250077</xdr:colOff>
      <xdr:row>11</xdr:row>
      <xdr:rowOff>148167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4085164" y="17039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PERMISO  no  REMUERADO </a:t>
          </a:r>
        </a:p>
      </xdr:txBody>
    </xdr:sp>
    <xdr:clientData/>
  </xdr:twoCellAnchor>
  <xdr:twoCellAnchor>
    <xdr:from>
      <xdr:col>12</xdr:col>
      <xdr:colOff>95247</xdr:colOff>
      <xdr:row>22</xdr:row>
      <xdr:rowOff>42332</xdr:rowOff>
    </xdr:from>
    <xdr:to>
      <xdr:col>19</xdr:col>
      <xdr:colOff>250077</xdr:colOff>
      <xdr:row>22</xdr:row>
      <xdr:rowOff>148167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4085164" y="35665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95247</xdr:colOff>
      <xdr:row>11</xdr:row>
      <xdr:rowOff>42332</xdr:rowOff>
    </xdr:from>
    <xdr:to>
      <xdr:col>29</xdr:col>
      <xdr:colOff>250077</xdr:colOff>
      <xdr:row>11</xdr:row>
      <xdr:rowOff>148167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6942664" y="17039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PERMISO  no  REMUERADO </a:t>
          </a:r>
        </a:p>
      </xdr:txBody>
    </xdr:sp>
    <xdr:clientData/>
  </xdr:twoCellAnchor>
  <xdr:twoCellAnchor>
    <xdr:from>
      <xdr:col>2</xdr:col>
      <xdr:colOff>95247</xdr:colOff>
      <xdr:row>35</xdr:row>
      <xdr:rowOff>42332</xdr:rowOff>
    </xdr:from>
    <xdr:to>
      <xdr:col>9</xdr:col>
      <xdr:colOff>250077</xdr:colOff>
      <xdr:row>35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227664" y="57044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95247</xdr:colOff>
      <xdr:row>34</xdr:row>
      <xdr:rowOff>42332</xdr:rowOff>
    </xdr:from>
    <xdr:to>
      <xdr:col>29</xdr:col>
      <xdr:colOff>250077</xdr:colOff>
      <xdr:row>34</xdr:row>
      <xdr:rowOff>148167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942664" y="553508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69</xdr:row>
      <xdr:rowOff>157180</xdr:rowOff>
    </xdr:from>
    <xdr:to>
      <xdr:col>40</xdr:col>
      <xdr:colOff>238125</xdr:colOff>
      <xdr:row>69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96525" y="112061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72</xdr:row>
      <xdr:rowOff>211051</xdr:rowOff>
    </xdr:from>
    <xdr:to>
      <xdr:col>33</xdr:col>
      <xdr:colOff>47625</xdr:colOff>
      <xdr:row>72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743825" y="1192680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763500" y="119268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84664</xdr:colOff>
      <xdr:row>10</xdr:row>
      <xdr:rowOff>52915</xdr:rowOff>
    </xdr:from>
    <xdr:to>
      <xdr:col>9</xdr:col>
      <xdr:colOff>239494</xdr:colOff>
      <xdr:row>10</xdr:row>
      <xdr:rowOff>158750</xdr:rowOff>
    </xdr:to>
    <xdr:sp macro="" textlink="">
      <xdr:nvSpPr>
        <xdr:cNvPr id="5" name="WordArt 30"/>
        <xdr:cNvSpPr>
          <a:spLocks noChangeArrowheads="1" noChangeShapeType="1"/>
        </xdr:cNvSpPr>
      </xdr:nvSpPr>
      <xdr:spPr bwMode="auto">
        <a:xfrm>
          <a:off x="1218139" y="15388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95247</xdr:colOff>
      <xdr:row>12</xdr:row>
      <xdr:rowOff>42332</xdr:rowOff>
    </xdr:from>
    <xdr:to>
      <xdr:col>9</xdr:col>
      <xdr:colOff>250077</xdr:colOff>
      <xdr:row>12</xdr:row>
      <xdr:rowOff>148167</xdr:rowOff>
    </xdr:to>
    <xdr:sp macro="" textlink="">
      <xdr:nvSpPr>
        <xdr:cNvPr id="6" name="WordArt 30"/>
        <xdr:cNvSpPr>
          <a:spLocks noChangeArrowheads="1" noChangeShapeType="1"/>
        </xdr:cNvSpPr>
      </xdr:nvSpPr>
      <xdr:spPr bwMode="auto">
        <a:xfrm>
          <a:off x="1228722" y="18711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95247</xdr:colOff>
      <xdr:row>22</xdr:row>
      <xdr:rowOff>42332</xdr:rowOff>
    </xdr:from>
    <xdr:to>
      <xdr:col>9</xdr:col>
      <xdr:colOff>250077</xdr:colOff>
      <xdr:row>22</xdr:row>
      <xdr:rowOff>148167</xdr:rowOff>
    </xdr:to>
    <xdr:sp macro="" textlink="">
      <xdr:nvSpPr>
        <xdr:cNvPr id="7" name="WordArt 30"/>
        <xdr:cNvSpPr>
          <a:spLocks noChangeArrowheads="1" noChangeShapeType="1"/>
        </xdr:cNvSpPr>
      </xdr:nvSpPr>
      <xdr:spPr bwMode="auto">
        <a:xfrm>
          <a:off x="1228722" y="35856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95247</xdr:colOff>
      <xdr:row>14</xdr:row>
      <xdr:rowOff>42332</xdr:rowOff>
    </xdr:from>
    <xdr:to>
      <xdr:col>9</xdr:col>
      <xdr:colOff>250077</xdr:colOff>
      <xdr:row>14</xdr:row>
      <xdr:rowOff>148167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228722" y="22140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Medica  Essalud </a:t>
          </a:r>
        </a:p>
      </xdr:txBody>
    </xdr:sp>
    <xdr:clientData/>
  </xdr:twoCellAnchor>
  <xdr:twoCellAnchor>
    <xdr:from>
      <xdr:col>22</xdr:col>
      <xdr:colOff>105830</xdr:colOff>
      <xdr:row>18</xdr:row>
      <xdr:rowOff>42332</xdr:rowOff>
    </xdr:from>
    <xdr:to>
      <xdr:col>29</xdr:col>
      <xdr:colOff>260660</xdr:colOff>
      <xdr:row>18</xdr:row>
      <xdr:rowOff>148167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6954305" y="2899832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FIN  DE  COTRATO LABORAL </a:t>
          </a:r>
        </a:p>
      </xdr:txBody>
    </xdr:sp>
    <xdr:clientData/>
  </xdr:twoCellAnchor>
  <xdr:twoCellAnchor>
    <xdr:from>
      <xdr:col>22</xdr:col>
      <xdr:colOff>105830</xdr:colOff>
      <xdr:row>22</xdr:row>
      <xdr:rowOff>52915</xdr:rowOff>
    </xdr:from>
    <xdr:to>
      <xdr:col>29</xdr:col>
      <xdr:colOff>260660</xdr:colOff>
      <xdr:row>22</xdr:row>
      <xdr:rowOff>158750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6954305" y="3596215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84664</xdr:colOff>
      <xdr:row>40</xdr:row>
      <xdr:rowOff>52915</xdr:rowOff>
    </xdr:from>
    <xdr:to>
      <xdr:col>19</xdr:col>
      <xdr:colOff>239494</xdr:colOff>
      <xdr:row>40</xdr:row>
      <xdr:rowOff>158750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4075639" y="6596590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FIN  DE  COTRATO LABORAL </a:t>
          </a:r>
        </a:p>
      </xdr:txBody>
    </xdr:sp>
    <xdr:clientData/>
  </xdr:twoCellAnchor>
  <xdr:twoCellAnchor>
    <xdr:from>
      <xdr:col>22</xdr:col>
      <xdr:colOff>63498</xdr:colOff>
      <xdr:row>40</xdr:row>
      <xdr:rowOff>52915</xdr:rowOff>
    </xdr:from>
    <xdr:to>
      <xdr:col>29</xdr:col>
      <xdr:colOff>218328</xdr:colOff>
      <xdr:row>40</xdr:row>
      <xdr:rowOff>158750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6911973" y="6596590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FIN  DE  COTRATO LABORAL </a:t>
          </a:r>
        </a:p>
      </xdr:txBody>
    </xdr:sp>
    <xdr:clientData/>
  </xdr:twoCellAnchor>
  <xdr:twoCellAnchor>
    <xdr:from>
      <xdr:col>12</xdr:col>
      <xdr:colOff>84664</xdr:colOff>
      <xdr:row>33</xdr:row>
      <xdr:rowOff>52915</xdr:rowOff>
    </xdr:from>
    <xdr:to>
      <xdr:col>19</xdr:col>
      <xdr:colOff>239494</xdr:colOff>
      <xdr:row>33</xdr:row>
      <xdr:rowOff>158750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4075639" y="5396440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PERMISO  no  REMUERADO </a:t>
          </a:r>
        </a:p>
      </xdr:txBody>
    </xdr:sp>
    <xdr:clientData/>
  </xdr:twoCellAnchor>
  <xdr:twoCellAnchor>
    <xdr:from>
      <xdr:col>22</xdr:col>
      <xdr:colOff>63498</xdr:colOff>
      <xdr:row>33</xdr:row>
      <xdr:rowOff>42332</xdr:rowOff>
    </xdr:from>
    <xdr:to>
      <xdr:col>29</xdr:col>
      <xdr:colOff>218328</xdr:colOff>
      <xdr:row>33</xdr:row>
      <xdr:rowOff>148167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911973" y="5385857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PERMISO  no  REMUERADO </a:t>
          </a:r>
        </a:p>
      </xdr:txBody>
    </xdr:sp>
    <xdr:clientData/>
  </xdr:twoCellAnchor>
  <xdr:twoCellAnchor>
    <xdr:from>
      <xdr:col>22</xdr:col>
      <xdr:colOff>42332</xdr:colOff>
      <xdr:row>36</xdr:row>
      <xdr:rowOff>42332</xdr:rowOff>
    </xdr:from>
    <xdr:to>
      <xdr:col>29</xdr:col>
      <xdr:colOff>197162</xdr:colOff>
      <xdr:row>36</xdr:row>
      <xdr:rowOff>148167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6890807" y="5900207"/>
          <a:ext cx="2155080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aTENCION mEDICA  ESSALUD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</xdr:col>
      <xdr:colOff>0</xdr:colOff>
      <xdr:row>10</xdr:row>
      <xdr:rowOff>40104</xdr:rowOff>
    </xdr:from>
    <xdr:to>
      <xdr:col>10</xdr:col>
      <xdr:colOff>154831</xdr:colOff>
      <xdr:row>10</xdr:row>
      <xdr:rowOff>145939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352550" y="152600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23</xdr:col>
      <xdr:colOff>0</xdr:colOff>
      <xdr:row>10</xdr:row>
      <xdr:rowOff>40104</xdr:rowOff>
    </xdr:from>
    <xdr:to>
      <xdr:col>30</xdr:col>
      <xdr:colOff>154831</xdr:colOff>
      <xdr:row>10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52600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3</xdr:col>
      <xdr:colOff>0</xdr:colOff>
      <xdr:row>31</xdr:row>
      <xdr:rowOff>40104</xdr:rowOff>
    </xdr:from>
    <xdr:to>
      <xdr:col>10</xdr:col>
      <xdr:colOff>154831</xdr:colOff>
      <xdr:row>31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352550" y="504072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oneCellAnchor>
    <xdr:from>
      <xdr:col>11</xdr:col>
      <xdr:colOff>268067</xdr:colOff>
      <xdr:row>14</xdr:row>
      <xdr:rowOff>67714</xdr:rowOff>
    </xdr:from>
    <xdr:ext cx="2439038" cy="800091"/>
    <xdr:sp macro="" textlink="">
      <xdr:nvSpPr>
        <xdr:cNvPr id="12" name="11 Rectángulo"/>
        <xdr:cNvSpPr/>
      </xdr:nvSpPr>
      <xdr:spPr>
        <a:xfrm rot="21051440">
          <a:off x="3947725" y="2243425"/>
          <a:ext cx="2439038" cy="8000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itchFamily="34" charset="0"/>
              <a:cs typeface="Arial" pitchFamily="34" charset="0"/>
            </a:rPr>
            <a:t>San Pedro y</a:t>
          </a:r>
        </a:p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itchFamily="34" charset="0"/>
              <a:cs typeface="Arial" pitchFamily="34" charset="0"/>
            </a:rPr>
            <a:t>San Pablo</a:t>
          </a:r>
        </a:p>
      </xdr:txBody>
    </xdr:sp>
    <xdr:clientData/>
  </xdr:oneCellAnchor>
  <xdr:twoCellAnchor>
    <xdr:from>
      <xdr:col>23</xdr:col>
      <xdr:colOff>0</xdr:colOff>
      <xdr:row>33</xdr:row>
      <xdr:rowOff>40104</xdr:rowOff>
    </xdr:from>
    <xdr:to>
      <xdr:col>30</xdr:col>
      <xdr:colOff>154831</xdr:colOff>
      <xdr:row>33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7168816" y="5374104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medica particular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</xdr:col>
      <xdr:colOff>0</xdr:colOff>
      <xdr:row>10</xdr:row>
      <xdr:rowOff>40104</xdr:rowOff>
    </xdr:from>
    <xdr:to>
      <xdr:col>10</xdr:col>
      <xdr:colOff>154831</xdr:colOff>
      <xdr:row>10</xdr:row>
      <xdr:rowOff>145939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352550" y="152600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13</xdr:col>
      <xdr:colOff>0</xdr:colOff>
      <xdr:row>10</xdr:row>
      <xdr:rowOff>40104</xdr:rowOff>
    </xdr:from>
    <xdr:to>
      <xdr:col>20</xdr:col>
      <xdr:colOff>154831</xdr:colOff>
      <xdr:row>10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4210050" y="152600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23</xdr:col>
      <xdr:colOff>0</xdr:colOff>
      <xdr:row>10</xdr:row>
      <xdr:rowOff>40104</xdr:rowOff>
    </xdr:from>
    <xdr:to>
      <xdr:col>30</xdr:col>
      <xdr:colOff>154831</xdr:colOff>
      <xdr:row>10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526004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3</xdr:col>
      <xdr:colOff>0</xdr:colOff>
      <xdr:row>31</xdr:row>
      <xdr:rowOff>40104</xdr:rowOff>
    </xdr:from>
    <xdr:to>
      <xdr:col>10</xdr:col>
      <xdr:colOff>154831</xdr:colOff>
      <xdr:row>31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352550" y="504072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13</xdr:col>
      <xdr:colOff>0</xdr:colOff>
      <xdr:row>31</xdr:row>
      <xdr:rowOff>40104</xdr:rowOff>
    </xdr:from>
    <xdr:to>
      <xdr:col>20</xdr:col>
      <xdr:colOff>154831</xdr:colOff>
      <xdr:row>31</xdr:row>
      <xdr:rowOff>145939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4210050" y="504072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23</xdr:col>
      <xdr:colOff>0</xdr:colOff>
      <xdr:row>31</xdr:row>
      <xdr:rowOff>40104</xdr:rowOff>
    </xdr:from>
    <xdr:to>
      <xdr:col>30</xdr:col>
      <xdr:colOff>154831</xdr:colOff>
      <xdr:row>31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7067550" y="504072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22</xdr:col>
      <xdr:colOff>160425</xdr:colOff>
      <xdr:row>33</xdr:row>
      <xdr:rowOff>50130</xdr:rowOff>
    </xdr:from>
    <xdr:to>
      <xdr:col>30</xdr:col>
      <xdr:colOff>24493</xdr:colOff>
      <xdr:row>33</xdr:row>
      <xdr:rowOff>155965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7038478" y="5384130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pêrmiso NO Remunerado 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</xdr:col>
      <xdr:colOff>0</xdr:colOff>
      <xdr:row>10</xdr:row>
      <xdr:rowOff>40104</xdr:rowOff>
    </xdr:from>
    <xdr:to>
      <xdr:col>10</xdr:col>
      <xdr:colOff>154831</xdr:colOff>
      <xdr:row>10</xdr:row>
      <xdr:rowOff>145939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353553" y="15340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13</xdr:col>
      <xdr:colOff>0</xdr:colOff>
      <xdr:row>10</xdr:row>
      <xdr:rowOff>40104</xdr:rowOff>
    </xdr:from>
    <xdr:to>
      <xdr:col>20</xdr:col>
      <xdr:colOff>154831</xdr:colOff>
      <xdr:row>10</xdr:row>
      <xdr:rowOff>145939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4261184" y="15340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23</xdr:col>
      <xdr:colOff>0</xdr:colOff>
      <xdr:row>10</xdr:row>
      <xdr:rowOff>40104</xdr:rowOff>
    </xdr:from>
    <xdr:to>
      <xdr:col>30</xdr:col>
      <xdr:colOff>154831</xdr:colOff>
      <xdr:row>10</xdr:row>
      <xdr:rowOff>145939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7168816" y="15340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3</xdr:col>
      <xdr:colOff>0</xdr:colOff>
      <xdr:row>31</xdr:row>
      <xdr:rowOff>40104</xdr:rowOff>
    </xdr:from>
    <xdr:to>
      <xdr:col>10</xdr:col>
      <xdr:colOff>154831</xdr:colOff>
      <xdr:row>31</xdr:row>
      <xdr:rowOff>145939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1353553" y="503320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13</xdr:col>
      <xdr:colOff>0</xdr:colOff>
      <xdr:row>31</xdr:row>
      <xdr:rowOff>40104</xdr:rowOff>
    </xdr:from>
    <xdr:to>
      <xdr:col>20</xdr:col>
      <xdr:colOff>154831</xdr:colOff>
      <xdr:row>31</xdr:row>
      <xdr:rowOff>145939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4261184" y="503320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23</xdr:col>
      <xdr:colOff>0</xdr:colOff>
      <xdr:row>31</xdr:row>
      <xdr:rowOff>40104</xdr:rowOff>
    </xdr:from>
    <xdr:to>
      <xdr:col>30</xdr:col>
      <xdr:colOff>154831</xdr:colOff>
      <xdr:row>31</xdr:row>
      <xdr:rowOff>145939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7168816" y="503320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V ac a c i o n e s   2 0 1  8 </a:t>
          </a:r>
        </a:p>
      </xdr:txBody>
    </xdr:sp>
    <xdr:clientData/>
  </xdr:twoCellAnchor>
  <xdr:twoCellAnchor>
    <xdr:from>
      <xdr:col>2</xdr:col>
      <xdr:colOff>0</xdr:colOff>
      <xdr:row>20</xdr:row>
      <xdr:rowOff>50130</xdr:rowOff>
    </xdr:from>
    <xdr:to>
      <xdr:col>9</xdr:col>
      <xdr:colOff>154830</xdr:colOff>
      <xdr:row>20</xdr:row>
      <xdr:rowOff>155965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1062789" y="324852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pêrmiso NO Remunerado  </a:t>
          </a:r>
        </a:p>
      </xdr:txBody>
    </xdr:sp>
    <xdr:clientData/>
  </xdr:twoCellAnchor>
  <xdr:twoCellAnchor>
    <xdr:from>
      <xdr:col>2</xdr:col>
      <xdr:colOff>0</xdr:colOff>
      <xdr:row>21</xdr:row>
      <xdr:rowOff>50130</xdr:rowOff>
    </xdr:from>
    <xdr:to>
      <xdr:col>9</xdr:col>
      <xdr:colOff>154830</xdr:colOff>
      <xdr:row>21</xdr:row>
      <xdr:rowOff>155965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062789" y="3418972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pêrmiso NO Remunerado  </a:t>
          </a:r>
        </a:p>
      </xdr:txBody>
    </xdr:sp>
    <xdr:clientData/>
  </xdr:twoCellAnchor>
  <xdr:twoCellAnchor>
    <xdr:from>
      <xdr:col>2</xdr:col>
      <xdr:colOff>40106</xdr:colOff>
      <xdr:row>33</xdr:row>
      <xdr:rowOff>40104</xdr:rowOff>
    </xdr:from>
    <xdr:to>
      <xdr:col>10</xdr:col>
      <xdr:colOff>44546</xdr:colOff>
      <xdr:row>33</xdr:row>
      <xdr:rowOff>160421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1102895" y="5374104"/>
          <a:ext cx="2330546" cy="12031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Cita  en  ESSALUD  desde  las 14:12 hrs 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0000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7206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7206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 editAs="oneCell">
    <xdr:from>
      <xdr:col>48</xdr:col>
      <xdr:colOff>20052</xdr:colOff>
      <xdr:row>6</xdr:row>
      <xdr:rowOff>140369</xdr:rowOff>
    </xdr:from>
    <xdr:to>
      <xdr:col>61</xdr:col>
      <xdr:colOff>561473</xdr:colOff>
      <xdr:row>27</xdr:row>
      <xdr:rowOff>20054</xdr:rowOff>
    </xdr:to>
    <xdr:pic>
      <xdr:nvPicPr>
        <xdr:cNvPr id="2857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417" t="20852" r="5069" b="6480"/>
        <a:stretch>
          <a:fillRect/>
        </a:stretch>
      </xdr:blipFill>
      <xdr:spPr bwMode="auto">
        <a:xfrm>
          <a:off x="14107026" y="872290"/>
          <a:ext cx="6156158" cy="3378869"/>
        </a:xfrm>
        <a:prstGeom prst="roundRect">
          <a:avLst>
            <a:gd name="adj" fmla="val 6281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203</xdr:row>
      <xdr:rowOff>157180</xdr:rowOff>
    </xdr:from>
    <xdr:to>
      <xdr:col>40</xdr:col>
      <xdr:colOff>238125</xdr:colOff>
      <xdr:row>203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904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206</xdr:row>
      <xdr:rowOff>211051</xdr:rowOff>
    </xdr:from>
    <xdr:to>
      <xdr:col>33</xdr:col>
      <xdr:colOff>47625</xdr:colOff>
      <xdr:row>206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5110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206</xdr:row>
      <xdr:rowOff>211051</xdr:rowOff>
    </xdr:from>
    <xdr:to>
      <xdr:col>57</xdr:col>
      <xdr:colOff>80895</xdr:colOff>
      <xdr:row>206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5110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</xdr:col>
      <xdr:colOff>0</xdr:colOff>
      <xdr:row>10</xdr:row>
      <xdr:rowOff>50130</xdr:rowOff>
    </xdr:from>
    <xdr:to>
      <xdr:col>10</xdr:col>
      <xdr:colOff>154831</xdr:colOff>
      <xdr:row>10</xdr:row>
      <xdr:rowOff>155965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353553" y="1544051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904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5110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5110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50128</xdr:colOff>
      <xdr:row>13</xdr:row>
      <xdr:rowOff>50130</xdr:rowOff>
    </xdr:from>
    <xdr:to>
      <xdr:col>9</xdr:col>
      <xdr:colOff>204958</xdr:colOff>
      <xdr:row>13</xdr:row>
      <xdr:rowOff>155965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1112917" y="205539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22</xdr:col>
      <xdr:colOff>210549</xdr:colOff>
      <xdr:row>12</xdr:row>
      <xdr:rowOff>40103</xdr:rowOff>
    </xdr:from>
    <xdr:to>
      <xdr:col>30</xdr:col>
      <xdr:colOff>74617</xdr:colOff>
      <xdr:row>12</xdr:row>
      <xdr:rowOff>145938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88602" y="187491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140364</xdr:colOff>
      <xdr:row>41</xdr:row>
      <xdr:rowOff>60156</xdr:rowOff>
    </xdr:from>
    <xdr:to>
      <xdr:col>10</xdr:col>
      <xdr:colOff>4431</xdr:colOff>
      <xdr:row>41</xdr:row>
      <xdr:rowOff>165991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1203153" y="675773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12</xdr:col>
      <xdr:colOff>100269</xdr:colOff>
      <xdr:row>41</xdr:row>
      <xdr:rowOff>50130</xdr:rowOff>
    </xdr:from>
    <xdr:to>
      <xdr:col>21</xdr:col>
      <xdr:colOff>30085</xdr:colOff>
      <xdr:row>41</xdr:row>
      <xdr:rowOff>160421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4070690" y="6747709"/>
          <a:ext cx="2546684" cy="11029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SUSPENCION  X  FALTAS   REITERADA  </a:t>
          </a:r>
        </a:p>
      </xdr:txBody>
    </xdr:sp>
    <xdr:clientData/>
  </xdr:twoCellAnchor>
  <xdr:twoCellAnchor>
    <xdr:from>
      <xdr:col>22</xdr:col>
      <xdr:colOff>90234</xdr:colOff>
      <xdr:row>41</xdr:row>
      <xdr:rowOff>50130</xdr:rowOff>
    </xdr:from>
    <xdr:to>
      <xdr:col>31</xdr:col>
      <xdr:colOff>10525</xdr:colOff>
      <xdr:row>41</xdr:row>
      <xdr:rowOff>160421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6968287" y="6747709"/>
          <a:ext cx="2537159" cy="11029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SUSPENCION  X  FALTAS   REITERADA 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65</xdr:row>
      <xdr:rowOff>157180</xdr:rowOff>
    </xdr:from>
    <xdr:to>
      <xdr:col>40</xdr:col>
      <xdr:colOff>238125</xdr:colOff>
      <xdr:row>65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52038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26</xdr:col>
      <xdr:colOff>38100</xdr:colOff>
      <xdr:row>67</xdr:row>
      <xdr:rowOff>211051</xdr:rowOff>
    </xdr:from>
    <xdr:to>
      <xdr:col>34</xdr:col>
      <xdr:colOff>47625</xdr:colOff>
      <xdr:row>67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09171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70</xdr:row>
      <xdr:rowOff>211051</xdr:rowOff>
    </xdr:from>
    <xdr:to>
      <xdr:col>57</xdr:col>
      <xdr:colOff>80895</xdr:colOff>
      <xdr:row>70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5934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202</xdr:row>
      <xdr:rowOff>157180</xdr:rowOff>
    </xdr:from>
    <xdr:to>
      <xdr:col>40</xdr:col>
      <xdr:colOff>238125</xdr:colOff>
      <xdr:row>202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77904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205</xdr:row>
      <xdr:rowOff>211051</xdr:rowOff>
    </xdr:from>
    <xdr:to>
      <xdr:col>33</xdr:col>
      <xdr:colOff>47625</xdr:colOff>
      <xdr:row>205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5110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205</xdr:row>
      <xdr:rowOff>211051</xdr:rowOff>
    </xdr:from>
    <xdr:to>
      <xdr:col>57</xdr:col>
      <xdr:colOff>80895</xdr:colOff>
      <xdr:row>205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5110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2</xdr:col>
      <xdr:colOff>130338</xdr:colOff>
      <xdr:row>10</xdr:row>
      <xdr:rowOff>50130</xdr:rowOff>
    </xdr:from>
    <xdr:to>
      <xdr:col>9</xdr:col>
      <xdr:colOff>285168</xdr:colOff>
      <xdr:row>10</xdr:row>
      <xdr:rowOff>155965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193127" y="1544051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110287</xdr:colOff>
      <xdr:row>14</xdr:row>
      <xdr:rowOff>50130</xdr:rowOff>
    </xdr:from>
    <xdr:to>
      <xdr:col>9</xdr:col>
      <xdr:colOff>265117</xdr:colOff>
      <xdr:row>14</xdr:row>
      <xdr:rowOff>155965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1173076" y="2225841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medica particular  </a:t>
          </a:r>
        </a:p>
      </xdr:txBody>
    </xdr:sp>
    <xdr:clientData/>
  </xdr:twoCellAnchor>
  <xdr:twoCellAnchor>
    <xdr:from>
      <xdr:col>22</xdr:col>
      <xdr:colOff>110286</xdr:colOff>
      <xdr:row>20</xdr:row>
      <xdr:rowOff>60156</xdr:rowOff>
    </xdr:from>
    <xdr:to>
      <xdr:col>29</xdr:col>
      <xdr:colOff>265117</xdr:colOff>
      <xdr:row>20</xdr:row>
      <xdr:rowOff>165991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6988339" y="3258551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2.xml"/><Relationship Id="rId5" Type="http://schemas.openxmlformats.org/officeDocument/2006/relationships/vmlDrawing" Target="../drawings/vmlDrawing12.vm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4.xml"/><Relationship Id="rId5" Type="http://schemas.openxmlformats.org/officeDocument/2006/relationships/vmlDrawing" Target="../drawings/vmlDrawing14.vm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5.xml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youtube.com/watch?v=4viSziGUps4" TargetMode="External"/><Relationship Id="rId1" Type="http://schemas.openxmlformats.org/officeDocument/2006/relationships/hyperlink" Target="http://www.youtube.com/watch?v=4viSziGUps4" TargetMode="External"/><Relationship Id="rId6" Type="http://schemas.openxmlformats.org/officeDocument/2006/relationships/comments" Target="../comments16.xml"/><Relationship Id="rId5" Type="http://schemas.openxmlformats.org/officeDocument/2006/relationships/vmlDrawing" Target="../drawings/vmlDrawing16.vm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2.xml"/><Relationship Id="rId4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3.xml"/><Relationship Id="rId4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4.xml"/><Relationship Id="rId4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5.xml"/><Relationship Id="rId4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6.xml"/><Relationship Id="rId4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7.xml"/><Relationship Id="rId4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8.xml"/><Relationship Id="rId4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9.xml"/><Relationship Id="rId4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tabSelected="1"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M32" sqref="M32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931" customWidth="1"/>
    <col min="5" max="5" width="4.28515625" style="3" customWidth="1"/>
    <col min="6" max="6" width="4.28515625" style="4" customWidth="1"/>
    <col min="7" max="8" width="4.28515625" style="931" customWidth="1"/>
    <col min="9" max="9" width="4.28515625" style="4" customWidth="1"/>
    <col min="10" max="10" width="4.28515625" style="931" customWidth="1"/>
    <col min="11" max="12" width="4.28515625" style="5" customWidth="1"/>
    <col min="13" max="26" width="4.28515625" style="931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43299</v>
      </c>
      <c r="C1" s="931" t="s">
        <v>0</v>
      </c>
      <c r="AN1" s="7"/>
      <c r="AO1" s="7"/>
      <c r="AR1" s="1340">
        <f>+AR46+AT46</f>
        <v>147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43300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931">
        <v>0</v>
      </c>
    </row>
    <row r="5" spans="1:58" ht="10.9" customHeight="1">
      <c r="B5" s="1244" t="s">
        <v>1</v>
      </c>
      <c r="C5" s="1140">
        <v>43293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43294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43295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43296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43293</v>
      </c>
      <c r="AW7" s="1296">
        <f>+M5</f>
        <v>43294</v>
      </c>
      <c r="AX7" s="1296">
        <f>+W5</f>
        <v>43295</v>
      </c>
      <c r="AY7" s="1309">
        <f>+AG5</f>
        <v>43296</v>
      </c>
      <c r="AZ7" s="1296">
        <f>+C26</f>
        <v>43297</v>
      </c>
      <c r="BA7" s="1296">
        <f>+M26</f>
        <v>43298</v>
      </c>
      <c r="BB7" s="1296">
        <f>+W26</f>
        <v>43299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8</v>
      </c>
      <c r="L11" s="20">
        <f t="shared" ref="L11:L24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0" si="5">+N11-M11-O11</f>
        <v>8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8</v>
      </c>
      <c r="V11" s="20">
        <f t="shared" ref="V11:V20" si="8">IF(M11&gt;0,(P11+S11)+IF(U$5&gt;0,P11,-8),0)+IF(AE$5&gt;0,S11,0)</f>
        <v>0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-1</v>
      </c>
      <c r="AQ11" s="1298"/>
      <c r="AR11" s="1299">
        <f t="shared" ref="AR11:AR20" si="16">ROUND(BD11*AP11,1)</f>
        <v>-4.5</v>
      </c>
      <c r="AS11" s="1300"/>
      <c r="AT11" s="338">
        <f t="shared" ref="AT11:AT24" si="17">IF(AT32&gt;0,AT32*$AT$10,0)</f>
        <v>16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-1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-4.5464285714285708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20</v>
      </c>
      <c r="E12" s="30">
        <v>1</v>
      </c>
      <c r="F12" s="31">
        <f t="shared" si="1"/>
        <v>12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4</v>
      </c>
      <c r="M12" s="914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18</v>
      </c>
      <c r="Y12" s="30">
        <v>1</v>
      </c>
      <c r="Z12" s="31">
        <f t="shared" si="9"/>
        <v>10</v>
      </c>
      <c r="AA12" s="344"/>
      <c r="AB12" s="344"/>
      <c r="AC12" s="31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2</v>
      </c>
      <c r="AG12" s="37">
        <v>7</v>
      </c>
      <c r="AH12" s="342">
        <v>16</v>
      </c>
      <c r="AI12" s="30">
        <v>1</v>
      </c>
      <c r="AJ12" s="38">
        <f>+AH12-AG12-AI12</f>
        <v>8</v>
      </c>
      <c r="AK12" s="342"/>
      <c r="AL12" s="342"/>
      <c r="AM12" s="31">
        <f t="shared" si="13"/>
        <v>0</v>
      </c>
      <c r="AN12" s="39"/>
      <c r="AO12" s="40">
        <f t="shared" si="14"/>
        <v>16</v>
      </c>
      <c r="AP12" s="1282">
        <f t="shared" si="15"/>
        <v>25</v>
      </c>
      <c r="AQ12" s="1283"/>
      <c r="AR12" s="1284">
        <f t="shared" si="16"/>
        <v>128.30000000000001</v>
      </c>
      <c r="AS12" s="1285"/>
      <c r="AT12" s="345">
        <f t="shared" si="17"/>
        <v>20</v>
      </c>
      <c r="AV12" s="26">
        <f t="shared" si="18"/>
        <v>4</v>
      </c>
      <c r="AW12" s="26">
        <f t="shared" si="19"/>
        <v>0</v>
      </c>
      <c r="AX12" s="26">
        <f t="shared" si="20"/>
        <v>2</v>
      </c>
      <c r="AY12" s="27">
        <f t="shared" si="21"/>
        <v>16</v>
      </c>
      <c r="AZ12" s="26">
        <f t="shared" si="22"/>
        <v>3</v>
      </c>
      <c r="BA12" s="26">
        <f t="shared" si="23"/>
        <v>0</v>
      </c>
      <c r="BB12" s="26">
        <f t="shared" si="24"/>
        <v>0</v>
      </c>
      <c r="BC12" s="28"/>
      <c r="BD12" s="339">
        <f t="shared" si="25"/>
        <v>5.1339285714285712</v>
      </c>
      <c r="BE12" s="340">
        <f t="shared" si="26"/>
        <v>128.34821428571428</v>
      </c>
      <c r="BF12" s="341">
        <f t="shared" si="27"/>
        <v>82.142857142857139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914">
        <v>7</v>
      </c>
      <c r="N13" s="342">
        <v>12</v>
      </c>
      <c r="O13" s="30">
        <v>0</v>
      </c>
      <c r="P13" s="31">
        <f t="shared" si="5"/>
        <v>5</v>
      </c>
      <c r="Q13" s="33"/>
      <c r="R13" s="346">
        <v>3</v>
      </c>
      <c r="S13" s="31">
        <f t="shared" si="6"/>
        <v>3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344"/>
      <c r="AC13" s="31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911"/>
      <c r="AO13" s="40">
        <f t="shared" si="14"/>
        <v>0</v>
      </c>
      <c r="AP13" s="1282">
        <f t="shared" si="15"/>
        <v>-1</v>
      </c>
      <c r="AQ13" s="1283"/>
      <c r="AR13" s="1284">
        <f t="shared" si="16"/>
        <v>-5.0999999999999996</v>
      </c>
      <c r="AS13" s="1285"/>
      <c r="AT13" s="345">
        <f t="shared" si="17"/>
        <v>16</v>
      </c>
      <c r="AV13" s="26">
        <f t="shared" si="18"/>
        <v>0</v>
      </c>
      <c r="AW13" s="26">
        <f t="shared" si="19"/>
        <v>0</v>
      </c>
      <c r="AX13" s="26">
        <f t="shared" si="20"/>
        <v>0</v>
      </c>
      <c r="AY13" s="27">
        <f t="shared" si="21"/>
        <v>0</v>
      </c>
      <c r="AZ13" s="26">
        <f t="shared" si="22"/>
        <v>-1</v>
      </c>
      <c r="BA13" s="26">
        <f t="shared" si="23"/>
        <v>0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-5.1339285714285712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344"/>
      <c r="AC14" s="31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0</v>
      </c>
      <c r="AG14" s="37">
        <v>7</v>
      </c>
      <c r="AH14" s="342">
        <v>16</v>
      </c>
      <c r="AI14" s="30">
        <v>1</v>
      </c>
      <c r="AJ14" s="38">
        <f t="shared" si="12"/>
        <v>8</v>
      </c>
      <c r="AK14" s="342"/>
      <c r="AL14" s="342"/>
      <c r="AM14" s="31">
        <f t="shared" si="13"/>
        <v>0</v>
      </c>
      <c r="AN14" s="47"/>
      <c r="AO14" s="40">
        <f t="shared" si="14"/>
        <v>16</v>
      </c>
      <c r="AP14" s="1282">
        <f t="shared" si="15"/>
        <v>19</v>
      </c>
      <c r="AQ14" s="1283"/>
      <c r="AR14" s="1284">
        <f t="shared" si="16"/>
        <v>79.2</v>
      </c>
      <c r="AS14" s="1285"/>
      <c r="AT14" s="345">
        <f t="shared" si="17"/>
        <v>20</v>
      </c>
      <c r="AV14" s="26">
        <f t="shared" si="18"/>
        <v>2</v>
      </c>
      <c r="AW14" s="26">
        <f t="shared" si="19"/>
        <v>1</v>
      </c>
      <c r="AX14" s="26">
        <f t="shared" si="20"/>
        <v>0</v>
      </c>
      <c r="AY14" s="27">
        <f t="shared" si="21"/>
        <v>16</v>
      </c>
      <c r="AZ14" s="26">
        <f t="shared" si="22"/>
        <v>0</v>
      </c>
      <c r="BA14" s="26">
        <f t="shared" si="23"/>
        <v>0</v>
      </c>
      <c r="BB14" s="26">
        <f t="shared" si="24"/>
        <v>0</v>
      </c>
      <c r="BC14" s="28"/>
      <c r="BD14" s="339">
        <f t="shared" si="25"/>
        <v>4.1666785714285712</v>
      </c>
      <c r="BE14" s="340">
        <f t="shared" si="26"/>
        <v>79.166892857142855</v>
      </c>
      <c r="BF14" s="341">
        <f t="shared" si="27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17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914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53">
        <v>0.5</v>
      </c>
      <c r="AC15" s="31">
        <f t="shared" si="10"/>
        <v>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1</v>
      </c>
      <c r="AQ15" s="1295"/>
      <c r="AR15" s="1284">
        <f t="shared" si="16"/>
        <v>5.0999999999999996</v>
      </c>
      <c r="AS15" s="1285"/>
      <c r="AT15" s="345">
        <f t="shared" si="17"/>
        <v>16</v>
      </c>
      <c r="AV15" s="26">
        <f t="shared" si="18"/>
        <v>1</v>
      </c>
      <c r="AW15" s="26">
        <f t="shared" si="19"/>
        <v>0</v>
      </c>
      <c r="AX15" s="26">
        <f t="shared" si="20"/>
        <v>-1</v>
      </c>
      <c r="AY15" s="27">
        <f t="shared" si="21"/>
        <v>0</v>
      </c>
      <c r="AZ15" s="26">
        <f t="shared" si="22"/>
        <v>1</v>
      </c>
      <c r="BA15" s="26">
        <f t="shared" si="23"/>
        <v>0</v>
      </c>
      <c r="BB15" s="26">
        <f t="shared" si="24"/>
        <v>0</v>
      </c>
      <c r="BC15" s="28"/>
      <c r="BD15" s="339">
        <f t="shared" si="25"/>
        <v>5.1339285714285712</v>
      </c>
      <c r="BE15" s="349">
        <f t="shared" si="26"/>
        <v>5.1339285714285712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16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16</v>
      </c>
      <c r="Y18" s="30">
        <v>1</v>
      </c>
      <c r="Z18" s="31">
        <f>+X18-W18-Y18</f>
        <v>8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0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/>
      <c r="AO18" s="40">
        <f>(AJ18*2+AM18)</f>
        <v>16</v>
      </c>
      <c r="AP18" s="1282">
        <f t="shared" si="15"/>
        <v>21</v>
      </c>
      <c r="AQ18" s="1283"/>
      <c r="AR18" s="1284">
        <f t="shared" si="16"/>
        <v>81.400000000000006</v>
      </c>
      <c r="AS18" s="1285"/>
      <c r="AT18" s="345">
        <f t="shared" si="17"/>
        <v>20</v>
      </c>
      <c r="AV18" s="26">
        <f t="shared" si="18"/>
        <v>2</v>
      </c>
      <c r="AW18" s="26">
        <f t="shared" si="19"/>
        <v>2</v>
      </c>
      <c r="AX18" s="26">
        <f t="shared" si="20"/>
        <v>0</v>
      </c>
      <c r="AY18" s="27">
        <f t="shared" si="21"/>
        <v>16</v>
      </c>
      <c r="AZ18" s="26">
        <f t="shared" si="22"/>
        <v>1</v>
      </c>
      <c r="BA18" s="26">
        <f t="shared" si="23"/>
        <v>0</v>
      </c>
      <c r="BB18" s="26">
        <f t="shared" si="24"/>
        <v>0</v>
      </c>
      <c r="BC18" s="28"/>
      <c r="BD18" s="339">
        <f>+I78</f>
        <v>3.8750035714285715</v>
      </c>
      <c r="BE18" s="349">
        <f t="shared" si="26"/>
        <v>81.37507500000001</v>
      </c>
      <c r="BF18" s="350">
        <f t="shared" si="27"/>
        <v>62.000057142857145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915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18</v>
      </c>
      <c r="E21" s="459">
        <v>1</v>
      </c>
      <c r="F21" s="460">
        <f>+D21-C21-E21</f>
        <v>10</v>
      </c>
      <c r="G21" s="459"/>
      <c r="H21" s="459"/>
      <c r="I21" s="460">
        <f>+H21-G21</f>
        <v>0</v>
      </c>
      <c r="J21" s="459"/>
      <c r="K21" s="32">
        <f t="shared" si="3"/>
        <v>8</v>
      </c>
      <c r="L21" s="461">
        <f>IF(C21&gt;0,(F21+I21)+IF(K$5&gt;0,F21,-8),0)+IF(U$5&gt;0,I21,0)</f>
        <v>2</v>
      </c>
      <c r="M21" s="916">
        <v>7</v>
      </c>
      <c r="N21" s="459">
        <v>18</v>
      </c>
      <c r="O21" s="459">
        <v>1</v>
      </c>
      <c r="P21" s="460">
        <f>+N21-M21-O21</f>
        <v>10</v>
      </c>
      <c r="Q21" s="459"/>
      <c r="R21" s="459"/>
      <c r="S21" s="460">
        <f>+R21-Q21</f>
        <v>0</v>
      </c>
      <c r="T21" s="459"/>
      <c r="U21" s="32">
        <f t="shared" si="7"/>
        <v>8</v>
      </c>
      <c r="V21" s="461">
        <f>IF(M21&gt;0,(P21+S21)+IF(U$5&gt;0,P21,-8),0)+IF(AE$5&gt;0,S21,0)</f>
        <v>2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2</v>
      </c>
      <c r="AG21" s="459">
        <v>7</v>
      </c>
      <c r="AH21" s="459">
        <v>16</v>
      </c>
      <c r="AI21" s="459">
        <v>1</v>
      </c>
      <c r="AJ21" s="38">
        <f>+AH21-AG21-AI21</f>
        <v>8</v>
      </c>
      <c r="AK21" s="459"/>
      <c r="AL21" s="459"/>
      <c r="AM21" s="460">
        <f>+AL21-AK21</f>
        <v>0</v>
      </c>
      <c r="AN21" s="725"/>
      <c r="AO21" s="465">
        <f>(AJ21*2+AM21)</f>
        <v>16</v>
      </c>
      <c r="AP21" s="1290">
        <f t="shared" si="15"/>
        <v>24</v>
      </c>
      <c r="AQ21" s="1291"/>
      <c r="AR21" s="1292">
        <f>ROUND(BD21*AP21,1)</f>
        <v>93</v>
      </c>
      <c r="AS21" s="1293"/>
      <c r="AT21" s="488">
        <f t="shared" si="17"/>
        <v>20</v>
      </c>
      <c r="AV21" s="69">
        <f>+L21</f>
        <v>2</v>
      </c>
      <c r="AW21" s="69">
        <f>+V21</f>
        <v>2</v>
      </c>
      <c r="AX21" s="69">
        <f>+AF21</f>
        <v>2</v>
      </c>
      <c r="AY21" s="70">
        <f>+AO21</f>
        <v>16</v>
      </c>
      <c r="AZ21" s="69">
        <f>+L42</f>
        <v>2</v>
      </c>
      <c r="BA21" s="69">
        <f>+V42</f>
        <v>0</v>
      </c>
      <c r="BB21" s="69">
        <f>+AF42</f>
        <v>0</v>
      </c>
      <c r="BC21" s="28"/>
      <c r="BD21" s="339">
        <f>+I82</f>
        <v>3.875</v>
      </c>
      <c r="BE21" s="351">
        <f>+BD21*AP21</f>
        <v>93</v>
      </c>
      <c r="BF21" s="352">
        <f>+BD21*AY21</f>
        <v>62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3"/>
        <v>8</v>
      </c>
      <c r="L22" s="461">
        <f>IF(C22&gt;0,(F22+I22)+IF(K$5&gt;0,F22,-8),0)+IF(U$5&gt;0,I22,0)</f>
        <v>2</v>
      </c>
      <c r="M22" s="916">
        <v>8</v>
      </c>
      <c r="N22" s="459">
        <v>18</v>
      </c>
      <c r="O22" s="459">
        <v>1</v>
      </c>
      <c r="P22" s="460">
        <f>+N22-M22-O22</f>
        <v>9</v>
      </c>
      <c r="Q22" s="459"/>
      <c r="R22" s="459"/>
      <c r="S22" s="460">
        <f>+R22-Q22</f>
        <v>0</v>
      </c>
      <c r="T22" s="459"/>
      <c r="U22" s="32">
        <f t="shared" si="7"/>
        <v>8</v>
      </c>
      <c r="V22" s="461">
        <f>IF(M22&gt;0,(P22+S22)+IF(U$5&gt;0,P22,-8),0)+IF(AE$5&gt;0,S22,0)</f>
        <v>1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2</v>
      </c>
      <c r="AG22" s="459"/>
      <c r="AH22" s="459"/>
      <c r="AI22" s="459"/>
      <c r="AJ22" s="38">
        <f>+AH22-AG22-AI22</f>
        <v>0</v>
      </c>
      <c r="AK22" s="459"/>
      <c r="AL22" s="459"/>
      <c r="AM22" s="460">
        <f>+AL22-AK22</f>
        <v>0</v>
      </c>
      <c r="AN22" s="725"/>
      <c r="AO22" s="465">
        <f>(AJ22*2+AM22)</f>
        <v>0</v>
      </c>
      <c r="AP22" s="1270">
        <f t="shared" si="15"/>
        <v>7</v>
      </c>
      <c r="AQ22" s="1271"/>
      <c r="AR22" s="1272">
        <f>ROUND(BD22*AP22,1)</f>
        <v>27.1</v>
      </c>
      <c r="AS22" s="1273"/>
      <c r="AT22" s="359">
        <f t="shared" si="17"/>
        <v>16</v>
      </c>
      <c r="AV22" s="69">
        <f>+L22</f>
        <v>2</v>
      </c>
      <c r="AW22" s="69">
        <f>+V22</f>
        <v>1</v>
      </c>
      <c r="AX22" s="69">
        <f>+AF22</f>
        <v>2</v>
      </c>
      <c r="AY22" s="70">
        <f>+AO22</f>
        <v>0</v>
      </c>
      <c r="AZ22" s="69">
        <f>+L43</f>
        <v>2</v>
      </c>
      <c r="BA22" s="69">
        <f>+V43</f>
        <v>0</v>
      </c>
      <c r="BB22" s="69">
        <f>+AF43</f>
        <v>0</v>
      </c>
      <c r="BC22" s="54"/>
      <c r="BD22" s="339">
        <f>+I83</f>
        <v>3.875</v>
      </c>
      <c r="BE22" s="351">
        <f>+BD22*AP22</f>
        <v>27.125</v>
      </c>
      <c r="BF22" s="352">
        <f>+BD22*AY22</f>
        <v>0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18</v>
      </c>
      <c r="O23" s="87">
        <v>1</v>
      </c>
      <c r="P23" s="88">
        <f>+N23-M23-O23</f>
        <v>10</v>
      </c>
      <c r="Q23" s="87"/>
      <c r="R23" s="87"/>
      <c r="S23" s="88">
        <f>+R23-Q23</f>
        <v>0</v>
      </c>
      <c r="T23" s="87"/>
      <c r="U23" s="121">
        <f>+S23+P23-V23</f>
        <v>8</v>
      </c>
      <c r="V23" s="89">
        <f>IF(M23&gt;0,(P23+S23)+IF(U$5&gt;0,P23,-8),0)+IF(AE$5&gt;0,S23,0)</f>
        <v>2</v>
      </c>
      <c r="W23" s="87">
        <v>7</v>
      </c>
      <c r="X23" s="87">
        <v>18</v>
      </c>
      <c r="Y23" s="87">
        <v>1</v>
      </c>
      <c r="Z23" s="88">
        <f>+X23-W23-Y23</f>
        <v>10</v>
      </c>
      <c r="AA23" s="87"/>
      <c r="AB23" s="91"/>
      <c r="AC23" s="88">
        <f>+AB23-AA23</f>
        <v>0</v>
      </c>
      <c r="AD23" s="87"/>
      <c r="AE23" s="121">
        <f>+AC23+Z23-IF(AE$5&gt;0,AF23/2,AF23)</f>
        <v>8</v>
      </c>
      <c r="AF23" s="89">
        <f t="shared" si="28"/>
        <v>2</v>
      </c>
      <c r="AG23" s="87"/>
      <c r="AH23" s="87"/>
      <c r="AI23" s="87"/>
      <c r="AJ23" s="829">
        <f t="shared" si="12"/>
        <v>0</v>
      </c>
      <c r="AK23" s="87"/>
      <c r="AL23" s="87"/>
      <c r="AM23" s="88">
        <f>+AL23-AK23</f>
        <v>0</v>
      </c>
      <c r="AN23" s="830"/>
      <c r="AO23" s="94">
        <f>(AJ23*2+AM23)</f>
        <v>0</v>
      </c>
      <c r="AP23" s="1274">
        <f t="shared" si="15"/>
        <v>8</v>
      </c>
      <c r="AQ23" s="1275"/>
      <c r="AR23" s="1276">
        <f>ROUND(BD23*AP23,1)</f>
        <v>31</v>
      </c>
      <c r="AS23" s="1277"/>
      <c r="AT23" s="537">
        <f t="shared" si="17"/>
        <v>16</v>
      </c>
      <c r="AU23" s="55"/>
      <c r="AV23" s="538">
        <f>+L23</f>
        <v>2</v>
      </c>
      <c r="AW23" s="538">
        <f>+V23</f>
        <v>2</v>
      </c>
      <c r="AX23" s="538">
        <f>+AF23</f>
        <v>2</v>
      </c>
      <c r="AY23" s="538">
        <f>+AO23</f>
        <v>0</v>
      </c>
      <c r="AZ23" s="538">
        <f>+L44</f>
        <v>2</v>
      </c>
      <c r="BA23" s="538">
        <f>+V44</f>
        <v>0</v>
      </c>
      <c r="BB23" s="538">
        <f>+AF44</f>
        <v>0</v>
      </c>
      <c r="BC23" s="28"/>
      <c r="BD23" s="539">
        <f>+I81</f>
        <v>3.875</v>
      </c>
      <c r="BE23" s="539">
        <f>+BD23*AP23</f>
        <v>31</v>
      </c>
      <c r="BF23" s="539">
        <f>+BD23*AY23</f>
        <v>0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435.46875357142858</v>
      </c>
      <c r="BF25" s="1242">
        <f>SUM(BF11:BF24)</f>
        <v>272.80977142857142</v>
      </c>
    </row>
    <row r="26" spans="1:58" ht="10.9" customHeight="1">
      <c r="B26" s="1244" t="s">
        <v>1</v>
      </c>
      <c r="C26" s="1140">
        <f>1+AG5</f>
        <v>43297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43298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43299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43293</v>
      </c>
      <c r="AJ26" s="1218">
        <f t="shared" ref="AJ26:AO26" si="29">1+AI26</f>
        <v>43294</v>
      </c>
      <c r="AK26" s="1218">
        <f t="shared" si="29"/>
        <v>43295</v>
      </c>
      <c r="AL26" s="1219">
        <f t="shared" si="29"/>
        <v>43296</v>
      </c>
      <c r="AM26" s="1219">
        <f t="shared" si="29"/>
        <v>43297</v>
      </c>
      <c r="AN26" s="1220">
        <f t="shared" si="29"/>
        <v>43298</v>
      </c>
      <c r="AO26" s="1220">
        <f t="shared" si="29"/>
        <v>43299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43296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103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39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/>
      <c r="N32" s="342"/>
      <c r="O32" s="30"/>
      <c r="P32" s="31">
        <f t="shared" ref="P32:P45" si="34">+N32-M32-O32</f>
        <v>0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0</v>
      </c>
      <c r="V32" s="20">
        <f>IF(M32&gt;0,(P32+S32)+IF(U$26&gt;0,P32,-8),0)+IF(AE$26&gt;0,S32,0)</f>
        <v>0</v>
      </c>
      <c r="W32" s="369"/>
      <c r="X32" s="370"/>
      <c r="Y32" s="108"/>
      <c r="Z32" s="109">
        <f t="shared" ref="Z32:Z45" si="37">+X32-W32-Y32</f>
        <v>0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0</v>
      </c>
      <c r="AF32" s="20">
        <f>IF(W32&gt;0,(Z32+AC32)+IF(AE$26&gt;0,Z32,-8),0)+IF(AO$26&gt;0,AC32,0)</f>
        <v>0</v>
      </c>
      <c r="AG32" s="55"/>
      <c r="AH32" s="112">
        <v>0</v>
      </c>
      <c r="AI32" s="113">
        <f t="shared" ref="AI32:AI45" si="40">+K11+(IF(ISBLANK($K$5),-8,0))</f>
        <v>0</v>
      </c>
      <c r="AJ32" s="113">
        <f t="shared" ref="AJ32:AJ45" si="41">IF(ISBLANK($U$5),-8,0)+U11</f>
        <v>0</v>
      </c>
      <c r="AK32" s="113">
        <f>IF(ISBLANK($AE$5),-8,0)+AE11</f>
        <v>0.5</v>
      </c>
      <c r="AL32" s="113">
        <f t="shared" ref="AL32:AL45" si="42">IF(ISBLANK($AO$5),-8,0)+AO11+AW32</f>
        <v>0</v>
      </c>
      <c r="AM32" s="113">
        <f t="shared" ref="AM32:AM45" si="43">IF(ISBLANK($K$26),-8,0)+K32</f>
        <v>0</v>
      </c>
      <c r="AN32" s="113">
        <f t="shared" ref="AN32:AN45" si="44">IF(ISBLANK($U$26),-8,0)+U32</f>
        <v>-8</v>
      </c>
      <c r="AO32" s="113">
        <f t="shared" ref="AO32:AO45" si="45">IF(ISBLANK($AE$26),-8,0)+AE32</f>
        <v>-8</v>
      </c>
      <c r="AP32" s="114">
        <f t="shared" ref="AP32:AP45" si="46">SUM(AH32:AO32)</f>
        <v>-15.5</v>
      </c>
      <c r="AQ32" s="55"/>
      <c r="AR32" s="1159">
        <f t="shared" ref="AR32:AR40" si="47">+X71*Q71</f>
        <v>0</v>
      </c>
      <c r="AS32" s="1197"/>
      <c r="AT32" s="117">
        <f t="shared" ref="AT32:AT41" si="48">IF(K11+L11&gt;0,1,0)+IF(U11+V11&gt;0,1,0)+IF(AE11+AF11&gt;0,1,0)+IF(AO11&gt;3,1,0)+IF(K32+L32&gt;0,1,0)+IF(U32+V32&gt;0,1,0)+IF(AE32+AF32&gt;0,1,0)</f>
        <v>4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8</v>
      </c>
      <c r="D33" s="342">
        <v>20</v>
      </c>
      <c r="E33" s="30">
        <v>1</v>
      </c>
      <c r="F33" s="31">
        <f t="shared" si="31"/>
        <v>11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3</v>
      </c>
      <c r="M33" s="342"/>
      <c r="N33" s="342"/>
      <c r="O33" s="30"/>
      <c r="P33" s="31">
        <f t="shared" si="34"/>
        <v>0</v>
      </c>
      <c r="Q33" s="346"/>
      <c r="R33" s="346"/>
      <c r="S33" s="31">
        <f t="shared" si="35"/>
        <v>0</v>
      </c>
      <c r="T33" s="30"/>
      <c r="U33" s="32">
        <f t="shared" si="36"/>
        <v>0</v>
      </c>
      <c r="V33" s="20">
        <f>IF(M33&gt;0,(P33+S33)+IF(U$26&gt;0,P33,-8),0)+IF(AE$26&gt;0,S33,0)</f>
        <v>0</v>
      </c>
      <c r="W33" s="334"/>
      <c r="X33" s="342"/>
      <c r="Y33" s="30"/>
      <c r="Z33" s="31">
        <f t="shared" si="37"/>
        <v>0</v>
      </c>
      <c r="AA33" s="342"/>
      <c r="AB33" s="346"/>
      <c r="AC33" s="31">
        <f t="shared" si="38"/>
        <v>0</v>
      </c>
      <c r="AD33" s="30"/>
      <c r="AE33" s="32">
        <f t="shared" si="39"/>
        <v>0</v>
      </c>
      <c r="AF33" s="20">
        <f t="shared" ref="AF33:AF45" si="49">IF(W33&gt;0,(Z33+AC33)+IF(AE$26&gt;0,0+Z33,-8),0)</f>
        <v>0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0</v>
      </c>
      <c r="AL33" s="113">
        <f t="shared" si="42"/>
        <v>0</v>
      </c>
      <c r="AM33" s="113">
        <f t="shared" si="43"/>
        <v>0</v>
      </c>
      <c r="AN33" s="113">
        <f t="shared" si="44"/>
        <v>-8</v>
      </c>
      <c r="AO33" s="113">
        <f t="shared" si="45"/>
        <v>-8</v>
      </c>
      <c r="AP33" s="114">
        <f t="shared" si="46"/>
        <v>-16</v>
      </c>
      <c r="AQ33" s="55"/>
      <c r="AR33" s="1159">
        <f t="shared" si="47"/>
        <v>0</v>
      </c>
      <c r="AS33" s="1160"/>
      <c r="AT33" s="117">
        <f t="shared" si="48"/>
        <v>5</v>
      </c>
      <c r="AU33" s="55"/>
      <c r="AV33" s="55"/>
      <c r="AW33" s="1134">
        <v>-16</v>
      </c>
      <c r="AX33" s="1135"/>
    </row>
    <row r="34" spans="1:56" ht="14.1" customHeight="1">
      <c r="B34" s="29" t="str">
        <f t="shared" si="30"/>
        <v>Miguel Tejada Ll.</v>
      </c>
      <c r="C34" s="334">
        <v>8</v>
      </c>
      <c r="D34" s="342">
        <v>16</v>
      </c>
      <c r="E34" s="30">
        <v>1</v>
      </c>
      <c r="F34" s="31">
        <f t="shared" si="31"/>
        <v>7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0">IF(C34&gt;0,(F34+I34)+IF(K$26&gt;0,F34,-8),0)+IF(U$26&gt;0,I34,0)</f>
        <v>-1</v>
      </c>
      <c r="M34" s="334"/>
      <c r="N34" s="342"/>
      <c r="O34" s="30"/>
      <c r="P34" s="31">
        <f t="shared" si="34"/>
        <v>0</v>
      </c>
      <c r="Q34" s="106"/>
      <c r="R34" s="106"/>
      <c r="S34" s="31">
        <f t="shared" si="35"/>
        <v>0</v>
      </c>
      <c r="T34" s="30"/>
      <c r="U34" s="32">
        <f t="shared" si="36"/>
        <v>0</v>
      </c>
      <c r="V34" s="20">
        <f t="shared" ref="V34:V45" si="51">IF(M34&gt;0,(P34+S34)+IF(U$26&gt;0,P34,-8),0)+IF(AE$26&gt;0,S34,0)</f>
        <v>0</v>
      </c>
      <c r="W34" s="334"/>
      <c r="X34" s="342"/>
      <c r="Y34" s="30"/>
      <c r="Z34" s="31">
        <f t="shared" si="37"/>
        <v>0</v>
      </c>
      <c r="AA34" s="342"/>
      <c r="AB34" s="116"/>
      <c r="AC34" s="31">
        <f t="shared" si="38"/>
        <v>0</v>
      </c>
      <c r="AD34" s="30"/>
      <c r="AE34" s="32">
        <f t="shared" si="39"/>
        <v>0</v>
      </c>
      <c r="AF34" s="20">
        <f t="shared" si="49"/>
        <v>0</v>
      </c>
      <c r="AG34" s="55"/>
      <c r="AH34" s="112">
        <v>0</v>
      </c>
      <c r="AI34" s="113">
        <f t="shared" si="40"/>
        <v>0</v>
      </c>
      <c r="AJ34" s="113">
        <f t="shared" si="41"/>
        <v>0</v>
      </c>
      <c r="AK34" s="113">
        <f>IF(ISBLANK($AE$5),-8,0)+AE13</f>
        <v>0</v>
      </c>
      <c r="AL34" s="113">
        <f t="shared" si="42"/>
        <v>0</v>
      </c>
      <c r="AM34" s="113">
        <f t="shared" si="43"/>
        <v>0</v>
      </c>
      <c r="AN34" s="113">
        <f t="shared" si="44"/>
        <v>-8</v>
      </c>
      <c r="AO34" s="113">
        <f t="shared" si="45"/>
        <v>-8</v>
      </c>
      <c r="AP34" s="114">
        <f t="shared" si="46"/>
        <v>-16</v>
      </c>
      <c r="AQ34" s="55"/>
      <c r="AR34" s="1159">
        <f t="shared" si="47"/>
        <v>0</v>
      </c>
      <c r="AS34" s="1160"/>
      <c r="AT34" s="118">
        <f t="shared" si="48"/>
        <v>4</v>
      </c>
      <c r="AU34" s="55"/>
      <c r="AV34" s="55"/>
      <c r="AW34" s="1134"/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16</v>
      </c>
      <c r="E35" s="119">
        <v>1</v>
      </c>
      <c r="F35" s="120">
        <f t="shared" si="31"/>
        <v>8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0</v>
      </c>
      <c r="M35" s="342"/>
      <c r="N35" s="342"/>
      <c r="O35" s="30"/>
      <c r="P35" s="31">
        <f t="shared" si="34"/>
        <v>0</v>
      </c>
      <c r="Q35" s="346"/>
      <c r="R35" s="346"/>
      <c r="S35" s="120">
        <f t="shared" si="35"/>
        <v>0</v>
      </c>
      <c r="T35" s="30"/>
      <c r="U35" s="32">
        <f t="shared" si="36"/>
        <v>0</v>
      </c>
      <c r="V35" s="20">
        <f t="shared" si="51"/>
        <v>0</v>
      </c>
      <c r="W35" s="334"/>
      <c r="X35" s="342"/>
      <c r="Y35" s="30"/>
      <c r="Z35" s="31">
        <f t="shared" si="37"/>
        <v>0</v>
      </c>
      <c r="AA35" s="342"/>
      <c r="AB35" s="342"/>
      <c r="AC35" s="31">
        <f t="shared" si="38"/>
        <v>0</v>
      </c>
      <c r="AD35" s="30"/>
      <c r="AE35" s="32">
        <f t="shared" si="39"/>
        <v>0</v>
      </c>
      <c r="AF35" s="20">
        <f t="shared" si="49"/>
        <v>0</v>
      </c>
      <c r="AG35" s="55"/>
      <c r="AH35" s="112">
        <v>0</v>
      </c>
      <c r="AI35" s="113">
        <f t="shared" si="40"/>
        <v>0</v>
      </c>
      <c r="AJ35" s="113">
        <f t="shared" si="41"/>
        <v>0</v>
      </c>
      <c r="AK35" s="113">
        <f>IF(ISBLANK($AE$5),-8,0)+AE14</f>
        <v>0</v>
      </c>
      <c r="AL35" s="113">
        <f t="shared" si="42"/>
        <v>0</v>
      </c>
      <c r="AM35" s="113">
        <f t="shared" si="43"/>
        <v>0</v>
      </c>
      <c r="AN35" s="113">
        <f t="shared" si="44"/>
        <v>-8</v>
      </c>
      <c r="AO35" s="113">
        <f t="shared" si="45"/>
        <v>-8</v>
      </c>
      <c r="AP35" s="114">
        <f t="shared" si="46"/>
        <v>-16</v>
      </c>
      <c r="AQ35" s="55"/>
      <c r="AR35" s="1159">
        <f t="shared" si="47"/>
        <v>0</v>
      </c>
      <c r="AS35" s="1160"/>
      <c r="AT35" s="118">
        <f t="shared" si="48"/>
        <v>5</v>
      </c>
      <c r="AU35" s="55"/>
      <c r="AV35" s="55"/>
      <c r="AW35" s="1195">
        <v>-16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18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1</v>
      </c>
      <c r="M36" s="342"/>
      <c r="N36" s="342"/>
      <c r="O36" s="30"/>
      <c r="P36" s="31">
        <f t="shared" si="34"/>
        <v>0</v>
      </c>
      <c r="Q36" s="106"/>
      <c r="R36" s="106"/>
      <c r="S36" s="31">
        <f t="shared" si="35"/>
        <v>0</v>
      </c>
      <c r="T36" s="30"/>
      <c r="U36" s="32">
        <f t="shared" si="36"/>
        <v>0</v>
      </c>
      <c r="V36" s="20">
        <f t="shared" si="51"/>
        <v>0</v>
      </c>
      <c r="W36" s="334"/>
      <c r="X36" s="342"/>
      <c r="Y36" s="30"/>
      <c r="Z36" s="31">
        <f t="shared" si="37"/>
        <v>0</v>
      </c>
      <c r="AA36" s="342"/>
      <c r="AB36" s="342"/>
      <c r="AC36" s="31">
        <f t="shared" si="38"/>
        <v>0</v>
      </c>
      <c r="AD36" s="30"/>
      <c r="AE36" s="32">
        <f t="shared" si="39"/>
        <v>0</v>
      </c>
      <c r="AF36" s="20">
        <f t="shared" si="49"/>
        <v>0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0.5</v>
      </c>
      <c r="AL36" s="113">
        <f t="shared" si="42"/>
        <v>0</v>
      </c>
      <c r="AM36" s="113">
        <f t="shared" si="43"/>
        <v>0</v>
      </c>
      <c r="AN36" s="113">
        <f t="shared" si="44"/>
        <v>-8</v>
      </c>
      <c r="AO36" s="113">
        <f t="shared" si="45"/>
        <v>-8</v>
      </c>
      <c r="AP36" s="114">
        <f t="shared" si="46"/>
        <v>-15.5</v>
      </c>
      <c r="AQ36" s="55"/>
      <c r="AR36" s="1159">
        <f t="shared" si="47"/>
        <v>0</v>
      </c>
      <c r="AS36" s="1160"/>
      <c r="AT36" s="118">
        <f t="shared" si="48"/>
        <v>4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0</v>
      </c>
      <c r="M37" s="342"/>
      <c r="N37" s="342"/>
      <c r="O37" s="30"/>
      <c r="P37" s="31">
        <f>+N37-M37-O37</f>
        <v>0</v>
      </c>
      <c r="Q37" s="106"/>
      <c r="R37" s="106"/>
      <c r="S37" s="31">
        <f>+R37-Q37</f>
        <v>0</v>
      </c>
      <c r="T37" s="30"/>
      <c r="U37" s="32">
        <f>+S37+P37-V37</f>
        <v>0</v>
      </c>
      <c r="V37" s="20">
        <f t="shared" si="51"/>
        <v>0</v>
      </c>
      <c r="W37" s="334"/>
      <c r="X37" s="342"/>
      <c r="Y37" s="30"/>
      <c r="Z37" s="31">
        <f>+X37-W37-Y37</f>
        <v>0</v>
      </c>
      <c r="AA37" s="342"/>
      <c r="AB37" s="342"/>
      <c r="AC37" s="31">
        <f>+AB37-AA37</f>
        <v>0</v>
      </c>
      <c r="AD37" s="30"/>
      <c r="AE37" s="32">
        <f>+AC37+Z37-AF37</f>
        <v>0</v>
      </c>
      <c r="AF37" s="20">
        <f t="shared" si="49"/>
        <v>0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-8</v>
      </c>
      <c r="AO37" s="125">
        <f>IF(ISBLANK($AE$26),-8,0)+AE37</f>
        <v>-8</v>
      </c>
      <c r="AP37" s="114">
        <f>SUM(AH37:AO37)</f>
        <v>-16</v>
      </c>
      <c r="AQ37" s="55"/>
      <c r="AR37" s="1159">
        <f t="shared" si="47"/>
        <v>0</v>
      </c>
      <c r="AS37" s="1160"/>
      <c r="AT37" s="118">
        <f t="shared" si="48"/>
        <v>4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-8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-48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17</v>
      </c>
      <c r="E39" s="119">
        <v>1</v>
      </c>
      <c r="F39" s="31">
        <f t="shared" si="31"/>
        <v>9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1</v>
      </c>
      <c r="M39" s="342"/>
      <c r="N39" s="342"/>
      <c r="O39" s="30"/>
      <c r="P39" s="31">
        <f t="shared" si="34"/>
        <v>0</v>
      </c>
      <c r="Q39" s="346"/>
      <c r="R39" s="346"/>
      <c r="S39" s="31">
        <f t="shared" si="35"/>
        <v>0</v>
      </c>
      <c r="T39" s="30"/>
      <c r="U39" s="32">
        <f t="shared" si="36"/>
        <v>0</v>
      </c>
      <c r="V39" s="20">
        <f t="shared" si="51"/>
        <v>0</v>
      </c>
      <c r="W39" s="334"/>
      <c r="X39" s="342"/>
      <c r="Y39" s="30"/>
      <c r="Z39" s="31">
        <f t="shared" si="37"/>
        <v>0</v>
      </c>
      <c r="AA39" s="342"/>
      <c r="AB39" s="342"/>
      <c r="AC39" s="31">
        <f t="shared" si="38"/>
        <v>0</v>
      </c>
      <c r="AD39" s="30"/>
      <c r="AE39" s="32">
        <f t="shared" si="39"/>
        <v>0</v>
      </c>
      <c r="AF39" s="20">
        <f t="shared" si="49"/>
        <v>0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</v>
      </c>
      <c r="AL39" s="113">
        <f t="shared" si="42"/>
        <v>0</v>
      </c>
      <c r="AM39" s="125">
        <f t="shared" si="43"/>
        <v>0</v>
      </c>
      <c r="AN39" s="125">
        <f t="shared" si="44"/>
        <v>-8</v>
      </c>
      <c r="AO39" s="125">
        <f t="shared" si="45"/>
        <v>-8</v>
      </c>
      <c r="AP39" s="114">
        <f t="shared" si="46"/>
        <v>-16</v>
      </c>
      <c r="AQ39" s="55"/>
      <c r="AR39" s="1159">
        <f t="shared" si="47"/>
        <v>0</v>
      </c>
      <c r="AS39" s="1160"/>
      <c r="AT39" s="118">
        <f t="shared" si="48"/>
        <v>5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-8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-48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-8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-48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/>
      <c r="N42" s="459"/>
      <c r="O42" s="459"/>
      <c r="P42" s="460">
        <f>+N42-M42-O42</f>
        <v>0</v>
      </c>
      <c r="Q42" s="489"/>
      <c r="R42" s="489"/>
      <c r="S42" s="460">
        <f>+R42-Q42</f>
        <v>0</v>
      </c>
      <c r="T42" s="459"/>
      <c r="U42" s="32">
        <f>+S42+P42-V42</f>
        <v>0</v>
      </c>
      <c r="V42" s="461">
        <f>IF(M42&gt;0,(P42+S42)+IF(U$26&gt;0,P42,-8),0)+IF(AE$26&gt;0,S42,0)</f>
        <v>0</v>
      </c>
      <c r="W42" s="723"/>
      <c r="X42" s="719"/>
      <c r="Y42" s="719"/>
      <c r="Z42" s="720">
        <f>+X42-W42-Y42</f>
        <v>0</v>
      </c>
      <c r="AA42" s="342"/>
      <c r="AB42" s="342"/>
      <c r="AC42" s="44">
        <f>+AB42-AA42</f>
        <v>0</v>
      </c>
      <c r="AD42" s="30"/>
      <c r="AE42" s="32">
        <f>+AC42+Z42-AF42</f>
        <v>0</v>
      </c>
      <c r="AF42" s="20">
        <f>IF(W42&gt;0,(Z42+AC42)+IF(AE$26&gt;0,0+Z42,-8),0)</f>
        <v>0</v>
      </c>
      <c r="AG42" s="55"/>
      <c r="AH42" s="143">
        <v>0</v>
      </c>
      <c r="AI42" s="144">
        <f t="shared" si="40"/>
        <v>0</v>
      </c>
      <c r="AJ42" s="144">
        <f t="shared" si="41"/>
        <v>0</v>
      </c>
      <c r="AK42" s="144">
        <f t="shared" si="52"/>
        <v>0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-8</v>
      </c>
      <c r="AO42" s="144">
        <f>IF(ISBLANK($AE$26),-8,0)+AE42</f>
        <v>-8</v>
      </c>
      <c r="AP42" s="145">
        <f>SUM(AH42:AO42)</f>
        <v>-16</v>
      </c>
      <c r="AQ42" s="55"/>
      <c r="AR42" s="1159">
        <f>+X82*Q82</f>
        <v>0</v>
      </c>
      <c r="AS42" s="1160"/>
      <c r="AT42" s="934">
        <f>IF(K21+L21&gt;0,1,0)+IF(U21+V21&gt;0,1,0)+IF(AE21+AF21&gt;0,1,0)+IF(AO21&gt;3,1,0)+IF(K42+L42&gt;0,1,0)+IF(U42+V42&gt;0,1,0)+IF(AE42+AF42&gt;0,1,0)</f>
        <v>5</v>
      </c>
      <c r="AU42" s="55"/>
      <c r="AV42" s="55"/>
      <c r="AW42" s="1185">
        <v>-16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/>
      <c r="N43" s="719"/>
      <c r="O43" s="719"/>
      <c r="P43" s="720">
        <f>+N43-M43-O43</f>
        <v>0</v>
      </c>
      <c r="Q43" s="721"/>
      <c r="R43" s="721"/>
      <c r="S43" s="720">
        <f>+R43-Q43</f>
        <v>0</v>
      </c>
      <c r="T43" s="719"/>
      <c r="U43" s="32">
        <f>+S43+P43-V43</f>
        <v>0</v>
      </c>
      <c r="V43" s="722">
        <f>IF(M43&gt;0,(P43+S43)+IF(U$26&gt;0,P43,-8),0)+IF(AE$26&gt;0,S43,0)</f>
        <v>0</v>
      </c>
      <c r="W43" s="723"/>
      <c r="X43" s="719"/>
      <c r="Y43" s="719"/>
      <c r="Z43" s="720">
        <f>+X43-W43-Y43</f>
        <v>0</v>
      </c>
      <c r="AA43" s="719"/>
      <c r="AB43" s="724"/>
      <c r="AC43" s="720">
        <f>+AB43-AA43</f>
        <v>0</v>
      </c>
      <c r="AD43" s="719"/>
      <c r="AE43" s="32">
        <f>+AC43+Z43-AF43</f>
        <v>0</v>
      </c>
      <c r="AF43" s="722">
        <f>IF(W43&gt;0,(Z43+AC43)+IF(AE$26&gt;0,0+Z43,-8),0)</f>
        <v>0</v>
      </c>
      <c r="AG43" s="55"/>
      <c r="AH43" s="127">
        <v>0</v>
      </c>
      <c r="AI43" s="113">
        <f t="shared" si="40"/>
        <v>0</v>
      </c>
      <c r="AJ43" s="113">
        <f t="shared" si="41"/>
        <v>0</v>
      </c>
      <c r="AK43" s="128">
        <f t="shared" si="52"/>
        <v>0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-8</v>
      </c>
      <c r="AO43" s="113">
        <f>IF(ISBLANK($AE$26),-8,0)+AE43</f>
        <v>-8</v>
      </c>
      <c r="AP43" s="114">
        <f>SUM(AH43:AO43)</f>
        <v>-16</v>
      </c>
      <c r="AQ43" s="55"/>
      <c r="AR43" s="1159"/>
      <c r="AS43" s="1160"/>
      <c r="AT43" s="934">
        <f>IF(K22+L22&gt;0,1,0)+IF(U22+V22&gt;0,1,0)+IF(AE22+AF22&gt;0,1,0)+IF(AO22&gt;3,1,0)+IF(K43+L43&gt;0,1,0)+IF(U43+V43&gt;0,1,0)+IF(AE43+AF43&gt;0,1,0)</f>
        <v>4</v>
      </c>
      <c r="AU43" s="55"/>
      <c r="AV43" s="55"/>
      <c r="AW43" s="1134"/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2</v>
      </c>
      <c r="M44" s="719"/>
      <c r="N44" s="719"/>
      <c r="O44" s="719"/>
      <c r="P44" s="720">
        <f t="shared" si="34"/>
        <v>0</v>
      </c>
      <c r="Q44" s="721"/>
      <c r="R44" s="721"/>
      <c r="S44" s="720">
        <f t="shared" si="35"/>
        <v>0</v>
      </c>
      <c r="T44" s="719"/>
      <c r="U44" s="32">
        <f t="shared" si="36"/>
        <v>0</v>
      </c>
      <c r="V44" s="722">
        <f t="shared" si="51"/>
        <v>0</v>
      </c>
      <c r="W44" s="723"/>
      <c r="X44" s="719"/>
      <c r="Y44" s="719"/>
      <c r="Z44" s="720">
        <f t="shared" si="37"/>
        <v>0</v>
      </c>
      <c r="AA44" s="719"/>
      <c r="AB44" s="724"/>
      <c r="AC44" s="720">
        <f t="shared" si="38"/>
        <v>0</v>
      </c>
      <c r="AD44" s="719"/>
      <c r="AE44" s="32">
        <f t="shared" si="39"/>
        <v>0</v>
      </c>
      <c r="AF44" s="722">
        <f t="shared" si="49"/>
        <v>0</v>
      </c>
      <c r="AG44" s="55"/>
      <c r="AH44" s="490">
        <v>0</v>
      </c>
      <c r="AI44" s="527">
        <f t="shared" si="40"/>
        <v>0</v>
      </c>
      <c r="AJ44" s="527">
        <f t="shared" si="41"/>
        <v>0</v>
      </c>
      <c r="AK44" s="527">
        <f t="shared" si="52"/>
        <v>0</v>
      </c>
      <c r="AL44" s="527">
        <f t="shared" si="42"/>
        <v>0</v>
      </c>
      <c r="AM44" s="527">
        <f t="shared" si="43"/>
        <v>0</v>
      </c>
      <c r="AN44" s="527">
        <f t="shared" si="44"/>
        <v>-8</v>
      </c>
      <c r="AO44" s="527">
        <f t="shared" si="45"/>
        <v>-8</v>
      </c>
      <c r="AP44" s="492">
        <f t="shared" si="46"/>
        <v>-16</v>
      </c>
      <c r="AQ44" s="55"/>
      <c r="AR44" s="1187">
        <f>+X81*Q81</f>
        <v>0</v>
      </c>
      <c r="AS44" s="1188"/>
      <c r="AT44" s="934">
        <f>IF(K23+L23&gt;0,1,0)+IF(U23+V23&gt;0,1,0)+IF(AE23+AF23&gt;0,1,0)+IF(AO23&gt;3,1,0)+IF(K44+L44&gt;0,1,0)+IF(U44+V44&gt;0,1,0)+IF(AE44+AF44&gt;0,1,0)</f>
        <v>4</v>
      </c>
      <c r="AU44" s="55"/>
      <c r="AV44" s="55"/>
      <c r="AW44" s="1189"/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-8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103</v>
      </c>
      <c r="AS46" s="1162"/>
      <c r="AT46" s="167">
        <f>SUM(AT32:AT45)</f>
        <v>44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64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43293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43294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43295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43296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4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43297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43298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43299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1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931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32.5</v>
      </c>
      <c r="V71" s="239">
        <v>48</v>
      </c>
      <c r="W71" s="240">
        <f t="shared" ref="W71:W86" si="59">+V71-U71</f>
        <v>15.5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48</v>
      </c>
      <c r="V72" s="239">
        <v>48</v>
      </c>
      <c r="W72" s="240">
        <f t="shared" si="59"/>
        <v>0</v>
      </c>
      <c r="X72" s="241">
        <f t="shared" si="60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32</v>
      </c>
      <c r="V73" s="239">
        <v>48</v>
      </c>
      <c r="W73" s="240">
        <f t="shared" si="59"/>
        <v>16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48</v>
      </c>
      <c r="V74" s="239">
        <v>48</v>
      </c>
      <c r="W74" s="240">
        <f t="shared" si="59"/>
        <v>0</v>
      </c>
      <c r="X74" s="241">
        <f t="shared" si="60"/>
        <v>0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32.5</v>
      </c>
      <c r="V75" s="239">
        <v>48</v>
      </c>
      <c r="W75" s="240">
        <f t="shared" si="59"/>
        <v>15.5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29</v>
      </c>
      <c r="V76" s="239">
        <v>48</v>
      </c>
      <c r="W76" s="240">
        <f>+V76-U76</f>
        <v>19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929"/>
      <c r="AA77" s="929"/>
      <c r="AB77" s="929"/>
      <c r="AC77" s="929"/>
      <c r="AD77" s="929"/>
      <c r="AE77" s="386"/>
      <c r="AF77" s="386"/>
      <c r="AG77" s="928"/>
      <c r="AH77" s="928"/>
      <c r="AI77" s="393"/>
      <c r="AJ77" s="393"/>
      <c r="AK77" s="393"/>
      <c r="AL77" s="393"/>
      <c r="AM77" s="928"/>
      <c r="AN77" s="928"/>
      <c r="AO77" s="928"/>
      <c r="AP77" s="928"/>
      <c r="AQ77" s="928"/>
      <c r="AR77" s="928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931"/>
      <c r="T78" s="931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931"/>
      <c r="Z78" s="929"/>
      <c r="AA78" s="929"/>
      <c r="AB78" s="929"/>
      <c r="AC78" s="929"/>
      <c r="AD78" s="929"/>
      <c r="AE78" s="386"/>
      <c r="AF78" s="386"/>
      <c r="AG78" s="928"/>
      <c r="AH78" s="928"/>
      <c r="AI78" s="393"/>
      <c r="AJ78" s="393"/>
      <c r="AK78" s="393"/>
      <c r="AL78" s="393"/>
      <c r="AM78" s="928"/>
      <c r="AN78" s="928"/>
      <c r="AO78" s="928"/>
      <c r="AP78" s="928"/>
      <c r="AQ78" s="928"/>
      <c r="AR78" s="928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32</v>
      </c>
      <c r="V79" s="239">
        <v>48</v>
      </c>
      <c r="W79" s="240">
        <f>+V79-U79</f>
        <v>16</v>
      </c>
      <c r="X79" s="241">
        <f t="shared" si="60"/>
        <v>0</v>
      </c>
      <c r="Z79" s="246"/>
      <c r="AA79" s="246"/>
      <c r="AB79" s="929"/>
      <c r="AC79" s="929"/>
      <c r="AD79" s="929"/>
      <c r="AE79" s="386"/>
      <c r="AF79" s="386"/>
      <c r="AG79" s="928"/>
      <c r="AH79" s="928"/>
      <c r="AI79" s="928"/>
      <c r="AJ79" s="928"/>
      <c r="AK79" s="928"/>
      <c r="AL79" s="928"/>
      <c r="AM79" s="928"/>
      <c r="AN79" s="928"/>
      <c r="AO79" s="928"/>
      <c r="AP79" s="928"/>
      <c r="AQ79" s="928"/>
      <c r="AR79" s="928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929"/>
      <c r="AC80" s="929"/>
      <c r="AD80" s="929"/>
      <c r="AE80" s="386"/>
      <c r="AF80" s="386"/>
      <c r="AG80" s="928"/>
      <c r="AH80" s="928"/>
      <c r="AI80" s="928"/>
      <c r="AJ80" s="928"/>
      <c r="AK80" s="928"/>
      <c r="AL80" s="928"/>
      <c r="AM80" s="928"/>
      <c r="AN80" s="928"/>
      <c r="AO80" s="928"/>
      <c r="AP80" s="928"/>
      <c r="AQ80" s="928"/>
      <c r="AR80" s="928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32</v>
      </c>
      <c r="V81" s="239">
        <v>48</v>
      </c>
      <c r="W81" s="240">
        <f>+V81-U81</f>
        <v>16</v>
      </c>
      <c r="X81" s="241">
        <f>+J23+T23+AD23+J44+T44+AD44</f>
        <v>0</v>
      </c>
      <c r="Z81" s="246"/>
      <c r="AA81" s="246"/>
      <c r="AB81" s="929"/>
      <c r="AC81" s="929"/>
      <c r="AD81" s="929"/>
      <c r="AE81" s="386"/>
      <c r="AF81" s="386"/>
      <c r="AG81" s="928"/>
      <c r="AH81" s="928"/>
      <c r="AI81" s="928"/>
      <c r="AJ81" s="928"/>
      <c r="AK81" s="393"/>
      <c r="AL81" s="393"/>
      <c r="AM81" s="928"/>
      <c r="AN81" s="928"/>
      <c r="AO81" s="928"/>
      <c r="AP81" s="928"/>
      <c r="AQ81" s="928"/>
      <c r="AR81" s="928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32</v>
      </c>
      <c r="V82" s="239">
        <v>48</v>
      </c>
      <c r="W82" s="240">
        <f t="shared" si="59"/>
        <v>16</v>
      </c>
      <c r="X82" s="241">
        <f>+J21+T21+AD21+J42+T42+AD42</f>
        <v>0</v>
      </c>
      <c r="Z82" s="246"/>
      <c r="AA82" s="246"/>
      <c r="AB82" s="929"/>
      <c r="AC82" s="929"/>
      <c r="AD82" s="929"/>
      <c r="AE82" s="386"/>
      <c r="AF82" s="386"/>
      <c r="AG82" s="928"/>
      <c r="AH82" s="928"/>
      <c r="AI82" s="928"/>
      <c r="AJ82" s="928"/>
      <c r="AK82" s="928"/>
      <c r="AL82" s="928"/>
      <c r="AM82" s="928"/>
      <c r="AN82" s="928"/>
      <c r="AO82" s="928"/>
      <c r="AP82" s="928"/>
      <c r="AQ82" s="928"/>
      <c r="AR82" s="928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929"/>
      <c r="AC83" s="929"/>
      <c r="AD83" s="929"/>
      <c r="AE83" s="386"/>
      <c r="AF83" s="386"/>
      <c r="AG83" s="928"/>
      <c r="AH83" s="928"/>
      <c r="AI83" s="928"/>
      <c r="AJ83" s="928"/>
      <c r="AK83" s="928"/>
      <c r="AL83" s="928"/>
      <c r="AM83" s="928"/>
      <c r="AN83" s="928"/>
      <c r="AO83" s="928"/>
      <c r="AP83" s="928"/>
      <c r="AQ83" s="928"/>
      <c r="AR83" s="928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929"/>
      <c r="AC84" s="929"/>
      <c r="AD84" s="929"/>
      <c r="AE84" s="386"/>
      <c r="AF84" s="386"/>
      <c r="AG84" s="928"/>
      <c r="AH84" s="928"/>
      <c r="AI84" s="928"/>
      <c r="AJ84" s="928"/>
      <c r="AK84" s="917"/>
      <c r="AL84" s="917"/>
      <c r="AM84" s="917"/>
      <c r="AN84" s="917"/>
      <c r="AO84" s="917"/>
      <c r="AP84" s="917"/>
      <c r="AQ84" s="917"/>
      <c r="AR84" s="917"/>
      <c r="AS84" s="386"/>
      <c r="AT84" s="386"/>
    </row>
    <row r="85" spans="1:46" ht="16.5">
      <c r="A85" s="247"/>
      <c r="B85" s="250" t="s">
        <v>147</v>
      </c>
      <c r="C85" s="918"/>
      <c r="D85" s="919"/>
      <c r="E85" s="920"/>
      <c r="F85" s="921"/>
      <c r="G85" s="922"/>
      <c r="H85" s="923"/>
      <c r="I85" s="920"/>
      <c r="J85" s="921"/>
      <c r="K85" s="932"/>
      <c r="L85" s="933"/>
      <c r="M85" s="5"/>
      <c r="N85" s="924"/>
      <c r="O85" s="925"/>
      <c r="P85" s="5"/>
      <c r="Q85" s="926"/>
      <c r="R85" s="927"/>
      <c r="U85" s="238"/>
      <c r="V85" s="239"/>
      <c r="W85" s="240"/>
      <c r="X85" s="241"/>
      <c r="Z85" s="246"/>
      <c r="AA85" s="246"/>
      <c r="AB85" s="929"/>
      <c r="AC85" s="929"/>
      <c r="AD85" s="929"/>
      <c r="AE85" s="386"/>
      <c r="AF85" s="386"/>
      <c r="AG85" s="928"/>
      <c r="AH85" s="928"/>
      <c r="AI85" s="928"/>
      <c r="AJ85" s="928"/>
      <c r="AK85" s="917"/>
      <c r="AL85" s="917"/>
      <c r="AM85" s="917"/>
      <c r="AN85" s="917"/>
      <c r="AO85" s="917"/>
      <c r="AP85" s="917"/>
      <c r="AQ85" s="917"/>
      <c r="AR85" s="917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929"/>
      <c r="AC86" s="929"/>
      <c r="AD86" s="929"/>
      <c r="AE86" s="386"/>
      <c r="AF86" s="386"/>
      <c r="AG86" s="928"/>
      <c r="AH86" s="928"/>
      <c r="AI86" s="928"/>
      <c r="AJ86" s="928"/>
      <c r="AK86" s="928"/>
      <c r="AL86" s="928"/>
      <c r="AM86" s="928"/>
      <c r="AN86" s="928"/>
      <c r="AO86" s="928"/>
      <c r="AP86" s="928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928"/>
      <c r="AF90" s="928"/>
      <c r="AG90" s="386"/>
      <c r="AH90" s="386"/>
      <c r="AI90" s="386"/>
      <c r="AJ90" s="928"/>
      <c r="AK90" s="928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928"/>
      <c r="AF91" s="928"/>
      <c r="AG91" s="386"/>
      <c r="AH91" s="386"/>
      <c r="AI91" s="386"/>
      <c r="AJ91" s="928"/>
      <c r="AK91" s="928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928"/>
      <c r="AF93" s="928"/>
      <c r="AG93" s="386"/>
      <c r="AH93" s="386"/>
      <c r="AI93" s="386"/>
      <c r="AJ93" s="928"/>
      <c r="AK93" s="928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928"/>
      <c r="AF96" s="928"/>
      <c r="AG96" s="386"/>
      <c r="AH96" s="386"/>
      <c r="AI96" s="386"/>
      <c r="AJ96" s="928"/>
      <c r="AK96" s="928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917"/>
      <c r="AM98" s="928"/>
      <c r="AN98" s="917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928"/>
      <c r="AF108" s="928"/>
      <c r="AG108" s="386"/>
      <c r="AH108" s="386"/>
      <c r="AI108" s="386"/>
      <c r="AJ108" s="928"/>
      <c r="AK108" s="928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917"/>
      <c r="AM116" s="928"/>
      <c r="AN116" s="917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928"/>
      <c r="AF127" s="928"/>
      <c r="AG127" s="386"/>
      <c r="AH127" s="386"/>
      <c r="AI127" s="386"/>
      <c r="AJ127" s="928"/>
      <c r="AK127" s="928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928"/>
      <c r="AF128" s="928"/>
      <c r="AG128" s="386"/>
      <c r="AH128" s="386"/>
      <c r="AI128" s="386"/>
      <c r="AJ128" s="928"/>
      <c r="AK128" s="928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928"/>
      <c r="AF130" s="928"/>
      <c r="AG130" s="386"/>
      <c r="AH130" s="386"/>
      <c r="AI130" s="386"/>
      <c r="AJ130" s="928"/>
      <c r="AK130" s="928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928"/>
      <c r="AF133" s="928"/>
      <c r="AG133" s="386"/>
      <c r="AH133" s="386"/>
      <c r="AI133" s="386"/>
      <c r="AJ133" s="928"/>
      <c r="AK133" s="928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917"/>
      <c r="AM135" s="928"/>
      <c r="AN135" s="917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928"/>
      <c r="AF145" s="928"/>
      <c r="AG145" s="386"/>
      <c r="AH145" s="386"/>
      <c r="AI145" s="386"/>
      <c r="AJ145" s="928"/>
      <c r="AK145" s="928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928"/>
      <c r="AF146" s="928"/>
      <c r="AG146" s="386"/>
      <c r="AH146" s="386"/>
      <c r="AI146" s="386"/>
      <c r="AJ146" s="928"/>
      <c r="AK146" s="928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928"/>
      <c r="AF148" s="928"/>
      <c r="AG148" s="386"/>
      <c r="AH148" s="386"/>
      <c r="AI148" s="386"/>
      <c r="AJ148" s="928"/>
      <c r="AK148" s="928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928"/>
      <c r="AF151" s="928"/>
      <c r="AG151" s="386"/>
      <c r="AH151" s="386"/>
      <c r="AI151" s="386"/>
      <c r="AJ151" s="928"/>
      <c r="AK151" s="928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917"/>
      <c r="AM153" s="928"/>
      <c r="AN153" s="917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928"/>
      <c r="AF165" s="928"/>
      <c r="AG165" s="386"/>
      <c r="AH165" s="386"/>
      <c r="AI165" s="386"/>
      <c r="AJ165" s="928"/>
      <c r="AK165" s="928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917"/>
      <c r="AM173" s="928"/>
      <c r="AN173" s="917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928"/>
      <c r="AF184" s="928"/>
      <c r="AG184" s="386"/>
      <c r="AH184" s="386"/>
      <c r="AI184" s="386"/>
      <c r="AJ184" s="928"/>
      <c r="AK184" s="928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928"/>
      <c r="AF185" s="928"/>
      <c r="AG185" s="386"/>
      <c r="AH185" s="386"/>
      <c r="AI185" s="386"/>
      <c r="AJ185" s="928"/>
      <c r="AK185" s="928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928"/>
      <c r="AF187" s="928"/>
      <c r="AG187" s="386"/>
      <c r="AH187" s="386"/>
      <c r="AI187" s="386"/>
      <c r="AJ187" s="928"/>
      <c r="AK187" s="928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928"/>
      <c r="AF190" s="928"/>
      <c r="AG190" s="386"/>
      <c r="AH190" s="386"/>
      <c r="AI190" s="386"/>
      <c r="AJ190" s="928"/>
      <c r="AK190" s="928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917"/>
      <c r="AM192" s="928"/>
      <c r="AN192" s="917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93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93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93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93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931"/>
      <c r="AB204" s="931"/>
      <c r="AC204" s="931"/>
      <c r="AD204" s="931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929"/>
      <c r="AB205" s="929"/>
      <c r="AC205" s="929"/>
      <c r="AD205" s="929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929"/>
      <c r="AB206" s="929"/>
      <c r="AC206" s="929"/>
      <c r="AD206" s="929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929"/>
      <c r="AB207" s="929"/>
      <c r="AC207" s="929"/>
      <c r="AD207" s="929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929"/>
      <c r="AB208" s="929"/>
      <c r="AC208" s="929"/>
      <c r="AD208" s="929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929"/>
      <c r="AB209" s="929"/>
      <c r="AC209" s="929"/>
      <c r="AD209" s="929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929"/>
      <c r="AF210" s="386"/>
      <c r="AG210" s="928"/>
      <c r="AH210" s="928"/>
      <c r="AI210" s="386"/>
      <c r="AJ210" s="386"/>
      <c r="AK210" s="917"/>
      <c r="AL210" s="917"/>
      <c r="AM210" s="917"/>
      <c r="AN210" s="917"/>
      <c r="AO210" s="917"/>
      <c r="AP210" s="917"/>
      <c r="AQ210" s="917"/>
      <c r="AR210" s="917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929"/>
      <c r="AA211" s="929"/>
      <c r="AB211" s="929"/>
      <c r="AC211" s="929"/>
      <c r="AD211" s="929"/>
      <c r="AE211" s="386"/>
      <c r="AF211" s="386"/>
      <c r="AG211" s="244"/>
      <c r="AH211" s="244"/>
      <c r="AI211" s="928"/>
      <c r="AJ211" s="928"/>
      <c r="AK211" s="928"/>
      <c r="AL211" s="928"/>
      <c r="AM211" s="928"/>
      <c r="AN211" s="928"/>
      <c r="AO211" s="928"/>
      <c r="AP211" s="928"/>
      <c r="AQ211" s="928"/>
      <c r="AR211" s="928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928"/>
      <c r="AN212" s="928"/>
      <c r="AO212" s="928"/>
      <c r="AP212" s="928"/>
      <c r="AQ212" s="928"/>
      <c r="AR212" s="928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929"/>
      <c r="AA213" s="929"/>
      <c r="AB213" s="929"/>
      <c r="AC213" s="929"/>
      <c r="AD213" s="929"/>
      <c r="AE213" s="386"/>
      <c r="AF213" s="386"/>
      <c r="AG213" s="928"/>
      <c r="AH213" s="928"/>
      <c r="AI213" s="393"/>
      <c r="AJ213" s="393"/>
      <c r="AK213" s="393"/>
      <c r="AL213" s="393"/>
      <c r="AM213" s="928"/>
      <c r="AN213" s="928"/>
      <c r="AO213" s="928"/>
      <c r="AP213" s="928"/>
      <c r="AQ213" s="928"/>
      <c r="AR213" s="928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931"/>
      <c r="T214" s="931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931"/>
      <c r="Z214" s="929"/>
      <c r="AA214" s="929"/>
      <c r="AB214" s="929"/>
      <c r="AC214" s="929"/>
      <c r="AD214" s="929"/>
      <c r="AE214" s="386"/>
      <c r="AF214" s="386"/>
      <c r="AG214" s="928"/>
      <c r="AH214" s="928"/>
      <c r="AI214" s="393"/>
      <c r="AJ214" s="393"/>
      <c r="AK214" s="393"/>
      <c r="AL214" s="393"/>
      <c r="AM214" s="928"/>
      <c r="AN214" s="928"/>
      <c r="AO214" s="928"/>
      <c r="AP214" s="928"/>
      <c r="AQ214" s="928"/>
      <c r="AR214" s="928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929"/>
      <c r="AC215" s="929"/>
      <c r="AD215" s="929"/>
      <c r="AE215" s="386"/>
      <c r="AF215" s="386"/>
      <c r="AG215" s="928"/>
      <c r="AH215" s="928"/>
      <c r="AI215" s="928"/>
      <c r="AJ215" s="928"/>
      <c r="AK215" s="928"/>
      <c r="AL215" s="928"/>
      <c r="AM215" s="928"/>
      <c r="AN215" s="928"/>
      <c r="AO215" s="928"/>
      <c r="AP215" s="928"/>
      <c r="AQ215" s="928"/>
      <c r="AR215" s="928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929"/>
      <c r="AE216" s="386"/>
      <c r="AF216" s="386"/>
      <c r="AG216" s="244"/>
      <c r="AH216" s="244"/>
      <c r="AI216" s="928"/>
      <c r="AJ216" s="928"/>
      <c r="AK216" s="928"/>
      <c r="AL216" s="928"/>
      <c r="AM216" s="928"/>
      <c r="AN216" s="928"/>
      <c r="AO216" s="928"/>
      <c r="AP216" s="928"/>
      <c r="AQ216" s="928"/>
      <c r="AR216" s="928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929"/>
      <c r="AD217" s="929"/>
      <c r="AE217" s="386"/>
      <c r="AF217" s="386"/>
      <c r="AG217" s="928"/>
      <c r="AH217" s="928"/>
      <c r="AI217" s="393"/>
      <c r="AJ217" s="393"/>
      <c r="AK217" s="393"/>
      <c r="AL217" s="393"/>
      <c r="AM217" s="928"/>
      <c r="AN217" s="928"/>
      <c r="AO217" s="928"/>
      <c r="AP217" s="928"/>
      <c r="AQ217" s="928"/>
      <c r="AR217" s="928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929"/>
      <c r="AD218" s="929"/>
      <c r="AE218" s="386"/>
      <c r="AF218" s="386"/>
      <c r="AG218" s="393"/>
      <c r="AH218" s="393"/>
      <c r="AI218" s="928"/>
      <c r="AJ218" s="928"/>
      <c r="AK218" s="928"/>
      <c r="AL218" s="928"/>
      <c r="AM218" s="928"/>
      <c r="AN218" s="928"/>
      <c r="AO218" s="928"/>
      <c r="AP218" s="928"/>
      <c r="AQ218" s="928"/>
      <c r="AR218" s="928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929"/>
      <c r="AC219" s="929"/>
      <c r="AD219" s="929">
        <v>200</v>
      </c>
      <c r="AE219" s="386"/>
      <c r="AF219" s="1023">
        <f>+AD219/6</f>
        <v>33.333333333333336</v>
      </c>
      <c r="AG219" s="1023"/>
      <c r="AH219" s="1023"/>
      <c r="AI219" s="928"/>
      <c r="AJ219" s="928"/>
      <c r="AK219" s="928"/>
      <c r="AL219" s="928"/>
      <c r="AM219" s="928"/>
      <c r="AN219" s="928"/>
      <c r="AO219" s="928"/>
      <c r="AP219" s="928"/>
      <c r="AQ219" s="928"/>
      <c r="AR219" s="928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929"/>
      <c r="AA220" s="929"/>
      <c r="AB220" s="929"/>
      <c r="AC220" s="929"/>
      <c r="AG220" s="928"/>
      <c r="AH220" s="928"/>
      <c r="AI220" s="386"/>
      <c r="AJ220" s="386"/>
      <c r="AK220" s="917"/>
      <c r="AL220" s="917"/>
      <c r="AM220" s="917"/>
      <c r="AN220" s="917"/>
      <c r="AO220" s="917"/>
      <c r="AP220" s="917"/>
      <c r="AQ220" s="917"/>
      <c r="AR220" s="917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929"/>
      <c r="AC221" s="929"/>
      <c r="AD221" s="929"/>
      <c r="AE221" s="386"/>
      <c r="AF221" s="386"/>
      <c r="AG221" s="928"/>
      <c r="AH221" s="928"/>
      <c r="AI221" s="928"/>
      <c r="AJ221" s="928"/>
      <c r="AK221" s="928"/>
      <c r="AL221" s="928"/>
      <c r="AM221" s="928"/>
      <c r="AN221" s="928"/>
      <c r="AO221" s="928"/>
      <c r="AP221" s="928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930"/>
      <c r="E224" s="304"/>
      <c r="F224" s="305"/>
      <c r="G224" s="930"/>
      <c r="H224" s="930"/>
      <c r="I224" s="305"/>
      <c r="J224" s="930"/>
      <c r="K224" s="306"/>
      <c r="L224" s="306"/>
      <c r="M224" s="930"/>
      <c r="N224" s="930"/>
      <c r="O224" s="930"/>
      <c r="P224" s="930"/>
      <c r="Q224" s="930"/>
      <c r="R224" s="930"/>
      <c r="S224" s="930"/>
      <c r="T224" s="930"/>
      <c r="U224" s="930"/>
      <c r="V224" s="930"/>
      <c r="W224" s="930"/>
      <c r="X224" s="930"/>
      <c r="Y224" s="930"/>
      <c r="Z224" s="930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928"/>
      <c r="AF244" s="928"/>
      <c r="AG244" s="386"/>
      <c r="AH244" s="386"/>
      <c r="AI244" s="386"/>
      <c r="AJ244" s="928"/>
      <c r="AK244" s="928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928"/>
      <c r="AF245" s="928"/>
      <c r="AG245" s="386"/>
      <c r="AH245" s="386"/>
      <c r="AI245" s="386"/>
      <c r="AJ245" s="928"/>
      <c r="AK245" s="928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928"/>
      <c r="AF247" s="928"/>
      <c r="AG247" s="386"/>
      <c r="AH247" s="386"/>
      <c r="AI247" s="386"/>
      <c r="AJ247" s="928"/>
      <c r="AK247" s="928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928"/>
      <c r="AF250" s="928"/>
      <c r="AG250" s="386"/>
      <c r="AH250" s="386"/>
      <c r="AI250" s="386"/>
      <c r="AJ250" s="928"/>
      <c r="AK250" s="928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917"/>
      <c r="AM252" s="928"/>
      <c r="AN252" s="917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930"/>
      <c r="E261" s="304"/>
      <c r="F261" s="305"/>
      <c r="G261" s="930"/>
      <c r="H261" s="930"/>
      <c r="I261" s="305"/>
      <c r="J261" s="930"/>
      <c r="K261" s="306"/>
      <c r="L261" s="306"/>
      <c r="M261" s="930"/>
      <c r="N261" s="930"/>
      <c r="O261" s="930"/>
      <c r="P261" s="930"/>
      <c r="Q261" s="930"/>
      <c r="R261" s="930"/>
      <c r="S261" s="930"/>
      <c r="T261" s="930"/>
      <c r="U261" s="930"/>
      <c r="V261" s="930"/>
      <c r="W261" s="930"/>
      <c r="X261" s="930"/>
      <c r="Y261" s="930"/>
      <c r="Z261" s="930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AD268:AF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X266:Z266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X265:Z265"/>
    <mergeCell ref="AA265:AC265"/>
    <mergeCell ref="AD265:AF265"/>
    <mergeCell ref="AI265:AM265"/>
    <mergeCell ref="D266:H266"/>
    <mergeCell ref="I266:K266"/>
    <mergeCell ref="L266:N266"/>
    <mergeCell ref="O266:Q266"/>
    <mergeCell ref="R266:T266"/>
    <mergeCell ref="U266:W266"/>
    <mergeCell ref="U264:W264"/>
    <mergeCell ref="X264:Z264"/>
    <mergeCell ref="AA264:AC264"/>
    <mergeCell ref="AD264:AF264"/>
    <mergeCell ref="D265:H265"/>
    <mergeCell ref="I265:K265"/>
    <mergeCell ref="L265:N265"/>
    <mergeCell ref="O265:Q265"/>
    <mergeCell ref="R265:T265"/>
    <mergeCell ref="U265:W265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AD229:AF229"/>
    <mergeCell ref="AI229:AK229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28:AF228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A227:AC227"/>
    <mergeCell ref="AD227:AF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R60:AS60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AG54:AN55"/>
    <mergeCell ref="AO54:AO55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C28:AC31"/>
    <mergeCell ref="AD28:AD31"/>
    <mergeCell ref="AE28:AE31"/>
    <mergeCell ref="AF28:AF31"/>
    <mergeCell ref="AR32:AS32"/>
    <mergeCell ref="AW32:AX32"/>
    <mergeCell ref="U28:U31"/>
    <mergeCell ref="V28:V31"/>
    <mergeCell ref="W28:X31"/>
    <mergeCell ref="Y28:Y31"/>
    <mergeCell ref="Z28:Z31"/>
    <mergeCell ref="AA28:AB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K26:AK31"/>
    <mergeCell ref="AL26:AL31"/>
    <mergeCell ref="AM26:AM31"/>
    <mergeCell ref="AN26:AN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C7:AC10"/>
    <mergeCell ref="AD7:AD10"/>
    <mergeCell ref="AE7:AE10"/>
    <mergeCell ref="AF7:AF10"/>
    <mergeCell ref="AG7:AH10"/>
    <mergeCell ref="AI7:AI10"/>
    <mergeCell ref="U7:U10"/>
    <mergeCell ref="V7:V10"/>
    <mergeCell ref="W7:X10"/>
    <mergeCell ref="Y7:Y10"/>
    <mergeCell ref="Z7:Z10"/>
    <mergeCell ref="AA7:AB10"/>
    <mergeCell ref="M7:N10"/>
    <mergeCell ref="O7:O10"/>
    <mergeCell ref="P7:P10"/>
    <mergeCell ref="Q7:R10"/>
    <mergeCell ref="S7:S10"/>
    <mergeCell ref="T7:T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Y7:AY10"/>
    <mergeCell ref="AZ7:AZ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</mergeCells>
  <conditionalFormatting sqref="AP200:AP203 AH60 AP60 AP32:AP48 AH32:AH48">
    <cfRule type="cellIs" dxfId="21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20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19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18" priority="18" stopIfTrue="1" operator="lessThanOrEqual">
      <formula>0</formula>
    </cfRule>
  </conditionalFormatting>
  <conditionalFormatting sqref="AM56:AM57 AC60 I60 AC56:AC58 S60:S66 S56:S58 I56:I58 S200:S202 AM11:AM26 I11:I25 S11:S26 S32:S53 I32:I48 AC32:AC48 AC11:AC26">
    <cfRule type="cellIs" dxfId="17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16" priority="16" stopIfTrue="1" operator="lessThanOrEqual">
      <formula>0</formula>
    </cfRule>
  </conditionalFormatting>
  <conditionalFormatting sqref="AA66:AB68 AA71:AB73 W210:X219 Z49:AA53 Z61:AA61 W86:X86 W74:X83 Z200:AA202 W221:X221">
    <cfRule type="cellIs" dxfId="15" priority="15" stopIfTrue="1" operator="lessThan">
      <formula>0</formula>
    </cfRule>
  </conditionalFormatting>
  <conditionalFormatting sqref="X49:X53 X61:X66 U86 U74:U83 X200:X202 U221 U210:U219">
    <cfRule type="cellIs" dxfId="14" priority="14" stopIfTrue="1" operator="greaterThan">
      <formula>48</formula>
    </cfRule>
  </conditionalFormatting>
  <conditionalFormatting sqref="C276:C280 C288:D291 C159:D159 D276:D287 C87:D142 C241:D241 C222:D222">
    <cfRule type="cellIs" dxfId="13" priority="13" stopIfTrue="1" operator="lessThan">
      <formula>$C$71</formula>
    </cfRule>
  </conditionalFormatting>
  <conditionalFormatting sqref="AI60:AO60 AI32:AO48">
    <cfRule type="cellIs" dxfId="12" priority="11" stopIfTrue="1" operator="equal">
      <formula>0</formula>
    </cfRule>
    <cfRule type="cellIs" dxfId="11" priority="12" stopIfTrue="1" operator="lessThan">
      <formula>0</formula>
    </cfRule>
  </conditionalFormatting>
  <conditionalFormatting sqref="AT60 AT32:AT45">
    <cfRule type="cellIs" dxfId="10" priority="9" stopIfTrue="1" operator="greaterThan">
      <formula>0</formula>
    </cfRule>
    <cfRule type="cellIs" dxfId="9" priority="10" stopIfTrue="1" operator="lessThan">
      <formula>1</formula>
    </cfRule>
  </conditionalFormatting>
  <conditionalFormatting sqref="K84:L85 K71:L81 K220:L220 K207:L217">
    <cfRule type="cellIs" dxfId="8" priority="8" stopIfTrue="1" operator="greaterThanOrEqual">
      <formula>$K$69</formula>
    </cfRule>
  </conditionalFormatting>
  <conditionalFormatting sqref="AF56:AF57 L12:L24 AF11:AF24 V12:V24 V32:V45 AF33:AF45 L32:L45">
    <cfRule type="cellIs" dxfId="7" priority="6" stopIfTrue="1" operator="equal">
      <formula>0</formula>
    </cfRule>
    <cfRule type="cellIs" dxfId="6" priority="7" stopIfTrue="1" operator="lessThan">
      <formula>0</formula>
    </cfRule>
  </conditionalFormatting>
  <conditionalFormatting sqref="K84:K85">
    <cfRule type="cellIs" dxfId="5" priority="5" stopIfTrue="1" operator="greaterThanOrEqual">
      <formula>$K$72</formula>
    </cfRule>
  </conditionalFormatting>
  <conditionalFormatting sqref="W84:X85">
    <cfRule type="cellIs" dxfId="4" priority="4" stopIfTrue="1" operator="lessThan">
      <formula>0</formula>
    </cfRule>
  </conditionalFormatting>
  <conditionalFormatting sqref="U84:U85">
    <cfRule type="cellIs" dxfId="3" priority="3" stopIfTrue="1" operator="greaterThan">
      <formula>48</formula>
    </cfRule>
  </conditionalFormatting>
  <conditionalFormatting sqref="AF32">
    <cfRule type="cellIs" dxfId="2" priority="1" stopIfTrue="1" operator="equal">
      <formula>0</formula>
    </cfRule>
    <cfRule type="cellIs" dxfId="1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40" formula="1"/>
  </ignoredError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T37" sqref="AT37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731" customWidth="1"/>
    <col min="5" max="5" width="4.28515625" style="3" customWidth="1"/>
    <col min="6" max="6" width="4.28515625" style="4" customWidth="1"/>
    <col min="7" max="8" width="4.28515625" style="731" customWidth="1"/>
    <col min="9" max="9" width="4.28515625" style="4" customWidth="1"/>
    <col min="10" max="10" width="4.28515625" style="731" customWidth="1"/>
    <col min="11" max="12" width="4.28515625" style="5" customWidth="1"/>
    <col min="13" max="26" width="4.28515625" style="731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43236</v>
      </c>
      <c r="C1" s="731" t="s">
        <v>0</v>
      </c>
      <c r="AN1" s="7"/>
      <c r="AO1" s="7"/>
      <c r="AR1" s="1340">
        <f>+AR46+AT46</f>
        <v>159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43237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731">
        <v>0</v>
      </c>
    </row>
    <row r="5" spans="1:58" ht="10.9" customHeight="1">
      <c r="B5" s="1244" t="s">
        <v>1</v>
      </c>
      <c r="C5" s="1140">
        <v>43230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43231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43232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43233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43230</v>
      </c>
      <c r="AW7" s="1296">
        <f>+M5</f>
        <v>43231</v>
      </c>
      <c r="AX7" s="1296">
        <f>+W5</f>
        <v>43232</v>
      </c>
      <c r="AY7" s="1309">
        <f>+AG5</f>
        <v>43233</v>
      </c>
      <c r="AZ7" s="1296">
        <f>+C26</f>
        <v>43234</v>
      </c>
      <c r="BA7" s="1296">
        <f>+M26</f>
        <v>43235</v>
      </c>
      <c r="BB7" s="1296">
        <f>+W26</f>
        <v>43236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>
        <v>8</v>
      </c>
      <c r="X11" s="337">
        <v>17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-1</v>
      </c>
      <c r="AQ11" s="1298"/>
      <c r="AR11" s="1299">
        <f t="shared" ref="AR11:AR20" si="16">ROUND(BD11*AP11,1)</f>
        <v>-4.5</v>
      </c>
      <c r="AS11" s="1300"/>
      <c r="AT11" s="338">
        <f t="shared" ref="AT11:AT24" si="17">IF(AT32&gt;0,AT32*$AT$10,0)</f>
        <v>24</v>
      </c>
      <c r="AV11" s="26">
        <f t="shared" ref="AV11:AV20" si="18">+L11</f>
        <v>0</v>
      </c>
      <c r="AW11" s="26">
        <f t="shared" ref="AW11:AW20" si="19">+V11</f>
        <v>-1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-4.5464285714285708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726">
        <v>7</v>
      </c>
      <c r="N12" s="342">
        <v>17</v>
      </c>
      <c r="O12" s="30">
        <v>1</v>
      </c>
      <c r="P12" s="31">
        <f t="shared" si="5"/>
        <v>9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1</v>
      </c>
      <c r="W12" s="342"/>
      <c r="X12" s="342"/>
      <c r="Y12" s="30"/>
      <c r="Z12" s="31">
        <f t="shared" si="9"/>
        <v>0</v>
      </c>
      <c r="AA12" s="344"/>
      <c r="AB12" s="348"/>
      <c r="AC12" s="36">
        <f t="shared" si="10"/>
        <v>0</v>
      </c>
      <c r="AD12" s="30"/>
      <c r="AE12" s="32">
        <f t="shared" si="11"/>
        <v>0</v>
      </c>
      <c r="AF12" s="20">
        <f>IF(W12&gt;0,IF(AE$5&gt;0,(Z12+AC12)*2,(Z12+AC12-8)),0)*IF(Z12&lt;9,IF(AE$5&gt;0,1,2),1)+IF(Z12&gt;8,AC12,0)</f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3</v>
      </c>
      <c r="AQ12" s="1283"/>
      <c r="AR12" s="1284">
        <f t="shared" si="16"/>
        <v>15.4</v>
      </c>
      <c r="AS12" s="1285"/>
      <c r="AT12" s="345">
        <f t="shared" si="17"/>
        <v>20</v>
      </c>
      <c r="AV12" s="26">
        <f t="shared" si="18"/>
        <v>2</v>
      </c>
      <c r="AW12" s="26">
        <f t="shared" si="19"/>
        <v>1</v>
      </c>
      <c r="AX12" s="26">
        <f t="shared" si="20"/>
        <v>0</v>
      </c>
      <c r="AY12" s="27">
        <f t="shared" si="21"/>
        <v>0</v>
      </c>
      <c r="AZ12" s="26">
        <f t="shared" si="22"/>
        <v>0</v>
      </c>
      <c r="BA12" s="26">
        <f t="shared" si="23"/>
        <v>1</v>
      </c>
      <c r="BB12" s="26">
        <f t="shared" si="24"/>
        <v>-1</v>
      </c>
      <c r="BC12" s="28"/>
      <c r="BD12" s="339">
        <f t="shared" si="25"/>
        <v>5.1339285714285712</v>
      </c>
      <c r="BE12" s="340">
        <f t="shared" si="26"/>
        <v>15.401785714285714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726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12</v>
      </c>
      <c r="Y13" s="30">
        <v>1</v>
      </c>
      <c r="Z13" s="31">
        <f t="shared" si="9"/>
        <v>4</v>
      </c>
      <c r="AA13" s="344"/>
      <c r="AB13" s="41">
        <v>4</v>
      </c>
      <c r="AC13" s="36">
        <f t="shared" si="10"/>
        <v>4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1</v>
      </c>
      <c r="AQ13" s="1283"/>
      <c r="AR13" s="1284">
        <f t="shared" si="16"/>
        <v>5.0999999999999996</v>
      </c>
      <c r="AS13" s="1285"/>
      <c r="AT13" s="345">
        <f t="shared" si="17"/>
        <v>20</v>
      </c>
      <c r="AV13" s="26">
        <f t="shared" si="18"/>
        <v>0</v>
      </c>
      <c r="AW13" s="26">
        <f t="shared" si="19"/>
        <v>0</v>
      </c>
      <c r="AX13" s="26">
        <f t="shared" si="20"/>
        <v>0</v>
      </c>
      <c r="AY13" s="27">
        <f t="shared" si="21"/>
        <v>0</v>
      </c>
      <c r="AZ13" s="26">
        <f t="shared" si="22"/>
        <v>0</v>
      </c>
      <c r="BA13" s="26">
        <f t="shared" si="23"/>
        <v>0</v>
      </c>
      <c r="BB13" s="26">
        <f t="shared" si="24"/>
        <v>1</v>
      </c>
      <c r="BC13" s="28"/>
      <c r="BD13" s="339">
        <f t="shared" si="25"/>
        <v>5.1339285714285712</v>
      </c>
      <c r="BE13" s="340">
        <f t="shared" si="26"/>
        <v>5.1339285714285712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17</v>
      </c>
      <c r="E14" s="42">
        <v>1</v>
      </c>
      <c r="F14" s="44">
        <f t="shared" si="1"/>
        <v>9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1</v>
      </c>
      <c r="M14" s="347">
        <v>7</v>
      </c>
      <c r="N14" s="346">
        <v>24</v>
      </c>
      <c r="O14" s="42">
        <v>2</v>
      </c>
      <c r="P14" s="44">
        <f t="shared" si="5"/>
        <v>15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14</v>
      </c>
      <c r="W14" s="347">
        <v>20</v>
      </c>
      <c r="X14" s="346">
        <v>24</v>
      </c>
      <c r="Y14" s="42">
        <v>1</v>
      </c>
      <c r="Z14" s="44">
        <f t="shared" si="9"/>
        <v>3</v>
      </c>
      <c r="AA14" s="344">
        <v>0</v>
      </c>
      <c r="AB14" s="344">
        <v>7</v>
      </c>
      <c r="AC14" s="36">
        <f t="shared" si="10"/>
        <v>7</v>
      </c>
      <c r="AD14" s="42"/>
      <c r="AE14" s="45">
        <f t="shared" si="11"/>
        <v>6</v>
      </c>
      <c r="AF14" s="20">
        <f>IF(W14&gt;0,IF(AE$5&gt;0,(Z14+AC14)*2,(Z14+AC14-8)),0)*IF(Z14&lt;9,IF(AE$5&gt;0,1,2),1)+IF(Z14&gt;8,AC14,0)</f>
        <v>4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22</v>
      </c>
      <c r="AQ14" s="1283"/>
      <c r="AR14" s="1284">
        <f t="shared" si="16"/>
        <v>91.7</v>
      </c>
      <c r="AS14" s="1285"/>
      <c r="AT14" s="345">
        <f t="shared" si="17"/>
        <v>24</v>
      </c>
      <c r="AV14" s="26">
        <f t="shared" si="18"/>
        <v>1</v>
      </c>
      <c r="AW14" s="26">
        <f t="shared" si="19"/>
        <v>14</v>
      </c>
      <c r="AX14" s="26">
        <f t="shared" si="20"/>
        <v>4</v>
      </c>
      <c r="AY14" s="27">
        <f t="shared" si="21"/>
        <v>0</v>
      </c>
      <c r="AZ14" s="26">
        <f t="shared" si="22"/>
        <v>1</v>
      </c>
      <c r="BA14" s="26">
        <f t="shared" si="23"/>
        <v>2</v>
      </c>
      <c r="BB14" s="26">
        <f t="shared" si="24"/>
        <v>0</v>
      </c>
      <c r="BC14" s="28"/>
      <c r="BD14" s="339">
        <f t="shared" si="25"/>
        <v>4.1666785714285712</v>
      </c>
      <c r="BE14" s="340">
        <f t="shared" si="26"/>
        <v>91.666928571428571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726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>
        <v>0.5</v>
      </c>
      <c r="AC15" s="31">
        <f t="shared" si="10"/>
        <v>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3</v>
      </c>
      <c r="AQ15" s="1295"/>
      <c r="AR15" s="1284">
        <f t="shared" si="16"/>
        <v>15.4</v>
      </c>
      <c r="AS15" s="1285"/>
      <c r="AT15" s="345">
        <f t="shared" si="17"/>
        <v>24</v>
      </c>
      <c r="AV15" s="26">
        <f t="shared" si="18"/>
        <v>1</v>
      </c>
      <c r="AW15" s="26">
        <f t="shared" si="19"/>
        <v>1</v>
      </c>
      <c r="AX15" s="26">
        <f t="shared" si="20"/>
        <v>-1</v>
      </c>
      <c r="AY15" s="27">
        <f t="shared" si="21"/>
        <v>0</v>
      </c>
      <c r="AZ15" s="26">
        <f t="shared" si="22"/>
        <v>0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15.401785714285714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-1</v>
      </c>
      <c r="AQ16" s="1283"/>
      <c r="AR16" s="1284">
        <f>ROUND(BD16*AP16,1)</f>
        <v>-5.0999999999999996</v>
      </c>
      <c r="AS16" s="1285"/>
      <c r="AT16" s="345">
        <f t="shared" si="17"/>
        <v>20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-1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-5.1339285714285712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12</v>
      </c>
      <c r="AQ18" s="1283"/>
      <c r="AR18" s="1284">
        <f t="shared" si="16"/>
        <v>46.5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46.500042857142859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28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15" t="str">
        <f t="shared" si="0"/>
        <v>Patrick Palacios</v>
      </c>
      <c r="C21" s="740"/>
      <c r="D21" s="741"/>
      <c r="E21" s="742"/>
      <c r="F21" s="743">
        <f>+D21-C21-E21</f>
        <v>0</v>
      </c>
      <c r="G21" s="741"/>
      <c r="H21" s="741"/>
      <c r="I21" s="743">
        <f>+H21-G21</f>
        <v>0</v>
      </c>
      <c r="J21" s="742"/>
      <c r="K21" s="744">
        <f>+I21+F21-L21</f>
        <v>0</v>
      </c>
      <c r="L21" s="745">
        <f t="shared" si="4"/>
        <v>0</v>
      </c>
      <c r="M21" s="741"/>
      <c r="N21" s="741"/>
      <c r="O21" s="742"/>
      <c r="P21" s="743">
        <f>+N21-M21-O21</f>
        <v>0</v>
      </c>
      <c r="Q21" s="746"/>
      <c r="R21" s="741"/>
      <c r="S21" s="743">
        <f>+R21-Q21</f>
        <v>0</v>
      </c>
      <c r="T21" s="742"/>
      <c r="U21" s="744">
        <f>+S21+P21-V21</f>
        <v>0</v>
      </c>
      <c r="V21" s="745">
        <f>IF(M21&gt;0,(P21+S21)+IF(U$5&gt;0,P21,-8),0)+IF(AE$5&gt;0,S21,0)</f>
        <v>0</v>
      </c>
      <c r="W21" s="742"/>
      <c r="X21" s="741"/>
      <c r="Y21" s="742"/>
      <c r="Z21" s="743">
        <f>+X21-W21-Y21</f>
        <v>0</v>
      </c>
      <c r="AA21" s="741"/>
      <c r="AB21" s="747"/>
      <c r="AC21" s="743">
        <f>+AB21-AA21</f>
        <v>0</v>
      </c>
      <c r="AD21" s="742"/>
      <c r="AE21" s="744">
        <f>+AC21+Z21-IF(AE$5&gt;0,AF21/2,AF21)</f>
        <v>0</v>
      </c>
      <c r="AF21" s="745">
        <f t="shared" si="28"/>
        <v>0</v>
      </c>
      <c r="AG21" s="736"/>
      <c r="AH21" s="736"/>
      <c r="AI21" s="736"/>
      <c r="AJ21" s="738">
        <f t="shared" si="12"/>
        <v>0</v>
      </c>
      <c r="AK21" s="736"/>
      <c r="AL21" s="736"/>
      <c r="AM21" s="737">
        <f>+AL21-AK21</f>
        <v>0</v>
      </c>
      <c r="AN21" s="736"/>
      <c r="AO21" s="739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12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3.875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ref="K22:K23" si="29">+I22+F22-L22</f>
        <v>8</v>
      </c>
      <c r="L22" s="461">
        <f t="shared" si="4"/>
        <v>2</v>
      </c>
      <c r="M22" s="727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ref="U22:U23" si="30">+S22+P22-V22</f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 t="shared" ref="AE22:AE23" si="31">+AC22+Z22-IF(AE$5&gt;0,AF22/2,AF22)</f>
        <v>8</v>
      </c>
      <c r="AF22" s="461">
        <f t="shared" si="28"/>
        <v>2</v>
      </c>
      <c r="AG22" s="459">
        <v>7</v>
      </c>
      <c r="AH22" s="459">
        <v>18</v>
      </c>
      <c r="AI22" s="459">
        <v>1</v>
      </c>
      <c r="AJ22" s="38">
        <f t="shared" si="12"/>
        <v>10</v>
      </c>
      <c r="AK22" s="459"/>
      <c r="AL22" s="459"/>
      <c r="AM22" s="460">
        <f>+AL22-AK22</f>
        <v>0</v>
      </c>
      <c r="AN22" s="459"/>
      <c r="AO22" s="465">
        <f>(AJ22*2+AM22)</f>
        <v>20</v>
      </c>
      <c r="AP22" s="1290">
        <f t="shared" si="15"/>
        <v>32</v>
      </c>
      <c r="AQ22" s="1291"/>
      <c r="AR22" s="1292">
        <f>ROUND(BD22*AP22,1)</f>
        <v>124</v>
      </c>
      <c r="AS22" s="1293"/>
      <c r="AT22" s="488">
        <f t="shared" si="17"/>
        <v>28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3.875</v>
      </c>
      <c r="BE22" s="351">
        <f>+BD22*AP22</f>
        <v>124</v>
      </c>
      <c r="BF22" s="352">
        <f>+BD22*AY22</f>
        <v>77.5</v>
      </c>
    </row>
    <row r="23" spans="1:58" s="55" customFormat="1" ht="14.1" customHeight="1">
      <c r="A23" s="50"/>
      <c r="B23" s="513" t="str">
        <f t="shared" si="0"/>
        <v>Rafael Armas R.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32">
        <f t="shared" si="29"/>
        <v>8</v>
      </c>
      <c r="L23" s="461">
        <f t="shared" si="4"/>
        <v>2</v>
      </c>
      <c r="M23" s="727">
        <v>7</v>
      </c>
      <c r="N23" s="459">
        <v>18</v>
      </c>
      <c r="O23" s="459">
        <v>1</v>
      </c>
      <c r="P23" s="460">
        <f>+N23-M23-O23</f>
        <v>10</v>
      </c>
      <c r="Q23" s="459"/>
      <c r="R23" s="459"/>
      <c r="S23" s="460">
        <f>+R23-Q23</f>
        <v>0</v>
      </c>
      <c r="T23" s="459"/>
      <c r="U23" s="32">
        <f t="shared" si="30"/>
        <v>8</v>
      </c>
      <c r="V23" s="461">
        <f>IF(M23&gt;0,(P23+S23)+IF(U$5&gt;0,P23,-8),0)+IF(AE$5&gt;0,S23,0)</f>
        <v>2</v>
      </c>
      <c r="W23" s="459">
        <v>7</v>
      </c>
      <c r="X23" s="459">
        <v>18</v>
      </c>
      <c r="Y23" s="459">
        <v>1</v>
      </c>
      <c r="Z23" s="460">
        <f>+X23-W23-Y23</f>
        <v>10</v>
      </c>
      <c r="AA23" s="459"/>
      <c r="AB23" s="463"/>
      <c r="AC23" s="460">
        <f>+AB23-AA23</f>
        <v>0</v>
      </c>
      <c r="AD23" s="459"/>
      <c r="AE23" s="32">
        <f t="shared" si="31"/>
        <v>8</v>
      </c>
      <c r="AF23" s="461">
        <f t="shared" si="28"/>
        <v>2</v>
      </c>
      <c r="AG23" s="459">
        <v>7</v>
      </c>
      <c r="AH23" s="459">
        <v>18</v>
      </c>
      <c r="AI23" s="459">
        <v>1</v>
      </c>
      <c r="AJ23" s="38">
        <f t="shared" si="12"/>
        <v>10</v>
      </c>
      <c r="AK23" s="459"/>
      <c r="AL23" s="459"/>
      <c r="AM23" s="460">
        <f>+AL23-AK23</f>
        <v>0</v>
      </c>
      <c r="AN23" s="725"/>
      <c r="AO23" s="465">
        <f>(AJ23*2+AM23)</f>
        <v>20</v>
      </c>
      <c r="AP23" s="1282">
        <f t="shared" si="15"/>
        <v>32</v>
      </c>
      <c r="AQ23" s="1283"/>
      <c r="AR23" s="1272">
        <f>ROUND(BD23*AP23,1)</f>
        <v>124</v>
      </c>
      <c r="AS23" s="1273"/>
      <c r="AT23" s="359">
        <f t="shared" si="17"/>
        <v>28</v>
      </c>
      <c r="AV23" s="69">
        <f>+L23</f>
        <v>2</v>
      </c>
      <c r="AW23" s="69">
        <f>+V23</f>
        <v>2</v>
      </c>
      <c r="AX23" s="69">
        <f>+AF23</f>
        <v>2</v>
      </c>
      <c r="AY23" s="70">
        <f>+AO23</f>
        <v>20</v>
      </c>
      <c r="AZ23" s="69">
        <f>+L44</f>
        <v>2</v>
      </c>
      <c r="BA23" s="69">
        <f>+V44</f>
        <v>2</v>
      </c>
      <c r="BB23" s="69">
        <f>+AF44</f>
        <v>2</v>
      </c>
      <c r="BC23" s="54"/>
      <c r="BD23" s="339">
        <f>+I83</f>
        <v>3.875</v>
      </c>
      <c r="BE23" s="351">
        <f>+BD23*AP23</f>
        <v>124</v>
      </c>
      <c r="BF23" s="352">
        <f>+BD23*AY23</f>
        <v>77.5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3.5416625000000002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412.42411428571427</v>
      </c>
      <c r="BF25" s="1242">
        <f>SUM(BF11:BF24)</f>
        <v>155</v>
      </c>
    </row>
    <row r="26" spans="1:58" ht="10.9" customHeight="1">
      <c r="B26" s="1244" t="s">
        <v>1</v>
      </c>
      <c r="C26" s="1140">
        <f>1+AG5</f>
        <v>43234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43235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43236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43230</v>
      </c>
      <c r="AJ26" s="1218">
        <f t="shared" ref="AJ26:AO26" si="32">1+AI26</f>
        <v>43231</v>
      </c>
      <c r="AK26" s="1218">
        <f t="shared" si="32"/>
        <v>43232</v>
      </c>
      <c r="AL26" s="1219">
        <f t="shared" si="32"/>
        <v>43233</v>
      </c>
      <c r="AM26" s="1219">
        <f t="shared" si="32"/>
        <v>43234</v>
      </c>
      <c r="AN26" s="1220">
        <f t="shared" si="32"/>
        <v>43235</v>
      </c>
      <c r="AO26" s="1220">
        <f t="shared" si="32"/>
        <v>43236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43233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103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63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3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4">+D32-C32-E32</f>
        <v>8</v>
      </c>
      <c r="G32" s="33"/>
      <c r="H32" s="47"/>
      <c r="I32" s="31">
        <f t="shared" ref="I32:I45" si="35">+H32-G32</f>
        <v>0</v>
      </c>
      <c r="J32" s="30"/>
      <c r="K32" s="32">
        <f t="shared" ref="K32:K45" si="36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7">+N32-M32-O32</f>
        <v>8</v>
      </c>
      <c r="Q32" s="106"/>
      <c r="R32" s="107"/>
      <c r="S32" s="31">
        <f t="shared" ref="S32:S45" si="38">+R32-Q32</f>
        <v>0</v>
      </c>
      <c r="T32" s="30"/>
      <c r="U32" s="32">
        <f t="shared" ref="U32:U45" si="39">+S32+P32-V32</f>
        <v>8</v>
      </c>
      <c r="V32" s="20">
        <f>IF(M32&gt;0,(P32+S32)+IF(U$26&gt;0,P32,-8),0)+IF(AE$26&gt;0,S32,0)</f>
        <v>0</v>
      </c>
      <c r="W32" s="369">
        <v>7</v>
      </c>
      <c r="X32" s="370">
        <v>16</v>
      </c>
      <c r="Y32" s="108">
        <v>1</v>
      </c>
      <c r="Z32" s="109">
        <f t="shared" ref="Z32:Z45" si="40">+X32-W32-Y32</f>
        <v>8</v>
      </c>
      <c r="AA32" s="370"/>
      <c r="AB32" s="18"/>
      <c r="AC32" s="109">
        <f t="shared" ref="AC32:AC45" si="41">+AB32-AA32</f>
        <v>0</v>
      </c>
      <c r="AD32" s="108"/>
      <c r="AE32" s="110">
        <f t="shared" ref="AE32:AE45" si="42">+AC32+Z32-AF32</f>
        <v>8</v>
      </c>
      <c r="AF32" s="111">
        <f t="shared" ref="AF32:AF45" si="43">IF(W32&gt;0,(Z32+AC32)+IF(AE$26&gt;0,0+Z32,-8),0)</f>
        <v>0</v>
      </c>
      <c r="AG32" s="55"/>
      <c r="AH32" s="112">
        <v>0</v>
      </c>
      <c r="AI32" s="113">
        <f t="shared" ref="AI32:AI45" si="44">+K11+(IF(ISBLANK($K$5),-8,0))</f>
        <v>0</v>
      </c>
      <c r="AJ32" s="113">
        <f t="shared" ref="AJ32:AJ45" si="45">IF(ISBLANK($U$5),-8,0)+U11</f>
        <v>0</v>
      </c>
      <c r="AK32" s="113">
        <f>IF(ISBLANK($AE$5),-8,0)+AE11</f>
        <v>0</v>
      </c>
      <c r="AL32" s="113">
        <f t="shared" ref="AL32:AL45" si="46">IF(ISBLANK($AO$5),-8,0)+AO11+AW32</f>
        <v>0</v>
      </c>
      <c r="AM32" s="113">
        <f t="shared" ref="AM32:AM45" si="47">IF(ISBLANK($K$26),-8,0)+K32</f>
        <v>0</v>
      </c>
      <c r="AN32" s="113">
        <f t="shared" ref="AN32:AN45" si="48">IF(ISBLANK($U$26),-8,0)+U32</f>
        <v>0</v>
      </c>
      <c r="AO32" s="113">
        <f t="shared" ref="AO32:AO45" si="49">IF(ISBLANK($AE$26),-8,0)+AE32</f>
        <v>0</v>
      </c>
      <c r="AP32" s="114">
        <f t="shared" ref="AP32:AP45" si="50">SUM(AH32:AO32)</f>
        <v>0</v>
      </c>
      <c r="AQ32" s="55"/>
      <c r="AR32" s="1159">
        <f t="shared" ref="AR32:AR40" si="51">+X71*Q71</f>
        <v>0</v>
      </c>
      <c r="AS32" s="1197"/>
      <c r="AT32" s="117">
        <f t="shared" ref="AT32:AT41" si="52">IF(K11+L11&gt;0,1,0)+IF(U11+V11&gt;0,1,0)+IF(AE11+AF11&gt;0,1,0)+IF(AO11&gt;3,1,0)+IF(K32+L32&gt;0,1,0)+IF(U32+V32&gt;0,1,0)+IF(AE32+AF32&gt;0,1,0)</f>
        <v>6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3"/>
        <v>Cesar Mendez M.</v>
      </c>
      <c r="C33" s="334">
        <v>7</v>
      </c>
      <c r="D33" s="342">
        <v>16</v>
      </c>
      <c r="E33" s="30">
        <v>1</v>
      </c>
      <c r="F33" s="31">
        <f t="shared" si="34"/>
        <v>8</v>
      </c>
      <c r="G33" s="33"/>
      <c r="H33" s="346"/>
      <c r="I33" s="31">
        <f t="shared" si="35"/>
        <v>0</v>
      </c>
      <c r="J33" s="30"/>
      <c r="K33" s="32">
        <f t="shared" si="36"/>
        <v>8</v>
      </c>
      <c r="L33" s="20">
        <f>IF(C33&gt;0,(F33+I33)+IF(K$26&gt;0,F33,-8),0)+IF(U$26&gt;0,I33,0)</f>
        <v>0</v>
      </c>
      <c r="M33" s="342">
        <v>8</v>
      </c>
      <c r="N33" s="342">
        <v>18</v>
      </c>
      <c r="O33" s="30">
        <v>1</v>
      </c>
      <c r="P33" s="31">
        <f t="shared" si="37"/>
        <v>9</v>
      </c>
      <c r="Q33" s="346"/>
      <c r="R33" s="346"/>
      <c r="S33" s="31">
        <f t="shared" si="38"/>
        <v>0</v>
      </c>
      <c r="T33" s="30"/>
      <c r="U33" s="32">
        <f t="shared" si="39"/>
        <v>8</v>
      </c>
      <c r="V33" s="20">
        <f>IF(M33&gt;0,(P33+S33)+IF(U$26&gt;0,P33,-8),0)+IF(AE$26&gt;0,S33,0)</f>
        <v>1</v>
      </c>
      <c r="W33" s="334">
        <v>7</v>
      </c>
      <c r="X33" s="342">
        <v>15</v>
      </c>
      <c r="Y33" s="30">
        <v>1</v>
      </c>
      <c r="Z33" s="31">
        <f t="shared" si="40"/>
        <v>7</v>
      </c>
      <c r="AA33" s="342"/>
      <c r="AB33" s="346"/>
      <c r="AC33" s="31">
        <f t="shared" si="41"/>
        <v>0</v>
      </c>
      <c r="AD33" s="30"/>
      <c r="AE33" s="32">
        <f t="shared" si="42"/>
        <v>8</v>
      </c>
      <c r="AF33" s="20">
        <f t="shared" si="43"/>
        <v>-1</v>
      </c>
      <c r="AG33" s="55"/>
      <c r="AH33" s="112">
        <v>0</v>
      </c>
      <c r="AI33" s="113">
        <f t="shared" si="44"/>
        <v>0</v>
      </c>
      <c r="AJ33" s="113">
        <f t="shared" si="45"/>
        <v>0</v>
      </c>
      <c r="AK33" s="113">
        <f>IF(ISBLANK($AE$5),-8,0)+AE12</f>
        <v>-8</v>
      </c>
      <c r="AL33" s="113">
        <f t="shared" si="46"/>
        <v>0</v>
      </c>
      <c r="AM33" s="113">
        <f t="shared" si="47"/>
        <v>0</v>
      </c>
      <c r="AN33" s="113">
        <f t="shared" si="48"/>
        <v>0</v>
      </c>
      <c r="AO33" s="113">
        <f t="shared" si="49"/>
        <v>0</v>
      </c>
      <c r="AP33" s="114">
        <f t="shared" si="50"/>
        <v>-8</v>
      </c>
      <c r="AQ33" s="55"/>
      <c r="AR33" s="1159">
        <f t="shared" si="51"/>
        <v>0</v>
      </c>
      <c r="AS33" s="1160"/>
      <c r="AT33" s="117">
        <f t="shared" si="52"/>
        <v>5</v>
      </c>
      <c r="AU33" s="55"/>
      <c r="AV33" s="55"/>
      <c r="AW33" s="1134"/>
      <c r="AX33" s="1135"/>
    </row>
    <row r="34" spans="1:56" ht="14.1" customHeight="1">
      <c r="B34" s="29" t="str">
        <f t="shared" si="33"/>
        <v>Miguel Tejada Ll.</v>
      </c>
      <c r="C34" s="334"/>
      <c r="D34" s="342"/>
      <c r="E34" s="30"/>
      <c r="F34" s="31">
        <f t="shared" si="34"/>
        <v>0</v>
      </c>
      <c r="G34" s="346"/>
      <c r="H34" s="346"/>
      <c r="I34" s="31">
        <f t="shared" si="35"/>
        <v>0</v>
      </c>
      <c r="J34" s="30"/>
      <c r="K34" s="32">
        <f t="shared" si="36"/>
        <v>0</v>
      </c>
      <c r="L34" s="20">
        <f t="shared" ref="L34:L45" si="53">IF(C34&gt;0,(F34+I34)+IF(K$26&gt;0,F34,-8),0)+IF(U$26&gt;0,I34,0)</f>
        <v>0</v>
      </c>
      <c r="M34" s="334">
        <v>7</v>
      </c>
      <c r="N34" s="342">
        <v>16</v>
      </c>
      <c r="O34" s="30">
        <v>1</v>
      </c>
      <c r="P34" s="31">
        <f t="shared" si="37"/>
        <v>8</v>
      </c>
      <c r="Q34" s="106"/>
      <c r="R34" s="106"/>
      <c r="S34" s="31">
        <f t="shared" si="38"/>
        <v>0</v>
      </c>
      <c r="T34" s="30"/>
      <c r="U34" s="32">
        <f t="shared" si="39"/>
        <v>8</v>
      </c>
      <c r="V34" s="20">
        <f t="shared" ref="V34:V45" si="54">IF(M34&gt;0,(P34+S34)+IF(U$26&gt;0,P34,-8),0)+IF(AE$26&gt;0,S34,0)</f>
        <v>0</v>
      </c>
      <c r="W34" s="334">
        <v>8</v>
      </c>
      <c r="X34" s="342">
        <v>18</v>
      </c>
      <c r="Y34" s="30">
        <v>1</v>
      </c>
      <c r="Z34" s="31">
        <f t="shared" si="40"/>
        <v>9</v>
      </c>
      <c r="AA34" s="342"/>
      <c r="AB34" s="116"/>
      <c r="AC34" s="31">
        <f t="shared" si="41"/>
        <v>0</v>
      </c>
      <c r="AD34" s="30"/>
      <c r="AE34" s="32">
        <f t="shared" si="42"/>
        <v>8</v>
      </c>
      <c r="AF34" s="20">
        <f t="shared" si="43"/>
        <v>1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IF(ISBLANK($AE$5),-8,0)+AE13</f>
        <v>0</v>
      </c>
      <c r="AL34" s="113">
        <f t="shared" si="46"/>
        <v>0</v>
      </c>
      <c r="AM34" s="113">
        <f t="shared" si="47"/>
        <v>-8</v>
      </c>
      <c r="AN34" s="113">
        <f t="shared" si="48"/>
        <v>0</v>
      </c>
      <c r="AO34" s="113">
        <f t="shared" si="49"/>
        <v>0</v>
      </c>
      <c r="AP34" s="114">
        <f t="shared" si="50"/>
        <v>-8</v>
      </c>
      <c r="AQ34" s="55"/>
      <c r="AR34" s="1159">
        <f t="shared" si="51"/>
        <v>0</v>
      </c>
      <c r="AS34" s="1160"/>
      <c r="AT34" s="118">
        <f t="shared" si="52"/>
        <v>5</v>
      </c>
      <c r="AU34" s="55"/>
      <c r="AV34" s="55"/>
      <c r="AW34" s="1134"/>
      <c r="AX34" s="1135"/>
    </row>
    <row r="35" spans="1:56" ht="14.1" customHeight="1">
      <c r="B35" s="29" t="str">
        <f t="shared" si="33"/>
        <v>Alejandro Dueñas</v>
      </c>
      <c r="C35" s="372">
        <v>7</v>
      </c>
      <c r="D35" s="348">
        <v>17</v>
      </c>
      <c r="E35" s="119">
        <v>1</v>
      </c>
      <c r="F35" s="120">
        <f t="shared" si="34"/>
        <v>9</v>
      </c>
      <c r="G35" s="346"/>
      <c r="H35" s="346"/>
      <c r="I35" s="120">
        <f t="shared" si="35"/>
        <v>0</v>
      </c>
      <c r="J35" s="119"/>
      <c r="K35" s="121">
        <f t="shared" si="36"/>
        <v>8</v>
      </c>
      <c r="L35" s="20">
        <f t="shared" si="53"/>
        <v>1</v>
      </c>
      <c r="M35" s="342">
        <v>7</v>
      </c>
      <c r="N35" s="342">
        <v>18</v>
      </c>
      <c r="O35" s="30">
        <v>1</v>
      </c>
      <c r="P35" s="31">
        <f t="shared" si="37"/>
        <v>10</v>
      </c>
      <c r="Q35" s="346"/>
      <c r="R35" s="346"/>
      <c r="S35" s="120">
        <f t="shared" si="38"/>
        <v>0</v>
      </c>
      <c r="T35" s="30"/>
      <c r="U35" s="32">
        <f t="shared" si="39"/>
        <v>8</v>
      </c>
      <c r="V35" s="20">
        <f t="shared" si="54"/>
        <v>2</v>
      </c>
      <c r="W35" s="334">
        <v>7</v>
      </c>
      <c r="X35" s="342">
        <v>16</v>
      </c>
      <c r="Y35" s="30">
        <v>1</v>
      </c>
      <c r="Z35" s="31">
        <f t="shared" si="40"/>
        <v>8</v>
      </c>
      <c r="AA35" s="342"/>
      <c r="AB35" s="342"/>
      <c r="AC35" s="31">
        <f t="shared" si="41"/>
        <v>0</v>
      </c>
      <c r="AD35" s="30"/>
      <c r="AE35" s="32">
        <f t="shared" si="42"/>
        <v>8</v>
      </c>
      <c r="AF35" s="20">
        <f t="shared" si="43"/>
        <v>0</v>
      </c>
      <c r="AG35" s="55"/>
      <c r="AH35" s="112">
        <v>0</v>
      </c>
      <c r="AI35" s="113">
        <f t="shared" si="44"/>
        <v>0</v>
      </c>
      <c r="AJ35" s="113">
        <f t="shared" si="45"/>
        <v>0</v>
      </c>
      <c r="AK35" s="113">
        <f>IF(ISBLANK($AE$5),-8,0)+AE14</f>
        <v>-2</v>
      </c>
      <c r="AL35" s="113">
        <f t="shared" si="46"/>
        <v>0</v>
      </c>
      <c r="AM35" s="113">
        <f t="shared" si="47"/>
        <v>0</v>
      </c>
      <c r="AN35" s="113">
        <f t="shared" si="48"/>
        <v>0</v>
      </c>
      <c r="AO35" s="113">
        <f t="shared" si="49"/>
        <v>0</v>
      </c>
      <c r="AP35" s="114">
        <f t="shared" si="50"/>
        <v>-2</v>
      </c>
      <c r="AQ35" s="55"/>
      <c r="AR35" s="1159">
        <f t="shared" si="51"/>
        <v>8.5165714285714316</v>
      </c>
      <c r="AS35" s="1160"/>
      <c r="AT35" s="118">
        <f t="shared" si="52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3"/>
        <v>Juan Manrique V.</v>
      </c>
      <c r="C36" s="334">
        <v>8</v>
      </c>
      <c r="D36" s="342">
        <v>17</v>
      </c>
      <c r="E36" s="30">
        <v>1</v>
      </c>
      <c r="F36" s="31">
        <f t="shared" si="34"/>
        <v>8</v>
      </c>
      <c r="G36" s="33"/>
      <c r="H36" s="47"/>
      <c r="I36" s="31">
        <f t="shared" si="35"/>
        <v>0</v>
      </c>
      <c r="J36" s="30"/>
      <c r="K36" s="32">
        <f t="shared" si="36"/>
        <v>8</v>
      </c>
      <c r="L36" s="20">
        <f t="shared" si="53"/>
        <v>0</v>
      </c>
      <c r="M36" s="342">
        <v>8</v>
      </c>
      <c r="N36" s="342">
        <v>18</v>
      </c>
      <c r="O36" s="30">
        <v>1</v>
      </c>
      <c r="P36" s="31">
        <f t="shared" si="37"/>
        <v>9</v>
      </c>
      <c r="Q36" s="106"/>
      <c r="R36" s="106"/>
      <c r="S36" s="31">
        <f t="shared" si="38"/>
        <v>0</v>
      </c>
      <c r="T36" s="30"/>
      <c r="U36" s="32">
        <f t="shared" si="39"/>
        <v>8</v>
      </c>
      <c r="V36" s="20">
        <f t="shared" si="54"/>
        <v>1</v>
      </c>
      <c r="W36" s="334">
        <v>8</v>
      </c>
      <c r="X36" s="342">
        <v>18</v>
      </c>
      <c r="Y36" s="30">
        <v>1</v>
      </c>
      <c r="Z36" s="31">
        <f t="shared" si="40"/>
        <v>9</v>
      </c>
      <c r="AA36" s="342"/>
      <c r="AB36" s="342"/>
      <c r="AC36" s="31">
        <f t="shared" si="41"/>
        <v>0</v>
      </c>
      <c r="AD36" s="30"/>
      <c r="AE36" s="32">
        <f t="shared" si="42"/>
        <v>8</v>
      </c>
      <c r="AF36" s="20">
        <f t="shared" si="43"/>
        <v>1</v>
      </c>
      <c r="AG36" s="55"/>
      <c r="AH36" s="112">
        <v>0</v>
      </c>
      <c r="AI36" s="113">
        <f t="shared" si="44"/>
        <v>0</v>
      </c>
      <c r="AJ36" s="113">
        <f t="shared" si="45"/>
        <v>0</v>
      </c>
      <c r="AK36" s="113">
        <f>IF(ISBLANK($AE$5),-8,0)+AE15</f>
        <v>0.5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0.5</v>
      </c>
      <c r="AQ36" s="55"/>
      <c r="AR36" s="1159">
        <f t="shared" si="51"/>
        <v>0</v>
      </c>
      <c r="AS36" s="1160"/>
      <c r="AT36" s="118">
        <f t="shared" si="52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3"/>
        <v xml:space="preserve"> Irving Huaringa B.</v>
      </c>
      <c r="C37" s="334"/>
      <c r="D37" s="342"/>
      <c r="E37" s="30"/>
      <c r="F37" s="31">
        <f>+D37-C37-E37</f>
        <v>0</v>
      </c>
      <c r="G37" s="33"/>
      <c r="H37" s="346"/>
      <c r="I37" s="31">
        <f>+H37-G37</f>
        <v>0</v>
      </c>
      <c r="J37" s="30"/>
      <c r="K37" s="32">
        <f>+I37+F37-L37</f>
        <v>0</v>
      </c>
      <c r="L37" s="20">
        <f t="shared" si="53"/>
        <v>0</v>
      </c>
      <c r="M37" s="342">
        <v>8</v>
      </c>
      <c r="N37" s="342">
        <v>16</v>
      </c>
      <c r="O37" s="30">
        <v>1</v>
      </c>
      <c r="P37" s="31">
        <f>+N37-M37-O37</f>
        <v>7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4"/>
        <v>-1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3"/>
        <v>0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24">
        <f>IF(ISBLANK($AE$5),-5,0)+AE16</f>
        <v>0</v>
      </c>
      <c r="AL37" s="113">
        <f t="shared" si="46"/>
        <v>0</v>
      </c>
      <c r="AM37" s="125">
        <f>IF(ISBLANK($K$26),-8,0)+K37</f>
        <v>-8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-8</v>
      </c>
      <c r="AQ37" s="55"/>
      <c r="AR37" s="1159">
        <f t="shared" si="51"/>
        <v>0</v>
      </c>
      <c r="AS37" s="1160"/>
      <c r="AT37" s="118">
        <f t="shared" si="52"/>
        <v>5</v>
      </c>
      <c r="AU37" s="55"/>
      <c r="AV37" s="55"/>
      <c r="AW37" s="1134"/>
      <c r="AX37" s="1135"/>
    </row>
    <row r="38" spans="1:56" ht="14.1" customHeight="1">
      <c r="B38" s="48" t="str">
        <f t="shared" si="33"/>
        <v xml:space="preserve">  -  .  -  </v>
      </c>
      <c r="C38" s="334"/>
      <c r="D38" s="342"/>
      <c r="E38" s="30"/>
      <c r="F38" s="31">
        <f t="shared" si="34"/>
        <v>0</v>
      </c>
      <c r="G38" s="33"/>
      <c r="H38" s="346"/>
      <c r="I38" s="31">
        <f t="shared" si="35"/>
        <v>0</v>
      </c>
      <c r="J38" s="30"/>
      <c r="K38" s="32">
        <f t="shared" si="36"/>
        <v>0</v>
      </c>
      <c r="L38" s="20">
        <f t="shared" si="53"/>
        <v>0</v>
      </c>
      <c r="M38" s="342"/>
      <c r="N38" s="342"/>
      <c r="O38" s="30"/>
      <c r="P38" s="31">
        <f t="shared" si="37"/>
        <v>0</v>
      </c>
      <c r="Q38" s="106"/>
      <c r="R38" s="106"/>
      <c r="S38" s="31">
        <f t="shared" si="38"/>
        <v>0</v>
      </c>
      <c r="T38" s="30"/>
      <c r="U38" s="32">
        <f t="shared" si="39"/>
        <v>0</v>
      </c>
      <c r="V38" s="20">
        <f t="shared" si="54"/>
        <v>0</v>
      </c>
      <c r="W38" s="334"/>
      <c r="X38" s="342"/>
      <c r="Y38" s="30"/>
      <c r="Z38" s="31">
        <f t="shared" si="40"/>
        <v>0</v>
      </c>
      <c r="AA38" s="342"/>
      <c r="AB38" s="342"/>
      <c r="AC38" s="31">
        <f>+AB38-AA38</f>
        <v>0</v>
      </c>
      <c r="AD38" s="30"/>
      <c r="AE38" s="32">
        <f t="shared" si="42"/>
        <v>0</v>
      </c>
      <c r="AF38" s="20">
        <f t="shared" si="43"/>
        <v>0</v>
      </c>
      <c r="AG38" s="55"/>
      <c r="AH38" s="112">
        <v>0</v>
      </c>
      <c r="AI38" s="113">
        <f t="shared" si="44"/>
        <v>-8</v>
      </c>
      <c r="AJ38" s="113">
        <f t="shared" si="45"/>
        <v>-8</v>
      </c>
      <c r="AK38" s="113">
        <f t="shared" ref="AK38:AK45" si="55">IF(ISBLANK($AE$5),-8,0)+AE17</f>
        <v>-8</v>
      </c>
      <c r="AL38" s="113">
        <f t="shared" si="46"/>
        <v>0</v>
      </c>
      <c r="AM38" s="113">
        <f t="shared" si="47"/>
        <v>-8</v>
      </c>
      <c r="AN38" s="113">
        <f t="shared" si="48"/>
        <v>-8</v>
      </c>
      <c r="AO38" s="113">
        <f t="shared" si="49"/>
        <v>-8</v>
      </c>
      <c r="AP38" s="114">
        <f t="shared" si="50"/>
        <v>-48</v>
      </c>
      <c r="AQ38" s="55"/>
      <c r="AR38" s="1159">
        <f t="shared" si="51"/>
        <v>0</v>
      </c>
      <c r="AS38" s="1160"/>
      <c r="AT38" s="118">
        <f t="shared" si="52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3"/>
        <v>Pedro Hostos S,</v>
      </c>
      <c r="C39" s="372">
        <v>7</v>
      </c>
      <c r="D39" s="348">
        <v>18</v>
      </c>
      <c r="E39" s="119">
        <v>1</v>
      </c>
      <c r="F39" s="31">
        <f t="shared" si="34"/>
        <v>10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3"/>
        <v>2</v>
      </c>
      <c r="M39" s="342">
        <v>7</v>
      </c>
      <c r="N39" s="342">
        <v>18</v>
      </c>
      <c r="O39" s="30">
        <v>1</v>
      </c>
      <c r="P39" s="31">
        <f t="shared" si="37"/>
        <v>10</v>
      </c>
      <c r="Q39" s="346"/>
      <c r="R39" s="346"/>
      <c r="S39" s="31">
        <f t="shared" si="38"/>
        <v>0</v>
      </c>
      <c r="T39" s="30"/>
      <c r="U39" s="32">
        <f t="shared" si="39"/>
        <v>8</v>
      </c>
      <c r="V39" s="20">
        <f t="shared" si="54"/>
        <v>2</v>
      </c>
      <c r="W39" s="334">
        <v>7</v>
      </c>
      <c r="X39" s="342">
        <v>18</v>
      </c>
      <c r="Y39" s="30">
        <v>1</v>
      </c>
      <c r="Z39" s="31">
        <f t="shared" si="40"/>
        <v>10</v>
      </c>
      <c r="AA39" s="342"/>
      <c r="AB39" s="342"/>
      <c r="AC39" s="31">
        <f t="shared" si="41"/>
        <v>0</v>
      </c>
      <c r="AD39" s="30"/>
      <c r="AE39" s="32">
        <f t="shared" si="42"/>
        <v>8</v>
      </c>
      <c r="AF39" s="20">
        <f t="shared" si="43"/>
        <v>2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si="55"/>
        <v>0</v>
      </c>
      <c r="AL39" s="113">
        <f t="shared" si="46"/>
        <v>0</v>
      </c>
      <c r="AM39" s="125">
        <f t="shared" si="47"/>
        <v>0</v>
      </c>
      <c r="AN39" s="125">
        <f t="shared" si="48"/>
        <v>0</v>
      </c>
      <c r="AO39" s="125">
        <f t="shared" si="49"/>
        <v>0</v>
      </c>
      <c r="AP39" s="114">
        <f t="shared" si="50"/>
        <v>0</v>
      </c>
      <c r="AQ39" s="55"/>
      <c r="AR39" s="1159">
        <f t="shared" si="51"/>
        <v>0</v>
      </c>
      <c r="AS39" s="1160"/>
      <c r="AT39" s="118">
        <f t="shared" si="52"/>
        <v>6</v>
      </c>
      <c r="AU39" s="55"/>
      <c r="AV39" s="55"/>
      <c r="AW39" s="1134"/>
      <c r="AX39" s="1135"/>
    </row>
    <row r="40" spans="1:56" ht="14.1" customHeight="1">
      <c r="B40" s="58" t="str">
        <f t="shared" si="33"/>
        <v xml:space="preserve">  -  .  -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3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54"/>
        <v>0</v>
      </c>
      <c r="W40" s="334"/>
      <c r="X40" s="342"/>
      <c r="Y40" s="30"/>
      <c r="Z40" s="31">
        <f t="shared" si="40"/>
        <v>0</v>
      </c>
      <c r="AA40" s="342"/>
      <c r="AB40" s="346"/>
      <c r="AC40" s="44">
        <f t="shared" si="41"/>
        <v>0</v>
      </c>
      <c r="AD40" s="30"/>
      <c r="AE40" s="32">
        <f t="shared" si="42"/>
        <v>0</v>
      </c>
      <c r="AF40" s="20">
        <f t="shared" si="43"/>
        <v>0</v>
      </c>
      <c r="AG40" s="126"/>
      <c r="AH40" s="127">
        <v>0</v>
      </c>
      <c r="AI40" s="113">
        <f t="shared" si="44"/>
        <v>-8</v>
      </c>
      <c r="AJ40" s="113">
        <f t="shared" si="45"/>
        <v>-8</v>
      </c>
      <c r="AK40" s="128">
        <f t="shared" si="55"/>
        <v>-8</v>
      </c>
      <c r="AL40" s="113">
        <f t="shared" si="46"/>
        <v>0</v>
      </c>
      <c r="AM40" s="113">
        <f t="shared" si="47"/>
        <v>-8</v>
      </c>
      <c r="AN40" s="113">
        <f t="shared" si="48"/>
        <v>-8</v>
      </c>
      <c r="AO40" s="113">
        <f t="shared" si="49"/>
        <v>-8</v>
      </c>
      <c r="AP40" s="114">
        <f t="shared" si="50"/>
        <v>-48</v>
      </c>
      <c r="AQ40" s="55"/>
      <c r="AR40" s="1159">
        <f t="shared" si="51"/>
        <v>0</v>
      </c>
      <c r="AS40" s="1160"/>
      <c r="AT40" s="118">
        <f t="shared" si="52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3"/>
        <v xml:space="preserve">  -  .  -  </v>
      </c>
      <c r="C41" s="522"/>
      <c r="D41" s="522"/>
      <c r="E41" s="522"/>
      <c r="F41" s="523">
        <f t="shared" si="34"/>
        <v>0</v>
      </c>
      <c r="G41" s="522"/>
      <c r="H41" s="522"/>
      <c r="I41" s="523">
        <f t="shared" si="35"/>
        <v>0</v>
      </c>
      <c r="J41" s="522"/>
      <c r="K41" s="523">
        <f t="shared" si="36"/>
        <v>0</v>
      </c>
      <c r="L41" s="524">
        <f t="shared" si="53"/>
        <v>0</v>
      </c>
      <c r="M41" s="522"/>
      <c r="N41" s="522"/>
      <c r="O41" s="522"/>
      <c r="P41" s="523">
        <f t="shared" si="37"/>
        <v>0</v>
      </c>
      <c r="Q41" s="525"/>
      <c r="R41" s="525"/>
      <c r="S41" s="523">
        <f t="shared" si="38"/>
        <v>0</v>
      </c>
      <c r="T41" s="522"/>
      <c r="U41" s="523">
        <f t="shared" si="39"/>
        <v>0</v>
      </c>
      <c r="V41" s="524">
        <f t="shared" si="54"/>
        <v>0</v>
      </c>
      <c r="W41" s="526"/>
      <c r="X41" s="522"/>
      <c r="Y41" s="522"/>
      <c r="Z41" s="523">
        <f t="shared" si="40"/>
        <v>0</v>
      </c>
      <c r="AA41" s="522"/>
      <c r="AB41" s="522"/>
      <c r="AC41" s="523">
        <f t="shared" si="41"/>
        <v>0</v>
      </c>
      <c r="AD41" s="522"/>
      <c r="AE41" s="523">
        <f t="shared" si="42"/>
        <v>0</v>
      </c>
      <c r="AF41" s="524">
        <f t="shared" si="43"/>
        <v>0</v>
      </c>
      <c r="AG41" s="514"/>
      <c r="AH41" s="529">
        <v>0</v>
      </c>
      <c r="AI41" s="530">
        <f t="shared" si="44"/>
        <v>-8</v>
      </c>
      <c r="AJ41" s="530">
        <f t="shared" si="45"/>
        <v>-8</v>
      </c>
      <c r="AK41" s="530">
        <f t="shared" si="55"/>
        <v>-8</v>
      </c>
      <c r="AL41" s="530">
        <f t="shared" si="46"/>
        <v>0</v>
      </c>
      <c r="AM41" s="530">
        <f t="shared" si="47"/>
        <v>-8</v>
      </c>
      <c r="AN41" s="530">
        <f t="shared" si="48"/>
        <v>-8</v>
      </c>
      <c r="AO41" s="530">
        <f t="shared" si="49"/>
        <v>-8</v>
      </c>
      <c r="AP41" s="531">
        <f t="shared" si="50"/>
        <v>-48</v>
      </c>
      <c r="AQ41" s="55"/>
      <c r="AR41" s="1191"/>
      <c r="AS41" s="1192"/>
      <c r="AT41" s="532">
        <f t="shared" si="52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15" t="str">
        <f t="shared" si="33"/>
        <v>Patrick Palacios</v>
      </c>
      <c r="C42" s="372">
        <v>7</v>
      </c>
      <c r="D42" s="348">
        <v>16</v>
      </c>
      <c r="E42" s="119">
        <v>1</v>
      </c>
      <c r="F42" s="31">
        <f t="shared" si="34"/>
        <v>8</v>
      </c>
      <c r="G42" s="33"/>
      <c r="H42" s="346"/>
      <c r="I42" s="31">
        <f t="shared" si="35"/>
        <v>0</v>
      </c>
      <c r="J42" s="30"/>
      <c r="K42" s="32">
        <f t="shared" si="36"/>
        <v>8</v>
      </c>
      <c r="L42" s="20">
        <f t="shared" si="53"/>
        <v>0</v>
      </c>
      <c r="M42" s="342">
        <v>7</v>
      </c>
      <c r="N42" s="342">
        <v>16</v>
      </c>
      <c r="O42" s="30">
        <v>1</v>
      </c>
      <c r="P42" s="31">
        <f t="shared" si="37"/>
        <v>8</v>
      </c>
      <c r="Q42" s="346"/>
      <c r="R42" s="346"/>
      <c r="S42" s="31">
        <f t="shared" si="38"/>
        <v>0</v>
      </c>
      <c r="T42" s="30"/>
      <c r="U42" s="32">
        <f t="shared" si="39"/>
        <v>8</v>
      </c>
      <c r="V42" s="20">
        <f t="shared" si="54"/>
        <v>0</v>
      </c>
      <c r="W42" s="334">
        <v>7</v>
      </c>
      <c r="X42" s="342">
        <v>16</v>
      </c>
      <c r="Y42" s="30">
        <v>1</v>
      </c>
      <c r="Z42" s="31">
        <f t="shared" si="40"/>
        <v>8</v>
      </c>
      <c r="AA42" s="342"/>
      <c r="AB42" s="342"/>
      <c r="AC42" s="31">
        <f t="shared" si="41"/>
        <v>0</v>
      </c>
      <c r="AD42" s="30"/>
      <c r="AE42" s="32">
        <f t="shared" si="42"/>
        <v>8</v>
      </c>
      <c r="AF42" s="20">
        <f t="shared" si="43"/>
        <v>0</v>
      </c>
      <c r="AG42" s="55"/>
      <c r="AH42" s="490">
        <v>0</v>
      </c>
      <c r="AI42" s="527">
        <f t="shared" si="44"/>
        <v>-8</v>
      </c>
      <c r="AJ42" s="527">
        <f t="shared" si="45"/>
        <v>-8</v>
      </c>
      <c r="AK42" s="527">
        <f t="shared" si="55"/>
        <v>-8</v>
      </c>
      <c r="AL42" s="527">
        <f t="shared" si="46"/>
        <v>0</v>
      </c>
      <c r="AM42" s="527">
        <f t="shared" si="47"/>
        <v>0</v>
      </c>
      <c r="AN42" s="527">
        <f t="shared" si="48"/>
        <v>0</v>
      </c>
      <c r="AO42" s="527">
        <f t="shared" si="49"/>
        <v>0</v>
      </c>
      <c r="AP42" s="492">
        <f t="shared" si="50"/>
        <v>-24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3</v>
      </c>
      <c r="AU42" s="55"/>
      <c r="AV42" s="55"/>
      <c r="AW42" s="1189"/>
      <c r="AX42" s="1190"/>
    </row>
    <row r="43" spans="1:56" ht="14.1" customHeight="1">
      <c r="B43" s="513" t="str">
        <f t="shared" si="33"/>
        <v>Jose Cortez P.</v>
      </c>
      <c r="C43" s="459">
        <v>7</v>
      </c>
      <c r="D43" s="459">
        <v>18</v>
      </c>
      <c r="E43" s="459">
        <v>1</v>
      </c>
      <c r="F43" s="460">
        <f t="shared" si="34"/>
        <v>10</v>
      </c>
      <c r="G43" s="459"/>
      <c r="H43" s="459"/>
      <c r="I43" s="460">
        <f t="shared" si="35"/>
        <v>0</v>
      </c>
      <c r="J43" s="459"/>
      <c r="K43" s="32">
        <f t="shared" si="36"/>
        <v>8</v>
      </c>
      <c r="L43" s="461">
        <f t="shared" si="53"/>
        <v>2</v>
      </c>
      <c r="M43" s="459">
        <v>7</v>
      </c>
      <c r="N43" s="459">
        <v>18</v>
      </c>
      <c r="O43" s="459">
        <v>1</v>
      </c>
      <c r="P43" s="460">
        <f t="shared" si="37"/>
        <v>10</v>
      </c>
      <c r="Q43" s="489"/>
      <c r="R43" s="489"/>
      <c r="S43" s="460">
        <f t="shared" si="38"/>
        <v>0</v>
      </c>
      <c r="T43" s="459"/>
      <c r="U43" s="32">
        <f t="shared" si="39"/>
        <v>8</v>
      </c>
      <c r="V43" s="461">
        <f t="shared" si="54"/>
        <v>2</v>
      </c>
      <c r="W43" s="334">
        <v>7</v>
      </c>
      <c r="X43" s="342">
        <v>18</v>
      </c>
      <c r="Y43" s="30">
        <v>1</v>
      </c>
      <c r="Z43" s="31">
        <f t="shared" si="40"/>
        <v>10</v>
      </c>
      <c r="AA43" s="342"/>
      <c r="AB43" s="342"/>
      <c r="AC43" s="44">
        <f t="shared" si="41"/>
        <v>0</v>
      </c>
      <c r="AD43" s="30"/>
      <c r="AE43" s="32">
        <f t="shared" si="42"/>
        <v>8</v>
      </c>
      <c r="AF43" s="20">
        <f t="shared" si="43"/>
        <v>2</v>
      </c>
      <c r="AG43" s="55"/>
      <c r="AH43" s="143">
        <v>0</v>
      </c>
      <c r="AI43" s="144">
        <f t="shared" si="44"/>
        <v>0</v>
      </c>
      <c r="AJ43" s="144">
        <f t="shared" si="45"/>
        <v>0</v>
      </c>
      <c r="AK43" s="144">
        <f t="shared" si="55"/>
        <v>0</v>
      </c>
      <c r="AL43" s="113">
        <f t="shared" si="46"/>
        <v>0</v>
      </c>
      <c r="AM43" s="144">
        <f t="shared" si="47"/>
        <v>0</v>
      </c>
      <c r="AN43" s="144">
        <f t="shared" si="48"/>
        <v>0</v>
      </c>
      <c r="AO43" s="144">
        <f t="shared" si="49"/>
        <v>0</v>
      </c>
      <c r="AP43" s="145">
        <f t="shared" si="50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-20</v>
      </c>
      <c r="AX43" s="1186"/>
    </row>
    <row r="44" spans="1:56" ht="14.1" customHeight="1">
      <c r="B44" s="513" t="str">
        <f t="shared" si="33"/>
        <v>Rafael Armas R.</v>
      </c>
      <c r="C44" s="716">
        <v>7</v>
      </c>
      <c r="D44" s="716">
        <v>18</v>
      </c>
      <c r="E44" s="716">
        <v>1</v>
      </c>
      <c r="F44" s="717">
        <f t="shared" si="34"/>
        <v>10</v>
      </c>
      <c r="G44" s="716"/>
      <c r="H44" s="716"/>
      <c r="I44" s="717">
        <f t="shared" si="35"/>
        <v>0</v>
      </c>
      <c r="J44" s="716"/>
      <c r="K44" s="32">
        <f t="shared" si="36"/>
        <v>8</v>
      </c>
      <c r="L44" s="718">
        <f t="shared" si="53"/>
        <v>2</v>
      </c>
      <c r="M44" s="719">
        <v>7</v>
      </c>
      <c r="N44" s="719">
        <v>18</v>
      </c>
      <c r="O44" s="719">
        <v>1</v>
      </c>
      <c r="P44" s="720">
        <f t="shared" si="37"/>
        <v>10</v>
      </c>
      <c r="Q44" s="721"/>
      <c r="R44" s="721"/>
      <c r="S44" s="720">
        <f t="shared" si="38"/>
        <v>0</v>
      </c>
      <c r="T44" s="719"/>
      <c r="U44" s="32">
        <f t="shared" si="39"/>
        <v>8</v>
      </c>
      <c r="V44" s="722">
        <f t="shared" si="54"/>
        <v>2</v>
      </c>
      <c r="W44" s="723">
        <v>7</v>
      </c>
      <c r="X44" s="719">
        <v>18</v>
      </c>
      <c r="Y44" s="719">
        <v>1</v>
      </c>
      <c r="Z44" s="720">
        <f t="shared" si="40"/>
        <v>10</v>
      </c>
      <c r="AA44" s="719"/>
      <c r="AB44" s="724"/>
      <c r="AC44" s="720">
        <f t="shared" si="41"/>
        <v>0</v>
      </c>
      <c r="AD44" s="719"/>
      <c r="AE44" s="32">
        <f t="shared" si="42"/>
        <v>8</v>
      </c>
      <c r="AF44" s="722">
        <f t="shared" si="43"/>
        <v>2</v>
      </c>
      <c r="AG44" s="55"/>
      <c r="AH44" s="127">
        <v>0</v>
      </c>
      <c r="AI44" s="113">
        <f t="shared" si="44"/>
        <v>0</v>
      </c>
      <c r="AJ44" s="113">
        <f t="shared" si="45"/>
        <v>0</v>
      </c>
      <c r="AK44" s="128">
        <f t="shared" si="55"/>
        <v>0</v>
      </c>
      <c r="AL44" s="113">
        <f t="shared" si="46"/>
        <v>0</v>
      </c>
      <c r="AM44" s="113">
        <f t="shared" si="47"/>
        <v>0</v>
      </c>
      <c r="AN44" s="113">
        <f t="shared" si="48"/>
        <v>0</v>
      </c>
      <c r="AO44" s="113">
        <f t="shared" si="49"/>
        <v>0</v>
      </c>
      <c r="AP44" s="114">
        <f t="shared" si="50"/>
        <v>0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7</v>
      </c>
      <c r="AU44" s="55"/>
      <c r="AV44" s="55"/>
      <c r="AW44" s="1134">
        <v>-20</v>
      </c>
      <c r="AX44" s="1135"/>
    </row>
    <row r="45" spans="1:56" ht="14.1" customHeight="1" thickBot="1">
      <c r="B45" s="95" t="str">
        <f t="shared" si="33"/>
        <v xml:space="preserve"> </v>
      </c>
      <c r="C45" s="360"/>
      <c r="D45" s="361"/>
      <c r="E45" s="96"/>
      <c r="F45" s="97">
        <f t="shared" si="34"/>
        <v>0</v>
      </c>
      <c r="G45" s="153"/>
      <c r="H45" s="363"/>
      <c r="I45" s="97">
        <f t="shared" si="35"/>
        <v>0</v>
      </c>
      <c r="J45" s="96"/>
      <c r="K45" s="98">
        <f t="shared" si="36"/>
        <v>0</v>
      </c>
      <c r="L45" s="99">
        <f t="shared" si="53"/>
        <v>0</v>
      </c>
      <c r="M45" s="361"/>
      <c r="N45" s="361"/>
      <c r="O45" s="96"/>
      <c r="P45" s="97">
        <f t="shared" si="37"/>
        <v>0</v>
      </c>
      <c r="Q45" s="154"/>
      <c r="R45" s="154"/>
      <c r="S45" s="97">
        <f t="shared" si="38"/>
        <v>0</v>
      </c>
      <c r="T45" s="96"/>
      <c r="U45" s="98">
        <f t="shared" si="39"/>
        <v>0</v>
      </c>
      <c r="V45" s="99">
        <f t="shared" si="54"/>
        <v>0</v>
      </c>
      <c r="W45" s="360"/>
      <c r="X45" s="361"/>
      <c r="Y45" s="96"/>
      <c r="Z45" s="97">
        <f t="shared" si="40"/>
        <v>0</v>
      </c>
      <c r="AA45" s="361"/>
      <c r="AB45" s="361"/>
      <c r="AC45" s="97">
        <f t="shared" si="41"/>
        <v>0</v>
      </c>
      <c r="AD45" s="96"/>
      <c r="AE45" s="98">
        <f t="shared" si="42"/>
        <v>0</v>
      </c>
      <c r="AF45" s="99">
        <f t="shared" si="43"/>
        <v>0</v>
      </c>
      <c r="AG45" s="55"/>
      <c r="AH45" s="112">
        <v>0</v>
      </c>
      <c r="AI45" s="113">
        <f t="shared" si="44"/>
        <v>-8</v>
      </c>
      <c r="AJ45" s="113">
        <f t="shared" si="45"/>
        <v>-8</v>
      </c>
      <c r="AK45" s="113">
        <f t="shared" si="55"/>
        <v>-8</v>
      </c>
      <c r="AL45" s="113">
        <f t="shared" si="46"/>
        <v>0</v>
      </c>
      <c r="AM45" s="113">
        <f t="shared" si="47"/>
        <v>-8</v>
      </c>
      <c r="AN45" s="113">
        <f t="shared" si="48"/>
        <v>-8</v>
      </c>
      <c r="AO45" s="113">
        <f t="shared" si="49"/>
        <v>-8</v>
      </c>
      <c r="AP45" s="114">
        <f t="shared" si="50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103</v>
      </c>
      <c r="AS46" s="1162"/>
      <c r="AT46" s="167">
        <f>SUM(AT32:AT45)</f>
        <v>56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40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43230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43231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43232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43233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43234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43235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43236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731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6">+C71/7</f>
        <v>36.371428571428567</v>
      </c>
      <c r="F71" s="1049"/>
      <c r="G71" s="388"/>
      <c r="H71" s="388"/>
      <c r="I71" s="1052">
        <f t="shared" ref="I71:I78" si="57">+E71/8</f>
        <v>4.5464285714285708</v>
      </c>
      <c r="J71" s="1058"/>
      <c r="K71" s="1059">
        <f t="shared" ref="K71:K79" si="58">+E71*30</f>
        <v>1091.1428571428569</v>
      </c>
      <c r="L71" s="1059"/>
      <c r="M71" s="5"/>
      <c r="N71" s="1020">
        <f t="shared" ref="N71:N85" si="59">+I71/6*7</f>
        <v>5.3041666666666654</v>
      </c>
      <c r="O71" s="1020"/>
      <c r="P71" s="5"/>
      <c r="Q71" s="1056">
        <f t="shared" ref="Q71:Q85" si="60">+$I$69-I71</f>
        <v>0.68482142857142936</v>
      </c>
      <c r="R71" s="1057"/>
      <c r="U71" s="238">
        <f t="shared" ref="U71:U77" si="61">+AE32+U32+K32+AO11+AE11+U11+K11</f>
        <v>48</v>
      </c>
      <c r="V71" s="239">
        <v>48</v>
      </c>
      <c r="W71" s="240">
        <f t="shared" ref="W71:W85" si="62">+V71-U71</f>
        <v>0</v>
      </c>
      <c r="X71" s="241">
        <f t="shared" ref="X71:X83" si="63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6"/>
        <v>41.071428571428569</v>
      </c>
      <c r="F72" s="1049"/>
      <c r="G72" s="388"/>
      <c r="H72" s="388"/>
      <c r="I72" s="1052">
        <f t="shared" si="57"/>
        <v>5.1339285714285712</v>
      </c>
      <c r="J72" s="1058"/>
      <c r="K72" s="1059">
        <f t="shared" si="58"/>
        <v>1232.1428571428571</v>
      </c>
      <c r="L72" s="1059"/>
      <c r="M72" s="5"/>
      <c r="N72" s="1020">
        <f t="shared" si="59"/>
        <v>5.989583333333333</v>
      </c>
      <c r="O72" s="1020"/>
      <c r="P72" s="5"/>
      <c r="Q72" s="1056">
        <f t="shared" si="60"/>
        <v>9.7321428571429003E-2</v>
      </c>
      <c r="R72" s="1057"/>
      <c r="U72" s="238">
        <f t="shared" si="61"/>
        <v>40</v>
      </c>
      <c r="V72" s="239">
        <v>48</v>
      </c>
      <c r="W72" s="240">
        <f t="shared" si="62"/>
        <v>8</v>
      </c>
      <c r="X72" s="241">
        <f t="shared" si="63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6"/>
        <v>41.071428571428569</v>
      </c>
      <c r="F73" s="1049"/>
      <c r="G73" s="388"/>
      <c r="H73" s="388"/>
      <c r="I73" s="1052">
        <f t="shared" si="57"/>
        <v>5.1339285714285712</v>
      </c>
      <c r="J73" s="1058"/>
      <c r="K73" s="1059">
        <f t="shared" si="58"/>
        <v>1232.1428571428571</v>
      </c>
      <c r="L73" s="1059"/>
      <c r="M73" s="5"/>
      <c r="N73" s="1020">
        <f t="shared" si="59"/>
        <v>5.989583333333333</v>
      </c>
      <c r="O73" s="1020"/>
      <c r="P73" s="5"/>
      <c r="Q73" s="1056">
        <f t="shared" si="60"/>
        <v>9.7321428571429003E-2</v>
      </c>
      <c r="R73" s="1057"/>
      <c r="U73" s="238">
        <f t="shared" si="61"/>
        <v>40</v>
      </c>
      <c r="V73" s="239">
        <v>48</v>
      </c>
      <c r="W73" s="240">
        <f t="shared" si="62"/>
        <v>8</v>
      </c>
      <c r="X73" s="241">
        <f t="shared" si="63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6"/>
        <v>33.33342857142857</v>
      </c>
      <c r="F74" s="1049"/>
      <c r="G74" s="388"/>
      <c r="H74" s="388"/>
      <c r="I74" s="1052">
        <f t="shared" si="57"/>
        <v>4.1666785714285712</v>
      </c>
      <c r="J74" s="1058"/>
      <c r="K74" s="1059">
        <f t="shared" si="58"/>
        <v>1000.0028571428571</v>
      </c>
      <c r="L74" s="1059"/>
      <c r="M74" s="5"/>
      <c r="N74" s="1020">
        <f t="shared" si="59"/>
        <v>4.8611250000000004</v>
      </c>
      <c r="O74" s="1020"/>
      <c r="P74" s="5"/>
      <c r="Q74" s="1056">
        <f t="shared" si="60"/>
        <v>1.0645714285714289</v>
      </c>
      <c r="R74" s="1057"/>
      <c r="S74" s="1066">
        <f>20*30/180*117</f>
        <v>390</v>
      </c>
      <c r="T74" s="1067"/>
      <c r="U74" s="238">
        <f t="shared" si="61"/>
        <v>46</v>
      </c>
      <c r="V74" s="239">
        <v>48</v>
      </c>
      <c r="W74" s="240">
        <f t="shared" si="62"/>
        <v>2</v>
      </c>
      <c r="X74" s="241">
        <f t="shared" si="63"/>
        <v>8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6"/>
        <v>41.071428571428569</v>
      </c>
      <c r="F75" s="1049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9.7321428571429003E-2</v>
      </c>
      <c r="R75" s="1057"/>
      <c r="U75" s="238">
        <f t="shared" si="61"/>
        <v>48.5</v>
      </c>
      <c r="V75" s="239">
        <v>48</v>
      </c>
      <c r="W75" s="240">
        <f t="shared" si="62"/>
        <v>-0.5</v>
      </c>
      <c r="X75" s="241">
        <f t="shared" si="63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6"/>
        <v>41.071428571428569</v>
      </c>
      <c r="F76" s="1049"/>
      <c r="G76" s="1068"/>
      <c r="H76" s="1069"/>
      <c r="I76" s="1052">
        <f t="shared" si="57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1"/>
        <v>37</v>
      </c>
      <c r="V76" s="239">
        <v>48</v>
      </c>
      <c r="W76" s="240">
        <f>+V76-U76</f>
        <v>11</v>
      </c>
      <c r="X76" s="241">
        <f t="shared" si="63"/>
        <v>0</v>
      </c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6"/>
        <v>29.571428571428573</v>
      </c>
      <c r="F77" s="1049"/>
      <c r="G77" s="1062"/>
      <c r="H77" s="1063"/>
      <c r="I77" s="1052">
        <f t="shared" si="57"/>
        <v>3.6964285714285716</v>
      </c>
      <c r="J77" s="1058"/>
      <c r="K77" s="1059">
        <f>+E77*30</f>
        <v>887.14285714285722</v>
      </c>
      <c r="L77" s="1059"/>
      <c r="M77" s="5"/>
      <c r="N77" s="1020">
        <f t="shared" si="59"/>
        <v>4.3125</v>
      </c>
      <c r="O77" s="1020"/>
      <c r="P77" s="5"/>
      <c r="Q77" s="1056">
        <f t="shared" si="60"/>
        <v>1.5348214285714286</v>
      </c>
      <c r="R77" s="1057"/>
      <c r="S77" s="1066">
        <f>20*30/180*117</f>
        <v>390</v>
      </c>
      <c r="T77" s="1067"/>
      <c r="U77" s="238">
        <f t="shared" si="61"/>
        <v>0</v>
      </c>
      <c r="V77" s="239">
        <v>48</v>
      </c>
      <c r="W77" s="240">
        <f t="shared" si="62"/>
        <v>48</v>
      </c>
      <c r="X77" s="241">
        <f t="shared" si="63"/>
        <v>0</v>
      </c>
      <c r="Y77" s="248"/>
      <c r="Z77" s="732"/>
      <c r="AA77" s="732"/>
      <c r="AB77" s="732"/>
      <c r="AC77" s="732"/>
      <c r="AD77" s="732"/>
      <c r="AE77" s="386"/>
      <c r="AF77" s="386"/>
      <c r="AG77" s="733"/>
      <c r="AH77" s="733"/>
      <c r="AI77" s="393"/>
      <c r="AJ77" s="393"/>
      <c r="AK77" s="393"/>
      <c r="AL77" s="393"/>
      <c r="AM77" s="733"/>
      <c r="AN77" s="733"/>
      <c r="AO77" s="733"/>
      <c r="AP77" s="733"/>
      <c r="AQ77" s="733"/>
      <c r="AR77" s="733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6"/>
        <v>31.000028571428572</v>
      </c>
      <c r="F78" s="1049"/>
      <c r="G78" s="1050"/>
      <c r="H78" s="1051"/>
      <c r="I78" s="1052">
        <f t="shared" si="57"/>
        <v>3.8750035714285715</v>
      </c>
      <c r="J78" s="1058"/>
      <c r="K78" s="1059">
        <f>+E78*30</f>
        <v>930.00085714285717</v>
      </c>
      <c r="L78" s="1059"/>
      <c r="M78" s="5"/>
      <c r="N78" s="1020">
        <f t="shared" si="59"/>
        <v>4.5208375000000007</v>
      </c>
      <c r="O78" s="1020"/>
      <c r="P78" s="5"/>
      <c r="Q78" s="1056">
        <f t="shared" si="60"/>
        <v>1.3562464285714286</v>
      </c>
      <c r="R78" s="1057"/>
      <c r="S78" s="731"/>
      <c r="T78" s="731"/>
      <c r="U78" s="238">
        <f>+AE40+U40+K40+AO19+AE19+U19+K19</f>
        <v>0</v>
      </c>
      <c r="V78" s="239">
        <v>48</v>
      </c>
      <c r="W78" s="240">
        <f t="shared" si="62"/>
        <v>48</v>
      </c>
      <c r="X78" s="241">
        <f t="shared" si="63"/>
        <v>0</v>
      </c>
      <c r="Y78" s="731"/>
      <c r="Z78" s="732"/>
      <c r="AA78" s="732"/>
      <c r="AB78" s="732"/>
      <c r="AC78" s="732"/>
      <c r="AD78" s="732"/>
      <c r="AE78" s="386"/>
      <c r="AF78" s="386"/>
      <c r="AG78" s="733"/>
      <c r="AH78" s="733"/>
      <c r="AI78" s="393"/>
      <c r="AJ78" s="393"/>
      <c r="AK78" s="393"/>
      <c r="AL78" s="393"/>
      <c r="AM78" s="733"/>
      <c r="AN78" s="733"/>
      <c r="AO78" s="733"/>
      <c r="AP78" s="733"/>
      <c r="AQ78" s="733"/>
      <c r="AR78" s="733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8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68</v>
      </c>
      <c r="V79" s="239">
        <v>48</v>
      </c>
      <c r="W79" s="240">
        <f>+V79-U79</f>
        <v>-20</v>
      </c>
      <c r="X79" s="241">
        <f t="shared" si="63"/>
        <v>0</v>
      </c>
      <c r="Z79" s="246"/>
      <c r="AA79" s="246"/>
      <c r="AB79" s="732"/>
      <c r="AC79" s="732"/>
      <c r="AD79" s="732"/>
      <c r="AE79" s="386"/>
      <c r="AF79" s="386"/>
      <c r="AG79" s="733"/>
      <c r="AH79" s="733"/>
      <c r="AI79" s="733"/>
      <c r="AJ79" s="733"/>
      <c r="AK79" s="733"/>
      <c r="AL79" s="733"/>
      <c r="AM79" s="733"/>
      <c r="AN79" s="733"/>
      <c r="AO79" s="733"/>
      <c r="AP79" s="733"/>
      <c r="AQ79" s="733"/>
      <c r="AR79" s="733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4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3"/>
        <v>0</v>
      </c>
      <c r="Z80" s="246"/>
      <c r="AA80" s="246"/>
      <c r="AB80" s="734"/>
      <c r="AC80" s="734"/>
      <c r="AD80" s="734"/>
      <c r="AE80" s="386"/>
      <c r="AF80" s="386"/>
      <c r="AG80" s="735"/>
      <c r="AH80" s="735"/>
      <c r="AI80" s="735"/>
      <c r="AJ80" s="735"/>
      <c r="AK80" s="733"/>
      <c r="AL80" s="733"/>
      <c r="AM80" s="733"/>
      <c r="AN80" s="733"/>
      <c r="AO80" s="733"/>
      <c r="AP80" s="733"/>
      <c r="AQ80" s="733"/>
      <c r="AR80" s="733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ref="E81" si="65">+C81/7</f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+AE42+U42+K42+AO21+AE21+U21+K21</f>
        <v>24</v>
      </c>
      <c r="V81" s="239">
        <v>48</v>
      </c>
      <c r="W81" s="240">
        <f>+V81-U81</f>
        <v>24</v>
      </c>
      <c r="X81" s="241">
        <f t="shared" si="63"/>
        <v>0</v>
      </c>
      <c r="Z81" s="246"/>
      <c r="AA81" s="246"/>
      <c r="AB81" s="734"/>
      <c r="AC81" s="734"/>
      <c r="AD81" s="734"/>
      <c r="AE81" s="386"/>
      <c r="AF81" s="386"/>
      <c r="AG81" s="735"/>
      <c r="AH81" s="735"/>
      <c r="AI81" s="735"/>
      <c r="AJ81" s="735"/>
      <c r="AK81" s="393"/>
      <c r="AL81" s="393"/>
      <c r="AM81" s="733"/>
      <c r="AN81" s="733"/>
      <c r="AO81" s="733"/>
      <c r="AP81" s="733"/>
      <c r="AQ81" s="733"/>
      <c r="AR81" s="733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4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9"/>
        <v>4.5208333333333339</v>
      </c>
      <c r="O82" s="1044"/>
      <c r="P82" s="5"/>
      <c r="Q82" s="1004">
        <f t="shared" si="60"/>
        <v>1.3562500000000002</v>
      </c>
      <c r="R82" s="1005"/>
      <c r="U82" s="238">
        <f>+AE44+U44+K44+AO23+AE23+U23+K23</f>
        <v>68</v>
      </c>
      <c r="V82" s="239">
        <v>48</v>
      </c>
      <c r="W82" s="240">
        <f t="shared" si="62"/>
        <v>-20</v>
      </c>
      <c r="X82" s="241">
        <f t="shared" si="63"/>
        <v>0</v>
      </c>
      <c r="Z82" s="246"/>
      <c r="AA82" s="246"/>
      <c r="AB82" s="734"/>
      <c r="AC82" s="734"/>
      <c r="AD82" s="734"/>
      <c r="AE82" s="386"/>
      <c r="AF82" s="386"/>
      <c r="AG82" s="735"/>
      <c r="AH82" s="735"/>
      <c r="AI82" s="735"/>
      <c r="AJ82" s="735"/>
      <c r="AK82" s="733"/>
      <c r="AL82" s="733"/>
      <c r="AM82" s="733"/>
      <c r="AN82" s="733"/>
      <c r="AO82" s="733"/>
      <c r="AP82" s="733"/>
      <c r="AQ82" s="733"/>
      <c r="AR82" s="733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4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3"/>
        <v>0</v>
      </c>
      <c r="Z83" s="246"/>
      <c r="AA83" s="246"/>
      <c r="AB83" s="734"/>
      <c r="AC83" s="734"/>
      <c r="AD83" s="734"/>
      <c r="AE83" s="386"/>
      <c r="AF83" s="386"/>
      <c r="AG83" s="735"/>
      <c r="AH83" s="735"/>
      <c r="AI83" s="735"/>
      <c r="AJ83" s="735"/>
      <c r="AK83" s="733"/>
      <c r="AL83" s="733"/>
      <c r="AM83" s="733"/>
      <c r="AN83" s="733"/>
      <c r="AO83" s="733"/>
      <c r="AP83" s="733"/>
      <c r="AQ83" s="733"/>
      <c r="AR83" s="733"/>
      <c r="AS83" s="386"/>
      <c r="AT83" s="386"/>
    </row>
    <row r="84" spans="1:46" ht="16.5">
      <c r="A84" s="247"/>
      <c r="B84" s="250" t="s">
        <v>30</v>
      </c>
      <c r="C84" s="1024">
        <f>+G84*6</f>
        <v>169.99979999999999</v>
      </c>
      <c r="D84" s="1025"/>
      <c r="E84" s="1026">
        <f t="shared" ref="E84" si="66">+C84/7</f>
        <v>24.285685714285712</v>
      </c>
      <c r="F84" s="1027"/>
      <c r="G84" s="1028">
        <f>28.3333</f>
        <v>28.333300000000001</v>
      </c>
      <c r="H84" s="1029"/>
      <c r="I84" s="1030">
        <f>+G84/8</f>
        <v>3.5416625000000002</v>
      </c>
      <c r="J84" s="1031"/>
      <c r="K84" s="1032">
        <f>+G84*30</f>
        <v>849.99900000000002</v>
      </c>
      <c r="L84" s="1032"/>
      <c r="M84" s="5"/>
      <c r="N84" s="1020">
        <f>+I84/6*7</f>
        <v>4.1319395833333337</v>
      </c>
      <c r="O84" s="1020"/>
      <c r="P84" s="5"/>
      <c r="Q84" s="1033">
        <f>+$I$69-I84</f>
        <v>1.6895875</v>
      </c>
      <c r="R84" s="1034"/>
      <c r="U84" s="238">
        <f>+AE44+U44+K44+AO23+AE23+U23+K23</f>
        <v>68</v>
      </c>
      <c r="V84" s="239">
        <v>48</v>
      </c>
      <c r="W84" s="240">
        <f t="shared" si="62"/>
        <v>-20</v>
      </c>
      <c r="X84" s="241">
        <f>+J23+T23+AD23+J44+T44+AD44</f>
        <v>0</v>
      </c>
      <c r="Y84" s="248"/>
      <c r="Z84" s="246"/>
      <c r="AA84" s="246"/>
      <c r="AB84" s="734"/>
      <c r="AC84" s="734"/>
      <c r="AD84" s="734"/>
      <c r="AE84" s="386"/>
      <c r="AF84" s="386"/>
      <c r="AG84" s="735"/>
      <c r="AH84" s="735"/>
      <c r="AI84" s="735"/>
      <c r="AJ84" s="735"/>
      <c r="AK84" s="729"/>
      <c r="AL84" s="729"/>
      <c r="AM84" s="729"/>
      <c r="AN84" s="729"/>
      <c r="AO84" s="729"/>
      <c r="AP84" s="729"/>
      <c r="AQ84" s="729"/>
      <c r="AR84" s="729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4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9"/>
        <v>11.423610416666666</v>
      </c>
      <c r="O85" s="1020"/>
      <c r="P85" s="5"/>
      <c r="Q85" s="1004">
        <f t="shared" si="60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62"/>
        <v>48</v>
      </c>
      <c r="X85" s="241">
        <f>+J27+T27+AD27+J48+T48+AD48</f>
        <v>0</v>
      </c>
      <c r="Z85" s="246"/>
      <c r="AA85" s="246"/>
      <c r="AB85" s="732"/>
      <c r="AC85" s="732"/>
      <c r="AD85" s="732"/>
      <c r="AE85" s="386"/>
      <c r="AF85" s="386"/>
      <c r="AG85" s="733"/>
      <c r="AH85" s="733"/>
      <c r="AI85" s="733"/>
      <c r="AJ85" s="733"/>
      <c r="AK85" s="733"/>
      <c r="AL85" s="733"/>
      <c r="AM85" s="733"/>
      <c r="AN85" s="733"/>
      <c r="AO85" s="733"/>
      <c r="AP85" s="733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733"/>
      <c r="AF89" s="733"/>
      <c r="AG89" s="386"/>
      <c r="AH89" s="386"/>
      <c r="AI89" s="386"/>
      <c r="AJ89" s="733"/>
      <c r="AK89" s="733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733"/>
      <c r="AF90" s="733"/>
      <c r="AG90" s="386"/>
      <c r="AH90" s="386"/>
      <c r="AI90" s="386"/>
      <c r="AJ90" s="733"/>
      <c r="AK90" s="733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733"/>
      <c r="AF92" s="733"/>
      <c r="AG92" s="386"/>
      <c r="AH92" s="386"/>
      <c r="AI92" s="386"/>
      <c r="AJ92" s="733"/>
      <c r="AK92" s="733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733"/>
      <c r="AF95" s="733"/>
      <c r="AG95" s="386"/>
      <c r="AH95" s="386"/>
      <c r="AI95" s="386"/>
      <c r="AJ95" s="733"/>
      <c r="AK95" s="733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729"/>
      <c r="AM97" s="733"/>
      <c r="AN97" s="729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733"/>
      <c r="AF107" s="733"/>
      <c r="AG107" s="386"/>
      <c r="AH107" s="386"/>
      <c r="AI107" s="386"/>
      <c r="AJ107" s="733"/>
      <c r="AK107" s="733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729"/>
      <c r="AM115" s="733"/>
      <c r="AN115" s="729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733"/>
      <c r="AF126" s="733"/>
      <c r="AG126" s="386"/>
      <c r="AH126" s="386"/>
      <c r="AI126" s="386"/>
      <c r="AJ126" s="733"/>
      <c r="AK126" s="733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733"/>
      <c r="AF127" s="733"/>
      <c r="AG127" s="386"/>
      <c r="AH127" s="386"/>
      <c r="AI127" s="386"/>
      <c r="AJ127" s="733"/>
      <c r="AK127" s="733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733"/>
      <c r="AF129" s="733"/>
      <c r="AG129" s="386"/>
      <c r="AH129" s="386"/>
      <c r="AI129" s="386"/>
      <c r="AJ129" s="733"/>
      <c r="AK129" s="733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733"/>
      <c r="AF132" s="733"/>
      <c r="AG132" s="386"/>
      <c r="AH132" s="386"/>
      <c r="AI132" s="386"/>
      <c r="AJ132" s="733"/>
      <c r="AK132" s="733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729"/>
      <c r="AM134" s="733"/>
      <c r="AN134" s="729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733"/>
      <c r="AF144" s="733"/>
      <c r="AG144" s="386"/>
      <c r="AH144" s="386"/>
      <c r="AI144" s="386"/>
      <c r="AJ144" s="733"/>
      <c r="AK144" s="733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733"/>
      <c r="AF145" s="733"/>
      <c r="AG145" s="386"/>
      <c r="AH145" s="386"/>
      <c r="AI145" s="386"/>
      <c r="AJ145" s="733"/>
      <c r="AK145" s="733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733"/>
      <c r="AF147" s="733"/>
      <c r="AG147" s="386"/>
      <c r="AH147" s="386"/>
      <c r="AI147" s="386"/>
      <c r="AJ147" s="733"/>
      <c r="AK147" s="733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733"/>
      <c r="AF150" s="733"/>
      <c r="AG150" s="386"/>
      <c r="AH150" s="386"/>
      <c r="AI150" s="386"/>
      <c r="AJ150" s="733"/>
      <c r="AK150" s="733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729"/>
      <c r="AM152" s="733"/>
      <c r="AN152" s="729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733"/>
      <c r="AF164" s="733"/>
      <c r="AG164" s="386"/>
      <c r="AH164" s="386"/>
      <c r="AI164" s="386"/>
      <c r="AJ164" s="733"/>
      <c r="AK164" s="733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729"/>
      <c r="AM172" s="733"/>
      <c r="AN172" s="729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733"/>
      <c r="AF183" s="733"/>
      <c r="AG183" s="386"/>
      <c r="AH183" s="386"/>
      <c r="AI183" s="386"/>
      <c r="AJ183" s="733"/>
      <c r="AK183" s="733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733"/>
      <c r="AF184" s="733"/>
      <c r="AG184" s="386"/>
      <c r="AH184" s="386"/>
      <c r="AI184" s="386"/>
      <c r="AJ184" s="733"/>
      <c r="AK184" s="733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733"/>
      <c r="AF186" s="733"/>
      <c r="AG186" s="386"/>
      <c r="AH186" s="386"/>
      <c r="AI186" s="386"/>
      <c r="AJ186" s="733"/>
      <c r="AK186" s="733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756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733"/>
      <c r="AF189" s="733"/>
      <c r="AG189" s="386"/>
      <c r="AH189" s="386"/>
      <c r="AI189" s="386"/>
      <c r="AJ189" s="733"/>
      <c r="AK189" s="733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729"/>
      <c r="AM191" s="733"/>
      <c r="AN191" s="729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73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73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73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73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731"/>
      <c r="AB203" s="731"/>
      <c r="AC203" s="731"/>
      <c r="AD203" s="731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732"/>
      <c r="AB204" s="732"/>
      <c r="AC204" s="732"/>
      <c r="AD204" s="732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732"/>
      <c r="AB205" s="732"/>
      <c r="AC205" s="732"/>
      <c r="AD205" s="732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7">+C206/7</f>
        <v>36.371428571428567</v>
      </c>
      <c r="F206" s="1049"/>
      <c r="G206" s="388"/>
      <c r="H206" s="388"/>
      <c r="I206" s="1052">
        <f t="shared" ref="I206:I213" si="68">+E206/8</f>
        <v>4.5464285714285708</v>
      </c>
      <c r="J206" s="1058"/>
      <c r="K206" s="1059">
        <f t="shared" ref="K206:K210" si="69">+E206*30</f>
        <v>1091.1428571428569</v>
      </c>
      <c r="L206" s="1059"/>
      <c r="M206" s="5"/>
      <c r="N206" s="1020">
        <f t="shared" ref="N206:N210" si="70">+I206/6*7</f>
        <v>5.3041666666666654</v>
      </c>
      <c r="O206" s="1020"/>
      <c r="P206" s="5"/>
      <c r="Q206" s="1056">
        <f t="shared" ref="Q206:Q210" si="71">+$I$69-I206</f>
        <v>0.68482142857142936</v>
      </c>
      <c r="R206" s="1057"/>
      <c r="U206" s="238">
        <f t="shared" ref="U206:U212" si="72">+AE167+U167+K167+AO146+AE146+U146+K146</f>
        <v>0</v>
      </c>
      <c r="V206" s="239">
        <v>48</v>
      </c>
      <c r="W206" s="240">
        <f t="shared" ref="W206:W210" si="73">+V206-U206</f>
        <v>48</v>
      </c>
      <c r="X206" s="241" t="e">
        <f t="shared" ref="X206:X212" si="74">+J146+T146+AD146+J167+T167+AD167</f>
        <v>#VALUE!</v>
      </c>
      <c r="Z206" s="389"/>
      <c r="AA206" s="732"/>
      <c r="AB206" s="732"/>
      <c r="AC206" s="732"/>
      <c r="AD206" s="732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7"/>
        <v>41.071428571428569</v>
      </c>
      <c r="F207" s="1049"/>
      <c r="G207" s="388"/>
      <c r="H207" s="388"/>
      <c r="I207" s="1052">
        <f t="shared" si="68"/>
        <v>5.1339285714285712</v>
      </c>
      <c r="J207" s="1058"/>
      <c r="K207" s="1059">
        <f t="shared" si="69"/>
        <v>1232.1428571428571</v>
      </c>
      <c r="L207" s="1059"/>
      <c r="M207" s="5"/>
      <c r="N207" s="1020">
        <f t="shared" si="70"/>
        <v>5.989583333333333</v>
      </c>
      <c r="O207" s="1020"/>
      <c r="P207" s="5"/>
      <c r="Q207" s="1056">
        <f t="shared" si="71"/>
        <v>9.7321428571429003E-2</v>
      </c>
      <c r="R207" s="1057"/>
      <c r="U207" s="238">
        <f t="shared" si="72"/>
        <v>0</v>
      </c>
      <c r="V207" s="239">
        <v>48</v>
      </c>
      <c r="W207" s="240">
        <f t="shared" si="73"/>
        <v>48</v>
      </c>
      <c r="X207" s="241" t="e">
        <f t="shared" si="74"/>
        <v>#VALUE!</v>
      </c>
      <c r="Z207" s="389"/>
      <c r="AA207" s="732"/>
      <c r="AB207" s="732"/>
      <c r="AC207" s="732"/>
      <c r="AD207" s="732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7"/>
        <v>41.071428571428569</v>
      </c>
      <c r="F208" s="1049"/>
      <c r="G208" s="388"/>
      <c r="H208" s="388"/>
      <c r="I208" s="1052">
        <f t="shared" si="68"/>
        <v>5.1339285714285712</v>
      </c>
      <c r="J208" s="1058"/>
      <c r="K208" s="1059">
        <f t="shared" si="69"/>
        <v>1232.1428571428571</v>
      </c>
      <c r="L208" s="1059"/>
      <c r="M208" s="5"/>
      <c r="N208" s="1020">
        <f t="shared" si="70"/>
        <v>5.989583333333333</v>
      </c>
      <c r="O208" s="1020"/>
      <c r="P208" s="5"/>
      <c r="Q208" s="1056">
        <f t="shared" si="71"/>
        <v>9.7321428571429003E-2</v>
      </c>
      <c r="R208" s="1057"/>
      <c r="U208" s="238">
        <f t="shared" si="72"/>
        <v>0</v>
      </c>
      <c r="V208" s="239">
        <v>48</v>
      </c>
      <c r="W208" s="240">
        <f t="shared" si="73"/>
        <v>48</v>
      </c>
      <c r="X208" s="241" t="e">
        <f t="shared" si="74"/>
        <v>#VALUE!</v>
      </c>
      <c r="Z208" s="389"/>
      <c r="AA208" s="732"/>
      <c r="AB208" s="732"/>
      <c r="AC208" s="732"/>
      <c r="AD208" s="732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7"/>
        <v>33.33342857142857</v>
      </c>
      <c r="F209" s="1049"/>
      <c r="G209" s="388"/>
      <c r="H209" s="388"/>
      <c r="I209" s="1052">
        <f t="shared" si="68"/>
        <v>4.1666785714285712</v>
      </c>
      <c r="J209" s="1058"/>
      <c r="K209" s="1059">
        <f t="shared" si="69"/>
        <v>1000.0028571428571</v>
      </c>
      <c r="L209" s="1059"/>
      <c r="M209" s="5"/>
      <c r="N209" s="1020">
        <f t="shared" si="70"/>
        <v>4.8611250000000004</v>
      </c>
      <c r="O209" s="1020"/>
      <c r="P209" s="5"/>
      <c r="Q209" s="1056">
        <f t="shared" si="71"/>
        <v>1.0645714285714289</v>
      </c>
      <c r="R209" s="1057"/>
      <c r="S209" s="1066">
        <f>20*30/180*117</f>
        <v>390</v>
      </c>
      <c r="T209" s="1067"/>
      <c r="U209" s="238">
        <f t="shared" si="72"/>
        <v>0</v>
      </c>
      <c r="V209" s="239">
        <v>48</v>
      </c>
      <c r="W209" s="240">
        <f t="shared" si="73"/>
        <v>48</v>
      </c>
      <c r="X209" s="241">
        <f t="shared" si="74"/>
        <v>0</v>
      </c>
      <c r="Z209" s="1045" t="s">
        <v>53</v>
      </c>
      <c r="AA209" s="1045"/>
      <c r="AB209" s="1045"/>
      <c r="AC209" s="1045"/>
      <c r="AD209" s="389" t="s">
        <v>54</v>
      </c>
      <c r="AE209" s="732"/>
      <c r="AF209" s="386"/>
      <c r="AG209" s="733"/>
      <c r="AH209" s="733"/>
      <c r="AI209" s="386"/>
      <c r="AJ209" s="386"/>
      <c r="AK209" s="729"/>
      <c r="AL209" s="729"/>
      <c r="AM209" s="729"/>
      <c r="AN209" s="729"/>
      <c r="AO209" s="729"/>
      <c r="AP209" s="729"/>
      <c r="AQ209" s="729"/>
      <c r="AR209" s="729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7"/>
        <v>41.071428571428569</v>
      </c>
      <c r="F210" s="1049"/>
      <c r="G210" s="388"/>
      <c r="H210" s="388"/>
      <c r="I210" s="1052">
        <f t="shared" si="68"/>
        <v>5.1339285714285712</v>
      </c>
      <c r="J210" s="1058"/>
      <c r="K210" s="1059">
        <f t="shared" si="69"/>
        <v>1232.1428571428571</v>
      </c>
      <c r="L210" s="1059"/>
      <c r="M210" s="5"/>
      <c r="N210" s="1020">
        <f t="shared" si="70"/>
        <v>5.989583333333333</v>
      </c>
      <c r="O210" s="1020"/>
      <c r="P210" s="5"/>
      <c r="Q210" s="1056">
        <f t="shared" si="71"/>
        <v>9.7321428571429003E-2</v>
      </c>
      <c r="R210" s="1057"/>
      <c r="U210" s="238">
        <f t="shared" si="72"/>
        <v>0</v>
      </c>
      <c r="V210" s="239">
        <v>48</v>
      </c>
      <c r="W210" s="240">
        <f t="shared" si="73"/>
        <v>48</v>
      </c>
      <c r="X210" s="241">
        <f t="shared" si="74"/>
        <v>0</v>
      </c>
      <c r="Z210" s="732"/>
      <c r="AA210" s="732"/>
      <c r="AB210" s="732"/>
      <c r="AC210" s="732"/>
      <c r="AD210" s="732"/>
      <c r="AE210" s="386"/>
      <c r="AF210" s="386"/>
      <c r="AG210" s="244"/>
      <c r="AH210" s="244"/>
      <c r="AI210" s="733"/>
      <c r="AJ210" s="733"/>
      <c r="AK210" s="733"/>
      <c r="AL210" s="733"/>
      <c r="AM210" s="733"/>
      <c r="AN210" s="733"/>
      <c r="AO210" s="733"/>
      <c r="AP210" s="733"/>
      <c r="AQ210" s="733"/>
      <c r="AR210" s="733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7"/>
        <v>41.071428571428569</v>
      </c>
      <c r="F211" s="1049"/>
      <c r="G211" s="1068"/>
      <c r="H211" s="1069"/>
      <c r="I211" s="1052">
        <f t="shared" si="68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72"/>
        <v>0</v>
      </c>
      <c r="V211" s="239">
        <v>48</v>
      </c>
      <c r="W211" s="240">
        <f>+V211-U211</f>
        <v>48</v>
      </c>
      <c r="X211" s="241">
        <f t="shared" si="74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733"/>
      <c r="AN211" s="733"/>
      <c r="AO211" s="733"/>
      <c r="AP211" s="733"/>
      <c r="AQ211" s="733"/>
      <c r="AR211" s="733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7"/>
        <v>29.571428571428573</v>
      </c>
      <c r="F212" s="1049"/>
      <c r="G212" s="1062"/>
      <c r="H212" s="1063"/>
      <c r="I212" s="1052">
        <f t="shared" si="68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5">+I212/6*7</f>
        <v>4.3125</v>
      </c>
      <c r="O212" s="1020"/>
      <c r="P212" s="5"/>
      <c r="Q212" s="1056">
        <f t="shared" ref="Q212:Q213" si="76">+$I$69-I212</f>
        <v>1.5348214285714286</v>
      </c>
      <c r="R212" s="1057"/>
      <c r="S212" s="1066">
        <f>20*30/180*117</f>
        <v>390</v>
      </c>
      <c r="T212" s="1067"/>
      <c r="U212" s="238">
        <f t="shared" si="72"/>
        <v>0</v>
      </c>
      <c r="V212" s="239">
        <v>48</v>
      </c>
      <c r="W212" s="240">
        <f t="shared" ref="W212:W213" si="77">+V212-U212</f>
        <v>48</v>
      </c>
      <c r="X212" s="241">
        <f t="shared" si="74"/>
        <v>0</v>
      </c>
      <c r="Y212" s="248"/>
      <c r="Z212" s="732"/>
      <c r="AA212" s="732"/>
      <c r="AB212" s="732"/>
      <c r="AC212" s="732"/>
      <c r="AD212" s="732"/>
      <c r="AE212" s="386"/>
      <c r="AF212" s="386"/>
      <c r="AG212" s="733"/>
      <c r="AH212" s="733"/>
      <c r="AI212" s="393"/>
      <c r="AJ212" s="393"/>
      <c r="AK212" s="393"/>
      <c r="AL212" s="393"/>
      <c r="AM212" s="733"/>
      <c r="AN212" s="733"/>
      <c r="AO212" s="733"/>
      <c r="AP212" s="733"/>
      <c r="AQ212" s="733"/>
      <c r="AR212" s="733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7"/>
        <v>28.333328571428574</v>
      </c>
      <c r="F213" s="1049"/>
      <c r="G213" s="1050">
        <v>25.761900000000001</v>
      </c>
      <c r="H213" s="1051"/>
      <c r="I213" s="1052">
        <f t="shared" si="68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5"/>
        <v>4.1319437500000005</v>
      </c>
      <c r="O213" s="1020"/>
      <c r="P213" s="5"/>
      <c r="Q213" s="1056">
        <f t="shared" si="76"/>
        <v>1.6895839285714285</v>
      </c>
      <c r="R213" s="1057"/>
      <c r="S213" s="731"/>
      <c r="T213" s="731"/>
      <c r="U213" s="238">
        <f>+AE175+U175+K175+AO154+AE154+U154+K154</f>
        <v>0</v>
      </c>
      <c r="V213" s="239">
        <v>48</v>
      </c>
      <c r="W213" s="240">
        <f t="shared" si="77"/>
        <v>48</v>
      </c>
      <c r="X213" s="241">
        <f>+J154+T154+AD154+J175+T175+AD175</f>
        <v>0</v>
      </c>
      <c r="Y213" s="731"/>
      <c r="Z213" s="732"/>
      <c r="AA213" s="732"/>
      <c r="AB213" s="732"/>
      <c r="AC213" s="732"/>
      <c r="AD213" s="732"/>
      <c r="AE213" s="386"/>
      <c r="AF213" s="386"/>
      <c r="AG213" s="733"/>
      <c r="AH213" s="733"/>
      <c r="AI213" s="393"/>
      <c r="AJ213" s="393"/>
      <c r="AK213" s="393"/>
      <c r="AL213" s="393"/>
      <c r="AM213" s="733"/>
      <c r="AN213" s="733"/>
      <c r="AO213" s="733"/>
      <c r="AP213" s="733"/>
      <c r="AQ213" s="733"/>
      <c r="AR213" s="733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8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732"/>
      <c r="AC214" s="732"/>
      <c r="AD214" s="732"/>
      <c r="AE214" s="386"/>
      <c r="AF214" s="386"/>
      <c r="AG214" s="733"/>
      <c r="AH214" s="733"/>
      <c r="AI214" s="733"/>
      <c r="AJ214" s="733"/>
      <c r="AK214" s="733"/>
      <c r="AL214" s="733"/>
      <c r="AM214" s="733"/>
      <c r="AN214" s="733"/>
      <c r="AO214" s="733"/>
      <c r="AP214" s="733"/>
      <c r="AQ214" s="733"/>
      <c r="AR214" s="733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9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732"/>
      <c r="AE215" s="386"/>
      <c r="AF215" s="386"/>
      <c r="AG215" s="244"/>
      <c r="AH215" s="244"/>
      <c r="AI215" s="733"/>
      <c r="AJ215" s="733"/>
      <c r="AK215" s="733"/>
      <c r="AL215" s="733"/>
      <c r="AM215" s="733"/>
      <c r="AN215" s="733"/>
      <c r="AO215" s="733"/>
      <c r="AP215" s="733"/>
      <c r="AQ215" s="733"/>
      <c r="AR215" s="733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9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732"/>
      <c r="AD216" s="732"/>
      <c r="AE216" s="386"/>
      <c r="AF216" s="386"/>
      <c r="AG216" s="733"/>
      <c r="AH216" s="733"/>
      <c r="AI216" s="393"/>
      <c r="AJ216" s="393"/>
      <c r="AK216" s="393"/>
      <c r="AL216" s="393"/>
      <c r="AM216" s="733"/>
      <c r="AN216" s="733"/>
      <c r="AO216" s="733"/>
      <c r="AP216" s="733"/>
      <c r="AQ216" s="733"/>
      <c r="AR216" s="733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9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80">+I217/6*7</f>
        <v>4.1319395833333337</v>
      </c>
      <c r="O217" s="1044"/>
      <c r="P217" s="5"/>
      <c r="Q217" s="1004">
        <f t="shared" ref="Q217" si="81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82">+V217-U217</f>
        <v>48</v>
      </c>
      <c r="X217" s="241">
        <f>+J157+T157+AD157+J178+T178+AD178</f>
        <v>0</v>
      </c>
      <c r="Z217" s="252"/>
      <c r="AA217" s="394"/>
      <c r="AB217" s="389"/>
      <c r="AC217" s="732"/>
      <c r="AD217" s="732"/>
      <c r="AE217" s="386"/>
      <c r="AF217" s="386"/>
      <c r="AG217" s="393"/>
      <c r="AH217" s="393"/>
      <c r="AI217" s="733"/>
      <c r="AJ217" s="733"/>
      <c r="AK217" s="733"/>
      <c r="AL217" s="733"/>
      <c r="AM217" s="733"/>
      <c r="AN217" s="733"/>
      <c r="AO217" s="733"/>
      <c r="AP217" s="733"/>
      <c r="AQ217" s="733"/>
      <c r="AR217" s="733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9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732"/>
      <c r="AC218" s="732"/>
      <c r="AD218" s="732">
        <v>200</v>
      </c>
      <c r="AE218" s="386"/>
      <c r="AF218" s="1023">
        <f>+AD218/6</f>
        <v>33.333333333333336</v>
      </c>
      <c r="AG218" s="1023"/>
      <c r="AH218" s="1023"/>
      <c r="AI218" s="733"/>
      <c r="AJ218" s="733"/>
      <c r="AK218" s="733"/>
      <c r="AL218" s="733"/>
      <c r="AM218" s="733"/>
      <c r="AN218" s="733"/>
      <c r="AO218" s="733"/>
      <c r="AP218" s="733"/>
      <c r="AQ218" s="733"/>
      <c r="AR218" s="733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9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83">+V219-U219</f>
        <v>48</v>
      </c>
      <c r="X219" s="241">
        <f>+J158+T158+AD158+J179+T179+AD179</f>
        <v>0</v>
      </c>
      <c r="Y219" s="248"/>
      <c r="Z219" s="732"/>
      <c r="AA219" s="732"/>
      <c r="AB219" s="732"/>
      <c r="AC219" s="732"/>
      <c r="AG219" s="733"/>
      <c r="AH219" s="733"/>
      <c r="AI219" s="386"/>
      <c r="AJ219" s="386"/>
      <c r="AK219" s="729"/>
      <c r="AL219" s="729"/>
      <c r="AM219" s="729"/>
      <c r="AN219" s="729"/>
      <c r="AO219" s="729"/>
      <c r="AP219" s="729"/>
      <c r="AQ219" s="729"/>
      <c r="AR219" s="729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9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4">+I220/6*7</f>
        <v>11.423610416666666</v>
      </c>
      <c r="O220" s="1020"/>
      <c r="P220" s="5"/>
      <c r="Q220" s="1004">
        <f t="shared" ref="Q220" si="85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83"/>
        <v>48</v>
      </c>
      <c r="X220" s="241">
        <f>+J162+T162+AD162+J183+T183+AD183</f>
        <v>0</v>
      </c>
      <c r="Z220" s="246"/>
      <c r="AA220" s="246"/>
      <c r="AB220" s="732"/>
      <c r="AC220" s="732"/>
      <c r="AD220" s="732"/>
      <c r="AE220" s="386"/>
      <c r="AF220" s="386"/>
      <c r="AG220" s="733"/>
      <c r="AH220" s="733"/>
      <c r="AI220" s="733"/>
      <c r="AJ220" s="733"/>
      <c r="AK220" s="733"/>
      <c r="AL220" s="733"/>
      <c r="AM220" s="733"/>
      <c r="AN220" s="733"/>
      <c r="AO220" s="733"/>
      <c r="AP220" s="733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730"/>
      <c r="E223" s="304"/>
      <c r="F223" s="305"/>
      <c r="G223" s="730"/>
      <c r="H223" s="730"/>
      <c r="I223" s="305"/>
      <c r="J223" s="730"/>
      <c r="K223" s="306"/>
      <c r="L223" s="306"/>
      <c r="M223" s="730"/>
      <c r="N223" s="730"/>
      <c r="O223" s="730"/>
      <c r="P223" s="730"/>
      <c r="Q223" s="730"/>
      <c r="R223" s="730"/>
      <c r="S223" s="730"/>
      <c r="T223" s="730"/>
      <c r="U223" s="730"/>
      <c r="V223" s="730"/>
      <c r="W223" s="730"/>
      <c r="X223" s="730"/>
      <c r="Y223" s="730"/>
      <c r="Z223" s="730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6">+I227+L227+O227</f>
        <v>33.762</v>
      </c>
      <c r="S227" s="1001"/>
      <c r="T227" s="1001"/>
      <c r="U227" s="961">
        <f t="shared" ref="U227:U234" si="87">+I227*7+(L227+O227)*6</f>
        <v>233.334</v>
      </c>
      <c r="V227" s="961"/>
      <c r="W227" s="962"/>
      <c r="X227" s="963">
        <f t="shared" ref="X227:X234" si="88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6"/>
        <v>28.762</v>
      </c>
      <c r="S228" s="998"/>
      <c r="T228" s="998"/>
      <c r="U228" s="953">
        <f t="shared" si="87"/>
        <v>198.334</v>
      </c>
      <c r="V228" s="953"/>
      <c r="W228" s="954"/>
      <c r="X228" s="947">
        <f t="shared" si="88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9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6"/>
        <v>41.5</v>
      </c>
      <c r="S229" s="998"/>
      <c r="T229" s="998"/>
      <c r="U229" s="953">
        <f t="shared" si="87"/>
        <v>287.5</v>
      </c>
      <c r="V229" s="953"/>
      <c r="W229" s="954"/>
      <c r="X229" s="947">
        <f t="shared" si="88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6"/>
        <v>41.5</v>
      </c>
      <c r="S230" s="998"/>
      <c r="T230" s="998"/>
      <c r="U230" s="953">
        <f t="shared" si="87"/>
        <v>287.5</v>
      </c>
      <c r="V230" s="953"/>
      <c r="W230" s="954"/>
      <c r="X230" s="947">
        <f t="shared" si="88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6"/>
        <v>41.5</v>
      </c>
      <c r="S231" s="998"/>
      <c r="T231" s="998"/>
      <c r="U231" s="953">
        <f t="shared" si="87"/>
        <v>287.5</v>
      </c>
      <c r="V231" s="953"/>
      <c r="W231" s="954"/>
      <c r="X231" s="947">
        <f t="shared" si="88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6"/>
        <v>36.799999999999997</v>
      </c>
      <c r="S232" s="998"/>
      <c r="T232" s="998"/>
      <c r="U232" s="953">
        <f t="shared" si="87"/>
        <v>254.59999999999997</v>
      </c>
      <c r="V232" s="953"/>
      <c r="W232" s="954"/>
      <c r="X232" s="947">
        <f t="shared" si="88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6"/>
        <v>41.5</v>
      </c>
      <c r="S233" s="998"/>
      <c r="T233" s="998"/>
      <c r="U233" s="953">
        <f t="shared" si="87"/>
        <v>287.5</v>
      </c>
      <c r="V233" s="953"/>
      <c r="W233" s="954"/>
      <c r="X233" s="947">
        <f t="shared" si="88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6"/>
        <v>37.095199999999998</v>
      </c>
      <c r="S234" s="998"/>
      <c r="T234" s="998"/>
      <c r="U234" s="953">
        <f t="shared" si="87"/>
        <v>256.66639999999995</v>
      </c>
      <c r="V234" s="953"/>
      <c r="W234" s="954"/>
      <c r="X234" s="947">
        <f t="shared" si="88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733"/>
      <c r="AF243" s="733"/>
      <c r="AG243" s="386"/>
      <c r="AH243" s="386"/>
      <c r="AI243" s="386"/>
      <c r="AJ243" s="733"/>
      <c r="AK243" s="733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733"/>
      <c r="AF244" s="733"/>
      <c r="AG244" s="386"/>
      <c r="AH244" s="386"/>
      <c r="AI244" s="386"/>
      <c r="AJ244" s="733"/>
      <c r="AK244" s="733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733"/>
      <c r="AF246" s="733"/>
      <c r="AG246" s="386"/>
      <c r="AH246" s="386"/>
      <c r="AI246" s="386"/>
      <c r="AJ246" s="733"/>
      <c r="AK246" s="733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733"/>
      <c r="AF249" s="733"/>
      <c r="AG249" s="386"/>
      <c r="AH249" s="386"/>
      <c r="AI249" s="386"/>
      <c r="AJ249" s="733"/>
      <c r="AK249" s="733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729"/>
      <c r="AM251" s="733"/>
      <c r="AN251" s="729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730"/>
      <c r="E260" s="304"/>
      <c r="F260" s="305"/>
      <c r="G260" s="730"/>
      <c r="H260" s="730"/>
      <c r="I260" s="305"/>
      <c r="J260" s="730"/>
      <c r="K260" s="306"/>
      <c r="L260" s="306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90">+I264+L264+O264</f>
        <v>41.5</v>
      </c>
      <c r="S264" s="960"/>
      <c r="T264" s="960"/>
      <c r="U264" s="961">
        <f t="shared" ref="U264:U270" si="91">+I264*7+(L264+O264)*6</f>
        <v>287.5</v>
      </c>
      <c r="V264" s="961"/>
      <c r="W264" s="962"/>
      <c r="X264" s="963">
        <f t="shared" ref="X264:X270" si="92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3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90"/>
        <v>41.5</v>
      </c>
      <c r="S265" s="938"/>
      <c r="T265" s="938"/>
      <c r="U265" s="953">
        <f t="shared" si="91"/>
        <v>287.5</v>
      </c>
      <c r="V265" s="953"/>
      <c r="W265" s="954"/>
      <c r="X265" s="947">
        <f t="shared" si="92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3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90"/>
        <v>41.5</v>
      </c>
      <c r="S266" s="938"/>
      <c r="T266" s="938"/>
      <c r="U266" s="953">
        <f t="shared" si="91"/>
        <v>287.5</v>
      </c>
      <c r="V266" s="953"/>
      <c r="W266" s="954"/>
      <c r="X266" s="947">
        <f t="shared" si="92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3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90"/>
        <v>38</v>
      </c>
      <c r="S267" s="938"/>
      <c r="T267" s="938"/>
      <c r="U267" s="953">
        <f t="shared" si="91"/>
        <v>263</v>
      </c>
      <c r="V267" s="953"/>
      <c r="W267" s="954"/>
      <c r="X267" s="947">
        <f t="shared" si="92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3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90"/>
        <v>36.799999999999997</v>
      </c>
      <c r="S268" s="938"/>
      <c r="T268" s="938"/>
      <c r="U268" s="953">
        <f t="shared" si="91"/>
        <v>254.59999999999997</v>
      </c>
      <c r="V268" s="953"/>
      <c r="W268" s="954"/>
      <c r="X268" s="947">
        <f t="shared" si="92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3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90"/>
        <v>36.799999999999997</v>
      </c>
      <c r="S269" s="938"/>
      <c r="T269" s="938"/>
      <c r="U269" s="953">
        <f t="shared" si="91"/>
        <v>254.59999999999997</v>
      </c>
      <c r="V269" s="953"/>
      <c r="W269" s="954"/>
      <c r="X269" s="947">
        <f t="shared" si="92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3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90"/>
        <v>29</v>
      </c>
      <c r="S270" s="938"/>
      <c r="T270" s="938"/>
      <c r="U270" s="953">
        <f t="shared" si="91"/>
        <v>200</v>
      </c>
      <c r="V270" s="953"/>
      <c r="W270" s="954"/>
      <c r="X270" s="947">
        <f t="shared" si="92"/>
        <v>857.14285714285722</v>
      </c>
      <c r="Y270" s="948"/>
      <c r="Z270" s="949"/>
      <c r="AA270" s="935">
        <v>25</v>
      </c>
      <c r="AB270" s="936"/>
      <c r="AC270" s="936"/>
      <c r="AD270" s="937">
        <f t="shared" si="93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2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Q76:R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</mergeCells>
  <conditionalFormatting sqref="AP199:AP202 AH60 AP60 AH32:AH48 AP32:AP48">
    <cfRule type="cellIs" dxfId="473" priority="29" stopIfTrue="1" operator="lessThanOrEqual">
      <formula>0</formula>
    </cfRule>
  </conditionalFormatting>
  <conditionalFormatting sqref="L287:L288 K258:L258 K287:K290 L290 K158:L159 K275:L278 K179:L179 K85:L141 L79:L81 K79:K83 K198:L240">
    <cfRule type="cellIs" dxfId="472" priority="28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471" priority="27" stopIfTrue="1" operator="lessThan">
      <formula>0</formula>
    </cfRule>
  </conditionalFormatting>
  <conditionalFormatting sqref="AJ56:AJ57 F60 Z60 F56:F58 P60:P66 P56:P58 Z56:Z58 F11:F25 Z11:Z26 P11:P26 Z32:Z48 F32:F48 P32:P53 AJ11:AJ26 P199:P201">
    <cfRule type="cellIs" dxfId="470" priority="26" stopIfTrue="1" operator="lessThanOrEqual">
      <formula>0</formula>
    </cfRule>
  </conditionalFormatting>
  <conditionalFormatting sqref="AM56:AM57 AC60 I60 AC56:AC58 S60:S66 S56:S58 I56:I58 AM11:AM26 S11:S26 I11:I25 AC11:AC26 AC32:AC48 I32:I48 S32:S53 S199:S201">
    <cfRule type="cellIs" dxfId="469" priority="25" stopIfTrue="1" operator="lessThanOrEqual">
      <formula>0</formula>
    </cfRule>
  </conditionalFormatting>
  <conditionalFormatting sqref="K56:L58 AO56:AO57 AE56:AE57 K60:L60 AE60:AF60 U60:V66 AE58:AF58 U56:V58 K46:L48 AE46:AF48 U46:V54 K44:L44 AE44:AF44 AE41:AF41 U41:V41 U32:V32 K25:L26 AE32:AF32 AE25:AF26 K22:L23 K32:L32 U22:V23 U33:U40 AE33:AE40 AE14:AF14 K11:L11 AE11:AE13 U11:V11 K17:L17 V17 K12:K16 AO11:AO26 U25:V26 AE45 V43:V44 K45 K24 U24 K18:K21 U12:U21 AE15:AE24 U42:U45 AE42:AE43 K33:K43 U199:V201">
    <cfRule type="cellIs" dxfId="468" priority="24" stopIfTrue="1" operator="lessThanOrEqual">
      <formula>0</formula>
    </cfRule>
  </conditionalFormatting>
  <conditionalFormatting sqref="AA66:AB68 AA71:AB73 W209:X218 Z49:AA53 Z61:AA61 W85:X85 W74:X83 Z199:AA201 W220:X220">
    <cfRule type="cellIs" dxfId="467" priority="23" stopIfTrue="1" operator="lessThan">
      <formula>0</formula>
    </cfRule>
  </conditionalFormatting>
  <conditionalFormatting sqref="X49:X53 X61:X66 U85 U74:U83 X199:X201 U220 U209:U218">
    <cfRule type="cellIs" dxfId="466" priority="22" stopIfTrue="1" operator="greaterThan">
      <formula>48</formula>
    </cfRule>
  </conditionalFormatting>
  <conditionalFormatting sqref="C275:C279 C287:D290 C158:D158 D275:D286 C86:D141 C240:D240 C221:D221">
    <cfRule type="cellIs" dxfId="465" priority="21" stopIfTrue="1" operator="lessThan">
      <formula>$C$71</formula>
    </cfRule>
  </conditionalFormatting>
  <conditionalFormatting sqref="AI60:AO60 AI32:AO48">
    <cfRule type="cellIs" dxfId="464" priority="19" stopIfTrue="1" operator="equal">
      <formula>0</formula>
    </cfRule>
    <cfRule type="cellIs" dxfId="463" priority="20" stopIfTrue="1" operator="lessThan">
      <formula>0</formula>
    </cfRule>
  </conditionalFormatting>
  <conditionalFormatting sqref="AT60 AT32:AT45">
    <cfRule type="cellIs" dxfId="462" priority="17" stopIfTrue="1" operator="greaterThan">
      <formula>0</formula>
    </cfRule>
    <cfRule type="cellIs" dxfId="461" priority="18" stopIfTrue="1" operator="lessThan">
      <formula>1</formula>
    </cfRule>
  </conditionalFormatting>
  <conditionalFormatting sqref="K84:L84 K71:L81 K219:L219 K206:L216">
    <cfRule type="cellIs" dxfId="460" priority="16" stopIfTrue="1" operator="greaterThanOrEqual">
      <formula>$K$69</formula>
    </cfRule>
  </conditionalFormatting>
  <conditionalFormatting sqref="AF56:AF57 L12:L24 V12:V24 AF11:AF24 AF33:AF45 V32:V45 L32:L45">
    <cfRule type="cellIs" dxfId="459" priority="14" stopIfTrue="1" operator="equal">
      <formula>0</formula>
    </cfRule>
    <cfRule type="cellIs" dxfId="458" priority="15" stopIfTrue="1" operator="lessThan">
      <formula>0</formula>
    </cfRule>
  </conditionalFormatting>
  <hyperlinks>
    <hyperlink ref="AB211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T42 AK37" formula="1"/>
  </ignoredErrors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I34" sqref="I34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711" customWidth="1"/>
    <col min="5" max="5" width="4.28515625" style="3" customWidth="1"/>
    <col min="6" max="6" width="4.28515625" style="4" customWidth="1"/>
    <col min="7" max="8" width="4.28515625" style="711" customWidth="1"/>
    <col min="9" max="9" width="4.28515625" style="4" customWidth="1"/>
    <col min="10" max="10" width="4.28515625" style="711" customWidth="1"/>
    <col min="11" max="12" width="4.28515625" style="5" customWidth="1"/>
    <col min="13" max="26" width="4.28515625" style="711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43229</v>
      </c>
      <c r="C1" s="711" t="s">
        <v>0</v>
      </c>
      <c r="AN1" s="7"/>
      <c r="AO1" s="7"/>
      <c r="AR1" s="1340">
        <f>+AR46+AT46</f>
        <v>160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43230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711">
        <v>0</v>
      </c>
    </row>
    <row r="5" spans="1:58" ht="10.9" customHeight="1">
      <c r="B5" s="1244" t="s">
        <v>1</v>
      </c>
      <c r="C5" s="1140">
        <v>43223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43224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43225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43226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43223</v>
      </c>
      <c r="AW7" s="1296">
        <f>+M5</f>
        <v>43224</v>
      </c>
      <c r="AX7" s="1296">
        <f>+W5</f>
        <v>43225</v>
      </c>
      <c r="AY7" s="1309">
        <f>+AG5</f>
        <v>43226</v>
      </c>
      <c r="AZ7" s="1296">
        <f>+C26</f>
        <v>43227</v>
      </c>
      <c r="BA7" s="1296">
        <f>+M26</f>
        <v>43228</v>
      </c>
      <c r="BB7" s="1296">
        <f>+W26</f>
        <v>43229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8</v>
      </c>
      <c r="D11" s="335">
        <v>16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-1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>
        <v>7</v>
      </c>
      <c r="X11" s="337">
        <v>16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15</v>
      </c>
      <c r="AQ11" s="1298"/>
      <c r="AR11" s="1299">
        <f t="shared" ref="AR11:AR20" si="16">ROUND(BD11*AP11,1)</f>
        <v>68.2</v>
      </c>
      <c r="AS11" s="1300"/>
      <c r="AT11" s="338">
        <f t="shared" ref="AT11:AT24" si="17">IF(AT32&gt;0,AT32*$AT$10,0)</f>
        <v>28</v>
      </c>
      <c r="AV11" s="26">
        <f t="shared" ref="AV11:AV20" si="18">+L11</f>
        <v>-1</v>
      </c>
      <c r="AW11" s="26">
        <f t="shared" ref="AW11:AW20" si="19">+V11</f>
        <v>-1</v>
      </c>
      <c r="AX11" s="26">
        <f t="shared" ref="AX11:AX20" si="20">+AF11</f>
        <v>0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-1</v>
      </c>
      <c r="BB11" s="26">
        <f t="shared" ref="BB11:BB19" si="24">+AF32</f>
        <v>2</v>
      </c>
      <c r="BC11" s="28"/>
      <c r="BD11" s="339">
        <f t="shared" ref="BD11:BD17" si="25">+I71</f>
        <v>4.5464285714285708</v>
      </c>
      <c r="BE11" s="340">
        <f t="shared" ref="BE11:BE20" si="26">+BD11*AP11</f>
        <v>68.196428571428555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715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10</v>
      </c>
      <c r="X12" s="342">
        <v>18</v>
      </c>
      <c r="Y12" s="30">
        <v>1</v>
      </c>
      <c r="Z12" s="31">
        <f t="shared" si="9"/>
        <v>7</v>
      </c>
      <c r="AA12" s="344"/>
      <c r="AB12" s="348">
        <v>0.5</v>
      </c>
      <c r="AC12" s="36">
        <f t="shared" si="10"/>
        <v>0.5</v>
      </c>
      <c r="AD12" s="30"/>
      <c r="AE12" s="32">
        <f t="shared" si="11"/>
        <v>8.5</v>
      </c>
      <c r="AF12" s="20">
        <f>IF(W12&gt;0,IF(AE$5&gt;0,(Z12+AC12)*2,(Z12+AC12-8)),0)*IF(Z12&lt;9,IF(AE$5&gt;0,1,2),1)+IF(Z12&gt;8,AC12,0)</f>
        <v>-1</v>
      </c>
      <c r="AG12" s="37">
        <v>8</v>
      </c>
      <c r="AH12" s="342">
        <v>18</v>
      </c>
      <c r="AI12" s="30">
        <v>1</v>
      </c>
      <c r="AJ12" s="38">
        <f>+AH12-AG12-AI12</f>
        <v>9</v>
      </c>
      <c r="AK12" s="342"/>
      <c r="AL12" s="342"/>
      <c r="AM12" s="31">
        <f t="shared" si="13"/>
        <v>0</v>
      </c>
      <c r="AN12" s="39"/>
      <c r="AO12" s="40">
        <f t="shared" si="14"/>
        <v>18</v>
      </c>
      <c r="AP12" s="1282">
        <f t="shared" si="15"/>
        <v>26</v>
      </c>
      <c r="AQ12" s="1283"/>
      <c r="AR12" s="1284">
        <f t="shared" si="16"/>
        <v>133.5</v>
      </c>
      <c r="AS12" s="1285"/>
      <c r="AT12" s="345">
        <f t="shared" si="17"/>
        <v>28</v>
      </c>
      <c r="AV12" s="26">
        <f t="shared" si="18"/>
        <v>2</v>
      </c>
      <c r="AW12" s="26">
        <f t="shared" si="19"/>
        <v>0</v>
      </c>
      <c r="AX12" s="26">
        <f t="shared" si="20"/>
        <v>-1</v>
      </c>
      <c r="AY12" s="27">
        <f t="shared" si="21"/>
        <v>18</v>
      </c>
      <c r="AZ12" s="26">
        <f t="shared" si="22"/>
        <v>2</v>
      </c>
      <c r="BA12" s="26">
        <f t="shared" si="23"/>
        <v>1</v>
      </c>
      <c r="BB12" s="26">
        <f t="shared" si="24"/>
        <v>4</v>
      </c>
      <c r="BC12" s="28"/>
      <c r="BD12" s="339">
        <f t="shared" si="25"/>
        <v>5.1339285714285712</v>
      </c>
      <c r="BE12" s="340">
        <f t="shared" si="26"/>
        <v>133.48214285714286</v>
      </c>
      <c r="BF12" s="341">
        <f t="shared" si="27"/>
        <v>92.410714285714278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8</v>
      </c>
      <c r="D13" s="342">
        <v>18</v>
      </c>
      <c r="E13" s="30">
        <v>1</v>
      </c>
      <c r="F13" s="31">
        <f t="shared" si="1"/>
        <v>9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1</v>
      </c>
      <c r="M13" s="715">
        <v>7</v>
      </c>
      <c r="N13" s="342">
        <v>13</v>
      </c>
      <c r="O13" s="30">
        <v>0</v>
      </c>
      <c r="P13" s="31">
        <f t="shared" si="5"/>
        <v>6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-2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-4</v>
      </c>
      <c r="AQ13" s="1283"/>
      <c r="AR13" s="1284">
        <f t="shared" si="16"/>
        <v>-20.5</v>
      </c>
      <c r="AS13" s="1285"/>
      <c r="AT13" s="345">
        <f t="shared" si="17"/>
        <v>20</v>
      </c>
      <c r="AV13" s="26">
        <f t="shared" si="18"/>
        <v>1</v>
      </c>
      <c r="AW13" s="26">
        <f t="shared" si="19"/>
        <v>-2</v>
      </c>
      <c r="AX13" s="26">
        <f t="shared" si="20"/>
        <v>0</v>
      </c>
      <c r="AY13" s="27">
        <f t="shared" si="21"/>
        <v>0</v>
      </c>
      <c r="AZ13" s="26">
        <f t="shared" si="22"/>
        <v>0</v>
      </c>
      <c r="BA13" s="26">
        <f t="shared" si="23"/>
        <v>0</v>
      </c>
      <c r="BB13" s="26">
        <f t="shared" si="24"/>
        <v>-3</v>
      </c>
      <c r="BC13" s="28"/>
      <c r="BD13" s="339">
        <f t="shared" si="25"/>
        <v>5.1339285714285712</v>
      </c>
      <c r="BE13" s="340">
        <f t="shared" si="26"/>
        <v>-20.535714285714285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16</v>
      </c>
      <c r="O14" s="42">
        <v>1</v>
      </c>
      <c r="P14" s="44">
        <f t="shared" si="5"/>
        <v>8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0</v>
      </c>
      <c r="W14" s="347">
        <v>7</v>
      </c>
      <c r="X14" s="346">
        <v>17</v>
      </c>
      <c r="Y14" s="42">
        <v>1</v>
      </c>
      <c r="Z14" s="44">
        <f t="shared" si="9"/>
        <v>9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1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6</v>
      </c>
      <c r="AQ14" s="1283"/>
      <c r="AR14" s="1284">
        <f t="shared" si="16"/>
        <v>25</v>
      </c>
      <c r="AS14" s="1285"/>
      <c r="AT14" s="345">
        <f t="shared" si="17"/>
        <v>20</v>
      </c>
      <c r="AV14" s="26">
        <f t="shared" si="18"/>
        <v>2</v>
      </c>
      <c r="AW14" s="26">
        <f t="shared" si="19"/>
        <v>0</v>
      </c>
      <c r="AX14" s="26">
        <f t="shared" si="20"/>
        <v>1</v>
      </c>
      <c r="AY14" s="27">
        <f t="shared" si="21"/>
        <v>0</v>
      </c>
      <c r="AZ14" s="26">
        <f t="shared" si="22"/>
        <v>2</v>
      </c>
      <c r="BA14" s="26">
        <f t="shared" si="23"/>
        <v>0</v>
      </c>
      <c r="BB14" s="26">
        <f t="shared" si="24"/>
        <v>1</v>
      </c>
      <c r="BC14" s="28"/>
      <c r="BD14" s="339">
        <f t="shared" si="25"/>
        <v>4.1666785714285712</v>
      </c>
      <c r="BE14" s="340">
        <f t="shared" si="26"/>
        <v>25.000071428571427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17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715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5</v>
      </c>
      <c r="AQ15" s="1295"/>
      <c r="AR15" s="1284">
        <f t="shared" si="16"/>
        <v>25.7</v>
      </c>
      <c r="AS15" s="1285"/>
      <c r="AT15" s="345">
        <f t="shared" si="17"/>
        <v>24</v>
      </c>
      <c r="AV15" s="26">
        <f t="shared" si="18"/>
        <v>0</v>
      </c>
      <c r="AW15" s="26">
        <f t="shared" si="19"/>
        <v>1</v>
      </c>
      <c r="AX15" s="26">
        <f t="shared" si="20"/>
        <v>0</v>
      </c>
      <c r="AY15" s="27">
        <f t="shared" si="21"/>
        <v>0</v>
      </c>
      <c r="AZ15" s="26">
        <f t="shared" si="22"/>
        <v>2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25.669642857142854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19</v>
      </c>
      <c r="O18" s="30">
        <v>1</v>
      </c>
      <c r="P18" s="31">
        <f>+N18-M18-O18</f>
        <v>11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3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13</v>
      </c>
      <c r="AQ18" s="1283"/>
      <c r="AR18" s="1284">
        <f t="shared" si="16"/>
        <v>46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3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46.041658928571429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13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 xml:space="preserve">  -  .  -  </v>
      </c>
      <c r="C21" s="520"/>
      <c r="D21" s="516"/>
      <c r="E21" s="516"/>
      <c r="F21" s="517">
        <f>+D21-C21-E21</f>
        <v>0</v>
      </c>
      <c r="G21" s="516"/>
      <c r="H21" s="516"/>
      <c r="I21" s="517">
        <f>+H21-G21</f>
        <v>0</v>
      </c>
      <c r="J21" s="516"/>
      <c r="K21" s="517">
        <f>+I21+F21-L21</f>
        <v>0</v>
      </c>
      <c r="L21" s="518">
        <f t="shared" si="4"/>
        <v>0</v>
      </c>
      <c r="M21" s="714"/>
      <c r="N21" s="516"/>
      <c r="O21" s="516"/>
      <c r="P21" s="517">
        <f>+N21-M21-O21</f>
        <v>0</v>
      </c>
      <c r="Q21" s="516"/>
      <c r="R21" s="516"/>
      <c r="S21" s="517">
        <f>+R21-Q21</f>
        <v>0</v>
      </c>
      <c r="T21" s="516"/>
      <c r="U21" s="517">
        <f>+S21+P21-V21</f>
        <v>0</v>
      </c>
      <c r="V21" s="518">
        <f>IF(M21&gt;0,(P21+S21)+IF(U$5&gt;0,P21,-8),0)+IF(AE$5&gt;0,S21,0)</f>
        <v>0</v>
      </c>
      <c r="W21" s="516"/>
      <c r="X21" s="516"/>
      <c r="Y21" s="516"/>
      <c r="Z21" s="517">
        <f>+X21-W21-Y21</f>
        <v>0</v>
      </c>
      <c r="AA21" s="516"/>
      <c r="AB21" s="534"/>
      <c r="AC21" s="517">
        <f>+AB21-AA21</f>
        <v>0</v>
      </c>
      <c r="AD21" s="516"/>
      <c r="AE21" s="517">
        <f>+AC21+Z21-IF(AE$5&gt;0,AF21/2,AF21)</f>
        <v>0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0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4.583328571428571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ref="K22:K23" si="29">+I22+F22-L22</f>
        <v>8</v>
      </c>
      <c r="L22" s="461">
        <f t="shared" si="4"/>
        <v>2</v>
      </c>
      <c r="M22" s="712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ref="U22:U23" si="30">+S22+P22-V22</f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 t="shared" ref="AE22:AE23" si="31">+AC22+Z22-IF(AE$5&gt;0,AF22/2,AF22)</f>
        <v>8</v>
      </c>
      <c r="AF22" s="461">
        <f t="shared" si="28"/>
        <v>2</v>
      </c>
      <c r="AG22" s="459">
        <v>7</v>
      </c>
      <c r="AH22" s="459">
        <v>18</v>
      </c>
      <c r="AI22" s="459">
        <v>1</v>
      </c>
      <c r="AJ22" s="464">
        <f t="shared" si="12"/>
        <v>10</v>
      </c>
      <c r="AK22" s="459"/>
      <c r="AL22" s="459"/>
      <c r="AM22" s="460">
        <f>+AL22-AK22</f>
        <v>0</v>
      </c>
      <c r="AN22" s="459"/>
      <c r="AO22" s="465">
        <f>(AJ22*2+AM22)</f>
        <v>20</v>
      </c>
      <c r="AP22" s="1290">
        <f t="shared" si="15"/>
        <v>32</v>
      </c>
      <c r="AQ22" s="1291"/>
      <c r="AR22" s="1292">
        <f>ROUND(BD22*AP22,1)</f>
        <v>113.3</v>
      </c>
      <c r="AS22" s="1293"/>
      <c r="AT22" s="488">
        <f t="shared" si="17"/>
        <v>28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3.5416625000000002</v>
      </c>
      <c r="BE22" s="351">
        <f>+BD22*AP22</f>
        <v>113.33320000000001</v>
      </c>
      <c r="BF22" s="352">
        <f>+BD22*AY22</f>
        <v>70.833250000000007</v>
      </c>
    </row>
    <row r="23" spans="1:58" s="55" customFormat="1" ht="14.1" customHeight="1">
      <c r="A23" s="50"/>
      <c r="B23" s="513" t="str">
        <f t="shared" si="0"/>
        <v>Rafael Armas R.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32">
        <f t="shared" si="29"/>
        <v>8</v>
      </c>
      <c r="L23" s="461">
        <f t="shared" si="4"/>
        <v>2</v>
      </c>
      <c r="M23" s="712">
        <v>7</v>
      </c>
      <c r="N23" s="459">
        <v>18</v>
      </c>
      <c r="O23" s="459">
        <v>1</v>
      </c>
      <c r="P23" s="460">
        <f>+N23-M23-O23</f>
        <v>10</v>
      </c>
      <c r="Q23" s="459"/>
      <c r="R23" s="459"/>
      <c r="S23" s="460">
        <f>+R23-Q23</f>
        <v>0</v>
      </c>
      <c r="T23" s="459"/>
      <c r="U23" s="32">
        <f t="shared" si="30"/>
        <v>8</v>
      </c>
      <c r="V23" s="461">
        <f>IF(M23&gt;0,(P23+S23)+IF(U$5&gt;0,P23,-8),0)+IF(AE$5&gt;0,S23,0)</f>
        <v>2</v>
      </c>
      <c r="W23" s="459">
        <v>7</v>
      </c>
      <c r="X23" s="459">
        <v>18</v>
      </c>
      <c r="Y23" s="459">
        <v>1</v>
      </c>
      <c r="Z23" s="460">
        <f>+X23-W23-Y23</f>
        <v>10</v>
      </c>
      <c r="AA23" s="459"/>
      <c r="AB23" s="463"/>
      <c r="AC23" s="460">
        <f>+AB23-AA23</f>
        <v>0</v>
      </c>
      <c r="AD23" s="459"/>
      <c r="AE23" s="32">
        <f t="shared" si="31"/>
        <v>8</v>
      </c>
      <c r="AF23" s="461">
        <f t="shared" si="28"/>
        <v>2</v>
      </c>
      <c r="AG23" s="459"/>
      <c r="AH23" s="459"/>
      <c r="AI23" s="459"/>
      <c r="AJ23" s="464">
        <f t="shared" si="12"/>
        <v>0</v>
      </c>
      <c r="AK23" s="459"/>
      <c r="AL23" s="459"/>
      <c r="AM23" s="460">
        <f>+AL23-AK23</f>
        <v>0</v>
      </c>
      <c r="AN23" s="725"/>
      <c r="AO23" s="465">
        <f>(AJ23*2+AM23)</f>
        <v>0</v>
      </c>
      <c r="AP23" s="1282">
        <f t="shared" si="15"/>
        <v>12</v>
      </c>
      <c r="AQ23" s="1283"/>
      <c r="AR23" s="1272">
        <f>ROUND(BD23*AP23,1)</f>
        <v>42.5</v>
      </c>
      <c r="AS23" s="1273"/>
      <c r="AT23" s="359">
        <f t="shared" si="17"/>
        <v>24</v>
      </c>
      <c r="AV23" s="69">
        <f>+L23</f>
        <v>2</v>
      </c>
      <c r="AW23" s="69">
        <f>+V23</f>
        <v>2</v>
      </c>
      <c r="AX23" s="69">
        <f>+AF23</f>
        <v>2</v>
      </c>
      <c r="AY23" s="70">
        <f>+AO23</f>
        <v>0</v>
      </c>
      <c r="AZ23" s="69">
        <f>+L44</f>
        <v>2</v>
      </c>
      <c r="BA23" s="69">
        <f>+V44</f>
        <v>2</v>
      </c>
      <c r="BB23" s="69">
        <f>+AF44</f>
        <v>2</v>
      </c>
      <c r="BC23" s="54"/>
      <c r="BD23" s="339">
        <f>+I83</f>
        <v>3.5416625000000002</v>
      </c>
      <c r="BE23" s="351">
        <f>+BD23*AP23</f>
        <v>42.499949999999998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433.68738035714284</v>
      </c>
      <c r="BF25" s="1242">
        <f>SUM(BF11:BF24)</f>
        <v>235.98682142857143</v>
      </c>
    </row>
    <row r="26" spans="1:58" ht="10.9" customHeight="1">
      <c r="B26" s="1244" t="s">
        <v>1</v>
      </c>
      <c r="C26" s="1140">
        <f>1+AG5</f>
        <v>43227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43228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43229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43223</v>
      </c>
      <c r="AJ26" s="1218">
        <f t="shared" ref="AJ26:AO26" si="32">1+AI26</f>
        <v>43224</v>
      </c>
      <c r="AK26" s="1218">
        <f t="shared" si="32"/>
        <v>43225</v>
      </c>
      <c r="AL26" s="1219">
        <f t="shared" si="32"/>
        <v>43226</v>
      </c>
      <c r="AM26" s="1219">
        <f t="shared" si="32"/>
        <v>43227</v>
      </c>
      <c r="AN26" s="1220">
        <f t="shared" si="32"/>
        <v>43228</v>
      </c>
      <c r="AO26" s="1220">
        <f t="shared" si="32"/>
        <v>43229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43226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105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51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3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4">+D32-C32-E32</f>
        <v>8</v>
      </c>
      <c r="G32" s="33"/>
      <c r="H32" s="47"/>
      <c r="I32" s="31">
        <f t="shared" ref="I32:I45" si="35">+H32-G32</f>
        <v>0</v>
      </c>
      <c r="J32" s="30"/>
      <c r="K32" s="32">
        <f t="shared" ref="K32:K45" si="36">+I32+F32-L32</f>
        <v>8</v>
      </c>
      <c r="L32" s="20">
        <f>IF(C32&gt;0,(F32+I32)+IF(K$26&gt;0,F32,-8),0)+IF(U$26&gt;0,I32,0)</f>
        <v>0</v>
      </c>
      <c r="M32" s="342">
        <v>8</v>
      </c>
      <c r="N32" s="342">
        <v>16</v>
      </c>
      <c r="O32" s="30">
        <v>1</v>
      </c>
      <c r="P32" s="31">
        <f t="shared" ref="P32:P45" si="37">+N32-M32-O32</f>
        <v>7</v>
      </c>
      <c r="Q32" s="106"/>
      <c r="R32" s="107"/>
      <c r="S32" s="31">
        <f t="shared" ref="S32:S45" si="38">+R32-Q32</f>
        <v>0</v>
      </c>
      <c r="T32" s="30"/>
      <c r="U32" s="32">
        <f t="shared" ref="U32:U45" si="39">+S32+P32-V32</f>
        <v>8</v>
      </c>
      <c r="V32" s="20">
        <f>IF(M32&gt;0,(P32+S32)+IF(U$26&gt;0,P32,-8),0)+IF(AE$26&gt;0,S32,0)</f>
        <v>-1</v>
      </c>
      <c r="W32" s="369">
        <v>7</v>
      </c>
      <c r="X32" s="370">
        <v>18</v>
      </c>
      <c r="Y32" s="108">
        <v>1</v>
      </c>
      <c r="Z32" s="109">
        <f t="shared" ref="Z32:Z45" si="40">+X32-W32-Y32</f>
        <v>10</v>
      </c>
      <c r="AA32" s="370"/>
      <c r="AB32" s="18"/>
      <c r="AC32" s="109">
        <f t="shared" ref="AC32:AC45" si="41">+AB32-AA32</f>
        <v>0</v>
      </c>
      <c r="AD32" s="108"/>
      <c r="AE32" s="110">
        <f t="shared" ref="AE32:AE45" si="42">+AC32+Z32-AF32</f>
        <v>8</v>
      </c>
      <c r="AF32" s="111">
        <f t="shared" ref="AF32:AF45" si="43">IF(W32&gt;0,(Z32+AC32)+IF(AE$26&gt;0,0+Z32,-8),0)</f>
        <v>2</v>
      </c>
      <c r="AG32" s="55"/>
      <c r="AH32" s="112">
        <v>0</v>
      </c>
      <c r="AI32" s="113">
        <f t="shared" ref="AI32:AI45" si="44">+K11+(IF(ISBLANK($K$5),-8,0))</f>
        <v>0</v>
      </c>
      <c r="AJ32" s="113">
        <f t="shared" ref="AJ32:AJ45" si="45">IF(ISBLANK($U$5),-8,0)+U11</f>
        <v>0</v>
      </c>
      <c r="AK32" s="113">
        <f>IF(ISBLANK($AE$5),-8,0)+AE11</f>
        <v>0</v>
      </c>
      <c r="AL32" s="113">
        <f t="shared" ref="AL32:AL45" si="46">IF(ISBLANK($AO$5),-8,0)+AO11+AW32</f>
        <v>0</v>
      </c>
      <c r="AM32" s="113">
        <f t="shared" ref="AM32:AM45" si="47">IF(ISBLANK($K$26),-8,0)+K32</f>
        <v>0</v>
      </c>
      <c r="AN32" s="113">
        <f t="shared" ref="AN32:AN45" si="48">IF(ISBLANK($U$26),-8,0)+U32</f>
        <v>0</v>
      </c>
      <c r="AO32" s="113">
        <f t="shared" ref="AO32:AO45" si="49">IF(ISBLANK($AE$26),-8,0)+AE32</f>
        <v>0</v>
      </c>
      <c r="AP32" s="114">
        <f t="shared" ref="AP32:AP45" si="50">SUM(AH32:AO32)</f>
        <v>0</v>
      </c>
      <c r="AQ32" s="55"/>
      <c r="AR32" s="1159">
        <f t="shared" ref="AR32:AR40" si="51">+X71*Q71</f>
        <v>0</v>
      </c>
      <c r="AS32" s="1197"/>
      <c r="AT32" s="117">
        <f t="shared" ref="AT32:AT41" si="52">IF(K11+L11&gt;0,1,0)+IF(U11+V11&gt;0,1,0)+IF(AE11+AF11&gt;0,1,0)+IF(AO11&gt;3,1,0)+IF(K32+L32&gt;0,1,0)+IF(U32+V32&gt;0,1,0)+IF(AE32+AF32&gt;0,1,0)</f>
        <v>7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3"/>
        <v>Cesar Mendez M.</v>
      </c>
      <c r="C33" s="334">
        <v>7</v>
      </c>
      <c r="D33" s="342">
        <v>18</v>
      </c>
      <c r="E33" s="30">
        <v>1</v>
      </c>
      <c r="F33" s="31">
        <f t="shared" si="34"/>
        <v>10</v>
      </c>
      <c r="G33" s="33"/>
      <c r="H33" s="346"/>
      <c r="I33" s="31">
        <f t="shared" si="35"/>
        <v>0</v>
      </c>
      <c r="J33" s="30"/>
      <c r="K33" s="32">
        <f t="shared" si="36"/>
        <v>8</v>
      </c>
      <c r="L33" s="20">
        <f>IF(C33&gt;0,(F33+I33)+IF(K$26&gt;0,F33,-8),0)+IF(U$26&gt;0,I33,0)</f>
        <v>2</v>
      </c>
      <c r="M33" s="342">
        <v>7</v>
      </c>
      <c r="N33" s="342">
        <v>17</v>
      </c>
      <c r="O33" s="30">
        <v>1</v>
      </c>
      <c r="P33" s="31">
        <f t="shared" si="37"/>
        <v>9</v>
      </c>
      <c r="Q33" s="346"/>
      <c r="R33" s="346"/>
      <c r="S33" s="31">
        <f t="shared" si="38"/>
        <v>0</v>
      </c>
      <c r="T33" s="30"/>
      <c r="U33" s="32">
        <f t="shared" si="39"/>
        <v>8</v>
      </c>
      <c r="V33" s="20">
        <f>IF(M33&gt;0,(P33+S33)+IF(U$26&gt;0,P33,-8),0)+IF(AE$26&gt;0,S33,0)</f>
        <v>1</v>
      </c>
      <c r="W33" s="334">
        <v>7</v>
      </c>
      <c r="X33" s="342">
        <v>20</v>
      </c>
      <c r="Y33" s="30">
        <v>1</v>
      </c>
      <c r="Z33" s="31">
        <f t="shared" si="40"/>
        <v>12</v>
      </c>
      <c r="AA33" s="342"/>
      <c r="AB33" s="346"/>
      <c r="AC33" s="31">
        <f t="shared" si="41"/>
        <v>0</v>
      </c>
      <c r="AD33" s="30"/>
      <c r="AE33" s="32">
        <f t="shared" si="42"/>
        <v>8</v>
      </c>
      <c r="AF33" s="20">
        <f t="shared" si="43"/>
        <v>4</v>
      </c>
      <c r="AG33" s="55"/>
      <c r="AH33" s="112">
        <v>0</v>
      </c>
      <c r="AI33" s="113">
        <f t="shared" si="44"/>
        <v>0</v>
      </c>
      <c r="AJ33" s="113">
        <f t="shared" si="45"/>
        <v>0</v>
      </c>
      <c r="AK33" s="113">
        <f>IF(ISBLANK($AE$5),-8,0)+AE12</f>
        <v>0.5</v>
      </c>
      <c r="AL33" s="113">
        <f t="shared" si="46"/>
        <v>0</v>
      </c>
      <c r="AM33" s="113">
        <f t="shared" si="47"/>
        <v>0</v>
      </c>
      <c r="AN33" s="113">
        <f t="shared" si="48"/>
        <v>0</v>
      </c>
      <c r="AO33" s="113">
        <f t="shared" si="49"/>
        <v>0</v>
      </c>
      <c r="AP33" s="114">
        <f t="shared" si="50"/>
        <v>0.5</v>
      </c>
      <c r="AQ33" s="55"/>
      <c r="AR33" s="1159">
        <f t="shared" si="51"/>
        <v>0</v>
      </c>
      <c r="AS33" s="1160"/>
      <c r="AT33" s="117">
        <f t="shared" si="52"/>
        <v>7</v>
      </c>
      <c r="AU33" s="55"/>
      <c r="AV33" s="55"/>
      <c r="AW33" s="1134">
        <v>-18</v>
      </c>
      <c r="AX33" s="1135"/>
    </row>
    <row r="34" spans="1:56" ht="14.1" customHeight="1">
      <c r="B34" s="29" t="str">
        <f t="shared" si="33"/>
        <v>Miguel Tejada Ll.</v>
      </c>
      <c r="C34" s="334">
        <v>7</v>
      </c>
      <c r="D34" s="342">
        <v>16</v>
      </c>
      <c r="E34" s="30">
        <v>1</v>
      </c>
      <c r="F34" s="31">
        <f t="shared" si="34"/>
        <v>8</v>
      </c>
      <c r="G34" s="346"/>
      <c r="H34" s="346"/>
      <c r="I34" s="31">
        <f t="shared" si="35"/>
        <v>0</v>
      </c>
      <c r="J34" s="30"/>
      <c r="K34" s="32">
        <f t="shared" si="36"/>
        <v>8</v>
      </c>
      <c r="L34" s="20">
        <f t="shared" ref="L34:L45" si="53">IF(C34&gt;0,(F34+I34)+IF(K$26&gt;0,F34,-8),0)+IF(U$26&gt;0,I34,0)</f>
        <v>0</v>
      </c>
      <c r="M34" s="334">
        <v>7</v>
      </c>
      <c r="N34" s="342">
        <v>16</v>
      </c>
      <c r="O34" s="30">
        <v>1</v>
      </c>
      <c r="P34" s="31">
        <f t="shared" si="37"/>
        <v>8</v>
      </c>
      <c r="Q34" s="106"/>
      <c r="R34" s="106"/>
      <c r="S34" s="31">
        <f t="shared" si="38"/>
        <v>0</v>
      </c>
      <c r="T34" s="30"/>
      <c r="U34" s="32">
        <f t="shared" si="39"/>
        <v>8</v>
      </c>
      <c r="V34" s="20">
        <f t="shared" ref="V34:V45" si="54">IF(M34&gt;0,(P34+S34)+IF(U$26&gt;0,P34,-8),0)+IF(AE$26&gt;0,S34,0)</f>
        <v>0</v>
      </c>
      <c r="W34" s="334">
        <v>7</v>
      </c>
      <c r="X34" s="342">
        <v>12</v>
      </c>
      <c r="Y34" s="30">
        <v>0</v>
      </c>
      <c r="Z34" s="31">
        <f t="shared" si="40"/>
        <v>5</v>
      </c>
      <c r="AA34" s="342"/>
      <c r="AB34" s="116"/>
      <c r="AC34" s="31">
        <f t="shared" si="41"/>
        <v>0</v>
      </c>
      <c r="AD34" s="30"/>
      <c r="AE34" s="32">
        <f t="shared" si="42"/>
        <v>8</v>
      </c>
      <c r="AF34" s="20">
        <f t="shared" si="43"/>
        <v>-3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IF(ISBLANK($AE$5),-8,0)+AE13</f>
        <v>-8</v>
      </c>
      <c r="AL34" s="113">
        <f t="shared" si="46"/>
        <v>0</v>
      </c>
      <c r="AM34" s="113">
        <f t="shared" si="47"/>
        <v>0</v>
      </c>
      <c r="AN34" s="113">
        <f t="shared" si="48"/>
        <v>0</v>
      </c>
      <c r="AO34" s="113">
        <f t="shared" si="49"/>
        <v>0</v>
      </c>
      <c r="AP34" s="114">
        <f t="shared" si="50"/>
        <v>-8</v>
      </c>
      <c r="AQ34" s="55"/>
      <c r="AR34" s="1159">
        <f t="shared" si="51"/>
        <v>0</v>
      </c>
      <c r="AS34" s="1160"/>
      <c r="AT34" s="118">
        <f t="shared" si="52"/>
        <v>5</v>
      </c>
      <c r="AU34" s="55"/>
      <c r="AV34" s="55"/>
      <c r="AW34" s="1134"/>
      <c r="AX34" s="1135"/>
    </row>
    <row r="35" spans="1:56" ht="14.1" customHeight="1">
      <c r="B35" s="29" t="str">
        <f t="shared" si="33"/>
        <v>Alejandro Dueñas</v>
      </c>
      <c r="C35" s="372">
        <v>7</v>
      </c>
      <c r="D35" s="348">
        <v>18</v>
      </c>
      <c r="E35" s="119">
        <v>1</v>
      </c>
      <c r="F35" s="120">
        <f t="shared" si="34"/>
        <v>10</v>
      </c>
      <c r="G35" s="346"/>
      <c r="H35" s="346"/>
      <c r="I35" s="120">
        <f t="shared" si="35"/>
        <v>0</v>
      </c>
      <c r="J35" s="119"/>
      <c r="K35" s="121">
        <f t="shared" si="36"/>
        <v>8</v>
      </c>
      <c r="L35" s="20">
        <f t="shared" si="53"/>
        <v>2</v>
      </c>
      <c r="M35" s="342"/>
      <c r="N35" s="342"/>
      <c r="O35" s="30"/>
      <c r="P35" s="31">
        <f t="shared" si="37"/>
        <v>0</v>
      </c>
      <c r="Q35" s="346"/>
      <c r="R35" s="346"/>
      <c r="S35" s="120">
        <f t="shared" si="38"/>
        <v>0</v>
      </c>
      <c r="T35" s="30"/>
      <c r="U35" s="32">
        <f t="shared" si="39"/>
        <v>0</v>
      </c>
      <c r="V35" s="20">
        <f t="shared" si="54"/>
        <v>0</v>
      </c>
      <c r="W35" s="334">
        <v>7</v>
      </c>
      <c r="X35" s="342">
        <v>17</v>
      </c>
      <c r="Y35" s="30">
        <v>1</v>
      </c>
      <c r="Z35" s="31">
        <f t="shared" si="40"/>
        <v>9</v>
      </c>
      <c r="AA35" s="342"/>
      <c r="AB35" s="342"/>
      <c r="AC35" s="31">
        <f t="shared" si="41"/>
        <v>0</v>
      </c>
      <c r="AD35" s="30"/>
      <c r="AE35" s="32">
        <f t="shared" si="42"/>
        <v>8</v>
      </c>
      <c r="AF35" s="20">
        <f t="shared" si="43"/>
        <v>1</v>
      </c>
      <c r="AG35" s="55"/>
      <c r="AH35" s="112">
        <v>0</v>
      </c>
      <c r="AI35" s="113">
        <f t="shared" si="44"/>
        <v>0</v>
      </c>
      <c r="AJ35" s="113">
        <f t="shared" si="45"/>
        <v>0</v>
      </c>
      <c r="AK35" s="113">
        <f>IF(ISBLANK($AE$5),-8,0)+AE14</f>
        <v>0</v>
      </c>
      <c r="AL35" s="113">
        <f t="shared" si="46"/>
        <v>0</v>
      </c>
      <c r="AM35" s="113">
        <f t="shared" si="47"/>
        <v>0</v>
      </c>
      <c r="AN35" s="113">
        <f t="shared" si="48"/>
        <v>-8</v>
      </c>
      <c r="AO35" s="113">
        <f t="shared" si="49"/>
        <v>0</v>
      </c>
      <c r="AP35" s="114">
        <f t="shared" si="50"/>
        <v>-8</v>
      </c>
      <c r="AQ35" s="55"/>
      <c r="AR35" s="1159">
        <f t="shared" si="51"/>
        <v>0</v>
      </c>
      <c r="AS35" s="1160"/>
      <c r="AT35" s="118">
        <f t="shared" si="52"/>
        <v>5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3"/>
        <v>Juan Manrique V.</v>
      </c>
      <c r="C36" s="334">
        <v>7</v>
      </c>
      <c r="D36" s="342">
        <v>18</v>
      </c>
      <c r="E36" s="30">
        <v>1</v>
      </c>
      <c r="F36" s="31">
        <f t="shared" si="34"/>
        <v>10</v>
      </c>
      <c r="G36" s="33"/>
      <c r="H36" s="47"/>
      <c r="I36" s="31">
        <f t="shared" si="35"/>
        <v>0</v>
      </c>
      <c r="J36" s="30"/>
      <c r="K36" s="32">
        <f t="shared" si="36"/>
        <v>8</v>
      </c>
      <c r="L36" s="20">
        <f t="shared" si="53"/>
        <v>2</v>
      </c>
      <c r="M36" s="342">
        <v>8</v>
      </c>
      <c r="N36" s="342">
        <v>18</v>
      </c>
      <c r="O36" s="30">
        <v>1</v>
      </c>
      <c r="P36" s="31">
        <f t="shared" si="37"/>
        <v>9</v>
      </c>
      <c r="Q36" s="106"/>
      <c r="R36" s="106"/>
      <c r="S36" s="31">
        <f t="shared" si="38"/>
        <v>0</v>
      </c>
      <c r="T36" s="30"/>
      <c r="U36" s="32">
        <f t="shared" si="39"/>
        <v>8</v>
      </c>
      <c r="V36" s="20">
        <f t="shared" si="54"/>
        <v>1</v>
      </c>
      <c r="W36" s="334">
        <v>8</v>
      </c>
      <c r="X36" s="342">
        <v>18</v>
      </c>
      <c r="Y36" s="30">
        <v>1</v>
      </c>
      <c r="Z36" s="31">
        <f t="shared" si="40"/>
        <v>9</v>
      </c>
      <c r="AA36" s="342"/>
      <c r="AB36" s="342"/>
      <c r="AC36" s="31">
        <f t="shared" si="41"/>
        <v>0</v>
      </c>
      <c r="AD36" s="30"/>
      <c r="AE36" s="32">
        <f t="shared" si="42"/>
        <v>8</v>
      </c>
      <c r="AF36" s="20">
        <f t="shared" si="43"/>
        <v>1</v>
      </c>
      <c r="AG36" s="55"/>
      <c r="AH36" s="112">
        <v>0</v>
      </c>
      <c r="AI36" s="113">
        <f t="shared" si="44"/>
        <v>0</v>
      </c>
      <c r="AJ36" s="113">
        <f t="shared" si="45"/>
        <v>0</v>
      </c>
      <c r="AK36" s="113">
        <f>IF(ISBLANK($AE$5),-8,0)+AE15</f>
        <v>0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0</v>
      </c>
      <c r="AQ36" s="55"/>
      <c r="AR36" s="1159">
        <f t="shared" si="51"/>
        <v>0</v>
      </c>
      <c r="AS36" s="1160"/>
      <c r="AT36" s="118">
        <f t="shared" si="52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3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3"/>
        <v>0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4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3"/>
        <v>0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24">
        <f>IF(ISBLANK($AE$5),-5,0)+AE16</f>
        <v>0</v>
      </c>
      <c r="AL37" s="113">
        <f t="shared" si="46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51"/>
        <v>0</v>
      </c>
      <c r="AS37" s="1160"/>
      <c r="AT37" s="118">
        <f t="shared" si="52"/>
        <v>6</v>
      </c>
      <c r="AU37" s="55"/>
      <c r="AV37" s="55"/>
      <c r="AW37" s="1134"/>
      <c r="AX37" s="1135"/>
    </row>
    <row r="38" spans="1:56" ht="14.1" customHeight="1">
      <c r="B38" s="48" t="str">
        <f t="shared" si="33"/>
        <v xml:space="preserve">  -  .  -  </v>
      </c>
      <c r="C38" s="334"/>
      <c r="D38" s="342"/>
      <c r="E38" s="30"/>
      <c r="F38" s="31">
        <f t="shared" si="34"/>
        <v>0</v>
      </c>
      <c r="G38" s="33"/>
      <c r="H38" s="346"/>
      <c r="I38" s="31">
        <f t="shared" si="35"/>
        <v>0</v>
      </c>
      <c r="J38" s="30"/>
      <c r="K38" s="32">
        <f t="shared" si="36"/>
        <v>0</v>
      </c>
      <c r="L38" s="20">
        <f t="shared" si="53"/>
        <v>0</v>
      </c>
      <c r="M38" s="342"/>
      <c r="N38" s="342"/>
      <c r="O38" s="30"/>
      <c r="P38" s="31">
        <f t="shared" si="37"/>
        <v>0</v>
      </c>
      <c r="Q38" s="106"/>
      <c r="R38" s="106"/>
      <c r="S38" s="31">
        <f t="shared" si="38"/>
        <v>0</v>
      </c>
      <c r="T38" s="30"/>
      <c r="U38" s="32">
        <f t="shared" si="39"/>
        <v>0</v>
      </c>
      <c r="V38" s="20">
        <f t="shared" si="54"/>
        <v>0</v>
      </c>
      <c r="W38" s="334"/>
      <c r="X38" s="342"/>
      <c r="Y38" s="30"/>
      <c r="Z38" s="31">
        <f t="shared" si="40"/>
        <v>0</v>
      </c>
      <c r="AA38" s="342"/>
      <c r="AB38" s="342"/>
      <c r="AC38" s="31">
        <f>+AB38-AA38</f>
        <v>0</v>
      </c>
      <c r="AD38" s="30"/>
      <c r="AE38" s="32">
        <f t="shared" si="42"/>
        <v>0</v>
      </c>
      <c r="AF38" s="20">
        <f t="shared" si="43"/>
        <v>0</v>
      </c>
      <c r="AG38" s="55"/>
      <c r="AH38" s="112">
        <v>0</v>
      </c>
      <c r="AI38" s="113">
        <f t="shared" si="44"/>
        <v>-8</v>
      </c>
      <c r="AJ38" s="113">
        <f t="shared" si="45"/>
        <v>-8</v>
      </c>
      <c r="AK38" s="113">
        <f t="shared" ref="AK38:AK45" si="55">IF(ISBLANK($AE$5),-8,0)+AE17</f>
        <v>-8</v>
      </c>
      <c r="AL38" s="113">
        <f t="shared" si="46"/>
        <v>0</v>
      </c>
      <c r="AM38" s="113">
        <f t="shared" si="47"/>
        <v>-8</v>
      </c>
      <c r="AN38" s="113">
        <f t="shared" si="48"/>
        <v>-8</v>
      </c>
      <c r="AO38" s="113">
        <f t="shared" si="49"/>
        <v>-8</v>
      </c>
      <c r="AP38" s="114">
        <f t="shared" si="50"/>
        <v>-48</v>
      </c>
      <c r="AQ38" s="55"/>
      <c r="AR38" s="1159">
        <f t="shared" si="51"/>
        <v>0</v>
      </c>
      <c r="AS38" s="1160"/>
      <c r="AT38" s="118">
        <f t="shared" si="52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3"/>
        <v>Pedro Hostos S,</v>
      </c>
      <c r="C39" s="372">
        <v>7</v>
      </c>
      <c r="D39" s="348">
        <v>18</v>
      </c>
      <c r="E39" s="119">
        <v>1</v>
      </c>
      <c r="F39" s="31">
        <f t="shared" si="34"/>
        <v>10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3"/>
        <v>2</v>
      </c>
      <c r="M39" s="342">
        <v>7</v>
      </c>
      <c r="N39" s="342">
        <v>18</v>
      </c>
      <c r="O39" s="30">
        <v>1</v>
      </c>
      <c r="P39" s="31">
        <f t="shared" si="37"/>
        <v>10</v>
      </c>
      <c r="Q39" s="346"/>
      <c r="R39" s="346"/>
      <c r="S39" s="31">
        <f t="shared" si="38"/>
        <v>0</v>
      </c>
      <c r="T39" s="30"/>
      <c r="U39" s="32">
        <f t="shared" si="39"/>
        <v>8</v>
      </c>
      <c r="V39" s="20">
        <f t="shared" si="54"/>
        <v>2</v>
      </c>
      <c r="W39" s="334">
        <v>7</v>
      </c>
      <c r="X39" s="342">
        <v>18</v>
      </c>
      <c r="Y39" s="30">
        <v>1</v>
      </c>
      <c r="Z39" s="31">
        <f t="shared" si="40"/>
        <v>10</v>
      </c>
      <c r="AA39" s="342"/>
      <c r="AB39" s="342"/>
      <c r="AC39" s="31">
        <f t="shared" si="41"/>
        <v>0</v>
      </c>
      <c r="AD39" s="30"/>
      <c r="AE39" s="32">
        <f t="shared" si="42"/>
        <v>8</v>
      </c>
      <c r="AF39" s="20">
        <f t="shared" si="43"/>
        <v>2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si="55"/>
        <v>0</v>
      </c>
      <c r="AL39" s="113">
        <f t="shared" si="46"/>
        <v>0</v>
      </c>
      <c r="AM39" s="125">
        <f t="shared" si="47"/>
        <v>0</v>
      </c>
      <c r="AN39" s="125">
        <f t="shared" si="48"/>
        <v>0</v>
      </c>
      <c r="AO39" s="125">
        <f t="shared" si="49"/>
        <v>0</v>
      </c>
      <c r="AP39" s="114">
        <f t="shared" si="50"/>
        <v>0</v>
      </c>
      <c r="AQ39" s="55"/>
      <c r="AR39" s="1159">
        <f t="shared" si="51"/>
        <v>0</v>
      </c>
      <c r="AS39" s="1160"/>
      <c r="AT39" s="118">
        <f t="shared" si="52"/>
        <v>6</v>
      </c>
      <c r="AU39" s="55"/>
      <c r="AV39" s="55"/>
      <c r="AW39" s="1134"/>
      <c r="AX39" s="1135"/>
    </row>
    <row r="40" spans="1:56" ht="14.1" customHeight="1">
      <c r="B40" s="58" t="str">
        <f t="shared" si="33"/>
        <v xml:space="preserve">  -  .  -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3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54"/>
        <v>0</v>
      </c>
      <c r="W40" s="334"/>
      <c r="X40" s="342"/>
      <c r="Y40" s="30"/>
      <c r="Z40" s="31">
        <f t="shared" si="40"/>
        <v>0</v>
      </c>
      <c r="AA40" s="342"/>
      <c r="AB40" s="346"/>
      <c r="AC40" s="44">
        <f t="shared" si="41"/>
        <v>0</v>
      </c>
      <c r="AD40" s="30"/>
      <c r="AE40" s="32">
        <f t="shared" si="42"/>
        <v>0</v>
      </c>
      <c r="AF40" s="20">
        <f t="shared" si="43"/>
        <v>0</v>
      </c>
      <c r="AG40" s="126"/>
      <c r="AH40" s="127">
        <v>0</v>
      </c>
      <c r="AI40" s="113">
        <f t="shared" si="44"/>
        <v>-8</v>
      </c>
      <c r="AJ40" s="113">
        <f t="shared" si="45"/>
        <v>-8</v>
      </c>
      <c r="AK40" s="128">
        <f t="shared" si="55"/>
        <v>-8</v>
      </c>
      <c r="AL40" s="113">
        <f t="shared" si="46"/>
        <v>0</v>
      </c>
      <c r="AM40" s="113">
        <f t="shared" si="47"/>
        <v>-8</v>
      </c>
      <c r="AN40" s="113">
        <f t="shared" si="48"/>
        <v>-8</v>
      </c>
      <c r="AO40" s="113">
        <f t="shared" si="49"/>
        <v>-8</v>
      </c>
      <c r="AP40" s="114">
        <f t="shared" si="50"/>
        <v>-48</v>
      </c>
      <c r="AQ40" s="55"/>
      <c r="AR40" s="1159">
        <f t="shared" si="51"/>
        <v>0</v>
      </c>
      <c r="AS40" s="1160"/>
      <c r="AT40" s="118">
        <f t="shared" si="52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3"/>
        <v xml:space="preserve">  -  .  -  </v>
      </c>
      <c r="C41" s="522"/>
      <c r="D41" s="522"/>
      <c r="E41" s="522"/>
      <c r="F41" s="523">
        <f t="shared" si="34"/>
        <v>0</v>
      </c>
      <c r="G41" s="522"/>
      <c r="H41" s="522"/>
      <c r="I41" s="523">
        <f t="shared" si="35"/>
        <v>0</v>
      </c>
      <c r="J41" s="522"/>
      <c r="K41" s="523">
        <f t="shared" si="36"/>
        <v>0</v>
      </c>
      <c r="L41" s="524">
        <f t="shared" si="53"/>
        <v>0</v>
      </c>
      <c r="M41" s="522"/>
      <c r="N41" s="522"/>
      <c r="O41" s="522"/>
      <c r="P41" s="523">
        <f t="shared" si="37"/>
        <v>0</v>
      </c>
      <c r="Q41" s="525"/>
      <c r="R41" s="525"/>
      <c r="S41" s="523">
        <f t="shared" si="38"/>
        <v>0</v>
      </c>
      <c r="T41" s="522"/>
      <c r="U41" s="523">
        <f t="shared" si="39"/>
        <v>0</v>
      </c>
      <c r="V41" s="524">
        <f t="shared" si="54"/>
        <v>0</v>
      </c>
      <c r="W41" s="526"/>
      <c r="X41" s="522"/>
      <c r="Y41" s="522"/>
      <c r="Z41" s="523">
        <f t="shared" si="40"/>
        <v>0</v>
      </c>
      <c r="AA41" s="522"/>
      <c r="AB41" s="522"/>
      <c r="AC41" s="523">
        <f t="shared" si="41"/>
        <v>0</v>
      </c>
      <c r="AD41" s="522"/>
      <c r="AE41" s="523">
        <f t="shared" si="42"/>
        <v>0</v>
      </c>
      <c r="AF41" s="524">
        <f t="shared" si="43"/>
        <v>0</v>
      </c>
      <c r="AG41" s="514"/>
      <c r="AH41" s="529">
        <v>0</v>
      </c>
      <c r="AI41" s="530">
        <f t="shared" si="44"/>
        <v>-8</v>
      </c>
      <c r="AJ41" s="530">
        <f t="shared" si="45"/>
        <v>-8</v>
      </c>
      <c r="AK41" s="530">
        <f t="shared" si="55"/>
        <v>-8</v>
      </c>
      <c r="AL41" s="530">
        <f t="shared" si="46"/>
        <v>0</v>
      </c>
      <c r="AM41" s="530">
        <f t="shared" si="47"/>
        <v>-8</v>
      </c>
      <c r="AN41" s="530">
        <f t="shared" si="48"/>
        <v>-8</v>
      </c>
      <c r="AO41" s="530">
        <f t="shared" si="49"/>
        <v>-8</v>
      </c>
      <c r="AP41" s="531">
        <f t="shared" si="50"/>
        <v>-48</v>
      </c>
      <c r="AQ41" s="55"/>
      <c r="AR41" s="1191"/>
      <c r="AS41" s="1192"/>
      <c r="AT41" s="532">
        <f t="shared" si="52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3"/>
        <v xml:space="preserve">  -  .  -  </v>
      </c>
      <c r="C42" s="516"/>
      <c r="D42" s="516"/>
      <c r="E42" s="516"/>
      <c r="F42" s="517">
        <f t="shared" si="34"/>
        <v>0</v>
      </c>
      <c r="G42" s="516"/>
      <c r="H42" s="516"/>
      <c r="I42" s="517">
        <f t="shared" si="35"/>
        <v>0</v>
      </c>
      <c r="J42" s="516"/>
      <c r="K42" s="517">
        <f t="shared" si="36"/>
        <v>0</v>
      </c>
      <c r="L42" s="518">
        <f t="shared" si="53"/>
        <v>0</v>
      </c>
      <c r="M42" s="516"/>
      <c r="N42" s="516"/>
      <c r="O42" s="516"/>
      <c r="P42" s="517">
        <f t="shared" si="37"/>
        <v>0</v>
      </c>
      <c r="Q42" s="519"/>
      <c r="R42" s="519"/>
      <c r="S42" s="517">
        <f t="shared" si="38"/>
        <v>0</v>
      </c>
      <c r="T42" s="516"/>
      <c r="U42" s="517">
        <f t="shared" si="39"/>
        <v>0</v>
      </c>
      <c r="V42" s="518">
        <f t="shared" si="54"/>
        <v>0</v>
      </c>
      <c r="W42" s="520"/>
      <c r="X42" s="516"/>
      <c r="Y42" s="516"/>
      <c r="Z42" s="517">
        <f t="shared" si="40"/>
        <v>0</v>
      </c>
      <c r="AA42" s="516"/>
      <c r="AB42" s="516"/>
      <c r="AC42" s="517">
        <f t="shared" si="41"/>
        <v>0</v>
      </c>
      <c r="AD42" s="516"/>
      <c r="AE42" s="517">
        <f t="shared" si="42"/>
        <v>0</v>
      </c>
      <c r="AF42" s="518">
        <f t="shared" si="43"/>
        <v>0</v>
      </c>
      <c r="AG42" s="55"/>
      <c r="AH42" s="490">
        <v>0</v>
      </c>
      <c r="AI42" s="527">
        <f t="shared" si="44"/>
        <v>-8</v>
      </c>
      <c r="AJ42" s="527">
        <f t="shared" si="45"/>
        <v>-8</v>
      </c>
      <c r="AK42" s="527">
        <f t="shared" si="55"/>
        <v>-8</v>
      </c>
      <c r="AL42" s="527">
        <f t="shared" si="46"/>
        <v>0</v>
      </c>
      <c r="AM42" s="527">
        <f t="shared" si="47"/>
        <v>-8</v>
      </c>
      <c r="AN42" s="527">
        <f t="shared" si="48"/>
        <v>-8</v>
      </c>
      <c r="AO42" s="527">
        <f t="shared" si="49"/>
        <v>-8</v>
      </c>
      <c r="AP42" s="492">
        <f t="shared" si="50"/>
        <v>-48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0</v>
      </c>
      <c r="AU42" s="55"/>
      <c r="AV42" s="55"/>
      <c r="AW42" s="1189"/>
      <c r="AX42" s="1190"/>
    </row>
    <row r="43" spans="1:56" ht="14.1" customHeight="1">
      <c r="B43" s="513" t="str">
        <f t="shared" si="33"/>
        <v>Jose Cortez P.</v>
      </c>
      <c r="C43" s="459">
        <v>7</v>
      </c>
      <c r="D43" s="459">
        <v>18</v>
      </c>
      <c r="E43" s="459">
        <v>1</v>
      </c>
      <c r="F43" s="460">
        <f t="shared" si="34"/>
        <v>10</v>
      </c>
      <c r="G43" s="459"/>
      <c r="H43" s="459"/>
      <c r="I43" s="460">
        <f t="shared" si="35"/>
        <v>0</v>
      </c>
      <c r="J43" s="459"/>
      <c r="K43" s="32">
        <f t="shared" si="36"/>
        <v>8</v>
      </c>
      <c r="L43" s="461">
        <f t="shared" si="53"/>
        <v>2</v>
      </c>
      <c r="M43" s="459">
        <v>7</v>
      </c>
      <c r="N43" s="459">
        <v>18</v>
      </c>
      <c r="O43" s="459">
        <v>1</v>
      </c>
      <c r="P43" s="460">
        <f t="shared" si="37"/>
        <v>10</v>
      </c>
      <c r="Q43" s="489"/>
      <c r="R43" s="489"/>
      <c r="S43" s="460">
        <f t="shared" si="38"/>
        <v>0</v>
      </c>
      <c r="T43" s="459"/>
      <c r="U43" s="32">
        <f t="shared" si="39"/>
        <v>8</v>
      </c>
      <c r="V43" s="461">
        <f t="shared" si="54"/>
        <v>2</v>
      </c>
      <c r="W43" s="334">
        <v>7</v>
      </c>
      <c r="X43" s="342">
        <v>18</v>
      </c>
      <c r="Y43" s="30">
        <v>1</v>
      </c>
      <c r="Z43" s="31">
        <f t="shared" si="40"/>
        <v>10</v>
      </c>
      <c r="AA43" s="342"/>
      <c r="AB43" s="342"/>
      <c r="AC43" s="44">
        <f t="shared" si="41"/>
        <v>0</v>
      </c>
      <c r="AD43" s="30"/>
      <c r="AE43" s="32">
        <f t="shared" si="42"/>
        <v>8</v>
      </c>
      <c r="AF43" s="20">
        <f t="shared" si="43"/>
        <v>2</v>
      </c>
      <c r="AG43" s="55"/>
      <c r="AH43" s="143">
        <v>0</v>
      </c>
      <c r="AI43" s="144">
        <f t="shared" si="44"/>
        <v>0</v>
      </c>
      <c r="AJ43" s="144">
        <f t="shared" si="45"/>
        <v>0</v>
      </c>
      <c r="AK43" s="144">
        <f t="shared" si="55"/>
        <v>0</v>
      </c>
      <c r="AL43" s="113">
        <f t="shared" si="46"/>
        <v>0</v>
      </c>
      <c r="AM43" s="144">
        <f t="shared" si="47"/>
        <v>0</v>
      </c>
      <c r="AN43" s="144">
        <f t="shared" si="48"/>
        <v>0</v>
      </c>
      <c r="AO43" s="144">
        <f t="shared" si="49"/>
        <v>0</v>
      </c>
      <c r="AP43" s="145">
        <f t="shared" si="50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-20</v>
      </c>
      <c r="AX43" s="1186"/>
    </row>
    <row r="44" spans="1:56" ht="14.1" customHeight="1">
      <c r="B44" s="513" t="str">
        <f t="shared" si="33"/>
        <v>Rafael Armas R.</v>
      </c>
      <c r="C44" s="716">
        <v>7</v>
      </c>
      <c r="D44" s="716">
        <v>18</v>
      </c>
      <c r="E44" s="716">
        <v>1</v>
      </c>
      <c r="F44" s="717">
        <f t="shared" si="34"/>
        <v>10</v>
      </c>
      <c r="G44" s="716"/>
      <c r="H44" s="716"/>
      <c r="I44" s="717">
        <f t="shared" si="35"/>
        <v>0</v>
      </c>
      <c r="J44" s="716"/>
      <c r="K44" s="32">
        <f t="shared" si="36"/>
        <v>8</v>
      </c>
      <c r="L44" s="718">
        <f t="shared" si="53"/>
        <v>2</v>
      </c>
      <c r="M44" s="719">
        <v>7</v>
      </c>
      <c r="N44" s="719">
        <v>18</v>
      </c>
      <c r="O44" s="719">
        <v>1</v>
      </c>
      <c r="P44" s="720">
        <f t="shared" si="37"/>
        <v>10</v>
      </c>
      <c r="Q44" s="721"/>
      <c r="R44" s="721"/>
      <c r="S44" s="720">
        <f t="shared" si="38"/>
        <v>0</v>
      </c>
      <c r="T44" s="719"/>
      <c r="U44" s="32">
        <f t="shared" si="39"/>
        <v>8</v>
      </c>
      <c r="V44" s="722">
        <f t="shared" si="54"/>
        <v>2</v>
      </c>
      <c r="W44" s="723">
        <v>7</v>
      </c>
      <c r="X44" s="719">
        <v>18</v>
      </c>
      <c r="Y44" s="719">
        <v>1</v>
      </c>
      <c r="Z44" s="720">
        <f t="shared" si="40"/>
        <v>10</v>
      </c>
      <c r="AA44" s="719"/>
      <c r="AB44" s="724"/>
      <c r="AC44" s="720">
        <f t="shared" si="41"/>
        <v>0</v>
      </c>
      <c r="AD44" s="719"/>
      <c r="AE44" s="32">
        <f t="shared" si="42"/>
        <v>8</v>
      </c>
      <c r="AF44" s="722">
        <f t="shared" si="43"/>
        <v>2</v>
      </c>
      <c r="AG44" s="55"/>
      <c r="AH44" s="127">
        <v>0</v>
      </c>
      <c r="AI44" s="113">
        <f t="shared" si="44"/>
        <v>0</v>
      </c>
      <c r="AJ44" s="113">
        <f t="shared" si="45"/>
        <v>0</v>
      </c>
      <c r="AK44" s="128">
        <f t="shared" si="55"/>
        <v>0</v>
      </c>
      <c r="AL44" s="113">
        <f t="shared" si="46"/>
        <v>0</v>
      </c>
      <c r="AM44" s="113">
        <f t="shared" si="47"/>
        <v>0</v>
      </c>
      <c r="AN44" s="113">
        <f t="shared" si="48"/>
        <v>0</v>
      </c>
      <c r="AO44" s="113">
        <f t="shared" si="49"/>
        <v>0</v>
      </c>
      <c r="AP44" s="114">
        <f t="shared" si="50"/>
        <v>0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6</v>
      </c>
      <c r="AU44" s="55"/>
      <c r="AV44" s="55"/>
      <c r="AW44" s="1134"/>
      <c r="AX44" s="1135"/>
    </row>
    <row r="45" spans="1:56" ht="14.1" customHeight="1" thickBot="1">
      <c r="B45" s="95" t="str">
        <f t="shared" si="33"/>
        <v xml:space="preserve"> </v>
      </c>
      <c r="C45" s="360"/>
      <c r="D45" s="361"/>
      <c r="E45" s="96"/>
      <c r="F45" s="97">
        <f t="shared" si="34"/>
        <v>0</v>
      </c>
      <c r="G45" s="153"/>
      <c r="H45" s="363"/>
      <c r="I45" s="97">
        <f t="shared" si="35"/>
        <v>0</v>
      </c>
      <c r="J45" s="96"/>
      <c r="K45" s="98">
        <f t="shared" si="36"/>
        <v>0</v>
      </c>
      <c r="L45" s="99">
        <f t="shared" si="53"/>
        <v>0</v>
      </c>
      <c r="M45" s="361"/>
      <c r="N45" s="361"/>
      <c r="O45" s="96"/>
      <c r="P45" s="97">
        <f t="shared" si="37"/>
        <v>0</v>
      </c>
      <c r="Q45" s="154"/>
      <c r="R45" s="154"/>
      <c r="S45" s="97">
        <f t="shared" si="38"/>
        <v>0</v>
      </c>
      <c r="T45" s="96"/>
      <c r="U45" s="98">
        <f t="shared" si="39"/>
        <v>0</v>
      </c>
      <c r="V45" s="99">
        <f t="shared" si="54"/>
        <v>0</v>
      </c>
      <c r="W45" s="360"/>
      <c r="X45" s="361"/>
      <c r="Y45" s="96"/>
      <c r="Z45" s="97">
        <f t="shared" si="40"/>
        <v>0</v>
      </c>
      <c r="AA45" s="361"/>
      <c r="AB45" s="361"/>
      <c r="AC45" s="97">
        <f t="shared" si="41"/>
        <v>0</v>
      </c>
      <c r="AD45" s="96"/>
      <c r="AE45" s="98">
        <f t="shared" si="42"/>
        <v>0</v>
      </c>
      <c r="AF45" s="99">
        <f t="shared" si="43"/>
        <v>0</v>
      </c>
      <c r="AG45" s="55"/>
      <c r="AH45" s="112">
        <v>0</v>
      </c>
      <c r="AI45" s="113">
        <f t="shared" si="44"/>
        <v>-8</v>
      </c>
      <c r="AJ45" s="113">
        <f t="shared" si="45"/>
        <v>-8</v>
      </c>
      <c r="AK45" s="113">
        <f t="shared" si="55"/>
        <v>-8</v>
      </c>
      <c r="AL45" s="113">
        <f t="shared" si="46"/>
        <v>0</v>
      </c>
      <c r="AM45" s="113">
        <f t="shared" si="47"/>
        <v>-8</v>
      </c>
      <c r="AN45" s="113">
        <f t="shared" si="48"/>
        <v>-8</v>
      </c>
      <c r="AO45" s="113">
        <f t="shared" si="49"/>
        <v>-8</v>
      </c>
      <c r="AP45" s="114">
        <f t="shared" si="50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105</v>
      </c>
      <c r="AS46" s="1162"/>
      <c r="AT46" s="167">
        <f>SUM(AT32:AT45)</f>
        <v>55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54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43223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43224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43225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43226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8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43227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43228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43229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2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-63.5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711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711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711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711"/>
      <c r="AB68" s="711"/>
      <c r="AC68" s="711"/>
      <c r="AD68" s="711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711"/>
      <c r="AB69" s="711"/>
      <c r="AC69" s="711"/>
      <c r="AD69" s="711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711"/>
      <c r="AB70" s="711"/>
      <c r="AC70" s="711"/>
      <c r="AD70" s="711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6">+C71/7</f>
        <v>36.371428571428567</v>
      </c>
      <c r="F71" s="1049"/>
      <c r="G71" s="388"/>
      <c r="H71" s="388"/>
      <c r="I71" s="1052">
        <f t="shared" ref="I71:I78" si="57">+E71/8</f>
        <v>4.5464285714285708</v>
      </c>
      <c r="J71" s="1058"/>
      <c r="K71" s="1059">
        <f t="shared" ref="K71:K79" si="58">+E71*30</f>
        <v>1091.1428571428569</v>
      </c>
      <c r="L71" s="1059"/>
      <c r="M71" s="5"/>
      <c r="N71" s="1020">
        <f t="shared" ref="N71:N85" si="59">+I71/6*7</f>
        <v>5.3041666666666654</v>
      </c>
      <c r="O71" s="1020"/>
      <c r="P71" s="5"/>
      <c r="Q71" s="1056">
        <f t="shared" ref="Q71:Q85" si="60">+$I$69-I71</f>
        <v>0.68482142857142936</v>
      </c>
      <c r="R71" s="1057"/>
      <c r="U71" s="238">
        <f t="shared" ref="U71:U77" si="61">+AE32+U32+K32+AO11+AE11+U11+K11</f>
        <v>64</v>
      </c>
      <c r="V71" s="239">
        <v>48</v>
      </c>
      <c r="W71" s="240">
        <f t="shared" ref="W71:W85" si="62">+V71-U71</f>
        <v>-16</v>
      </c>
      <c r="X71" s="241">
        <f t="shared" ref="X71:X83" si="63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6"/>
        <v>41.071428571428569</v>
      </c>
      <c r="F72" s="1049"/>
      <c r="G72" s="388"/>
      <c r="H72" s="388"/>
      <c r="I72" s="1052">
        <f t="shared" si="57"/>
        <v>5.1339285714285712</v>
      </c>
      <c r="J72" s="1058"/>
      <c r="K72" s="1059">
        <f t="shared" si="58"/>
        <v>1232.1428571428571</v>
      </c>
      <c r="L72" s="1059"/>
      <c r="M72" s="5"/>
      <c r="N72" s="1020">
        <f t="shared" si="59"/>
        <v>5.989583333333333</v>
      </c>
      <c r="O72" s="1020"/>
      <c r="P72" s="5"/>
      <c r="Q72" s="1056">
        <f t="shared" si="60"/>
        <v>9.7321428571429003E-2</v>
      </c>
      <c r="R72" s="1057"/>
      <c r="U72" s="238">
        <f t="shared" si="61"/>
        <v>66.5</v>
      </c>
      <c r="V72" s="239">
        <v>48</v>
      </c>
      <c r="W72" s="240">
        <f t="shared" si="62"/>
        <v>-18.5</v>
      </c>
      <c r="X72" s="241">
        <f t="shared" si="63"/>
        <v>0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6"/>
        <v>41.071428571428569</v>
      </c>
      <c r="F73" s="1049"/>
      <c r="G73" s="388"/>
      <c r="H73" s="388"/>
      <c r="I73" s="1052">
        <f t="shared" si="57"/>
        <v>5.1339285714285712</v>
      </c>
      <c r="J73" s="1058"/>
      <c r="K73" s="1059">
        <f t="shared" si="58"/>
        <v>1232.1428571428571</v>
      </c>
      <c r="L73" s="1059"/>
      <c r="M73" s="5"/>
      <c r="N73" s="1020">
        <f t="shared" si="59"/>
        <v>5.989583333333333</v>
      </c>
      <c r="O73" s="1020"/>
      <c r="P73" s="5"/>
      <c r="Q73" s="1056">
        <f t="shared" si="60"/>
        <v>9.7321428571429003E-2</v>
      </c>
      <c r="R73" s="1057"/>
      <c r="U73" s="238">
        <f t="shared" si="61"/>
        <v>40</v>
      </c>
      <c r="V73" s="239">
        <v>48</v>
      </c>
      <c r="W73" s="240">
        <f t="shared" si="62"/>
        <v>8</v>
      </c>
      <c r="X73" s="241">
        <f t="shared" si="63"/>
        <v>0</v>
      </c>
      <c r="Z73" s="389"/>
      <c r="AA73" s="708"/>
      <c r="AB73" s="708"/>
      <c r="AC73" s="708"/>
      <c r="AD73" s="708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6"/>
        <v>33.33342857142857</v>
      </c>
      <c r="F74" s="1049"/>
      <c r="G74" s="388"/>
      <c r="H74" s="388"/>
      <c r="I74" s="1052">
        <f t="shared" si="57"/>
        <v>4.1666785714285712</v>
      </c>
      <c r="J74" s="1058"/>
      <c r="K74" s="1059">
        <f t="shared" si="58"/>
        <v>1000.0028571428571</v>
      </c>
      <c r="L74" s="1059"/>
      <c r="M74" s="5"/>
      <c r="N74" s="1020">
        <f t="shared" si="59"/>
        <v>4.8611250000000004</v>
      </c>
      <c r="O74" s="1020"/>
      <c r="P74" s="5"/>
      <c r="Q74" s="1056">
        <f t="shared" si="60"/>
        <v>1.0645714285714289</v>
      </c>
      <c r="R74" s="1057"/>
      <c r="S74" s="1066">
        <f>20*30/180*117</f>
        <v>390</v>
      </c>
      <c r="T74" s="1067"/>
      <c r="U74" s="238">
        <f t="shared" si="61"/>
        <v>40</v>
      </c>
      <c r="V74" s="239">
        <v>48</v>
      </c>
      <c r="W74" s="240">
        <f t="shared" si="62"/>
        <v>8</v>
      </c>
      <c r="X74" s="241">
        <f t="shared" si="63"/>
        <v>0</v>
      </c>
      <c r="Z74" s="1045" t="s">
        <v>53</v>
      </c>
      <c r="AA74" s="1045"/>
      <c r="AB74" s="1045"/>
      <c r="AC74" s="1045"/>
      <c r="AD74" s="389" t="s">
        <v>54</v>
      </c>
      <c r="AE74" s="708"/>
      <c r="AF74" s="386"/>
      <c r="AG74" s="709"/>
      <c r="AH74" s="709"/>
      <c r="AI74" s="386"/>
      <c r="AJ74" s="386"/>
      <c r="AK74" s="707"/>
      <c r="AL74" s="707"/>
      <c r="AM74" s="707"/>
      <c r="AN74" s="707"/>
      <c r="AO74" s="707"/>
      <c r="AP74" s="707"/>
      <c r="AQ74" s="707"/>
      <c r="AR74" s="707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6"/>
        <v>41.071428571428569</v>
      </c>
      <c r="F75" s="1049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9.7321428571429003E-2</v>
      </c>
      <c r="R75" s="1057"/>
      <c r="U75" s="238">
        <f t="shared" si="61"/>
        <v>48</v>
      </c>
      <c r="V75" s="239">
        <v>48</v>
      </c>
      <c r="W75" s="240">
        <f t="shared" si="62"/>
        <v>0</v>
      </c>
      <c r="X75" s="241">
        <f t="shared" si="63"/>
        <v>0</v>
      </c>
      <c r="Z75" s="708"/>
      <c r="AA75" s="708"/>
      <c r="AB75" s="708"/>
      <c r="AC75" s="708"/>
      <c r="AD75" s="708"/>
      <c r="AE75" s="386"/>
      <c r="AF75" s="386"/>
      <c r="AG75" s="244"/>
      <c r="AH75" s="244"/>
      <c r="AI75" s="709"/>
      <c r="AJ75" s="709"/>
      <c r="AK75" s="709"/>
      <c r="AL75" s="709"/>
      <c r="AM75" s="709"/>
      <c r="AN75" s="709"/>
      <c r="AO75" s="709"/>
      <c r="AP75" s="709"/>
      <c r="AQ75" s="709"/>
      <c r="AR75" s="709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6"/>
        <v>41.071428571428569</v>
      </c>
      <c r="F76" s="1049"/>
      <c r="G76" s="1068"/>
      <c r="H76" s="1069"/>
      <c r="I76" s="1052">
        <f t="shared" si="57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1"/>
        <v>45</v>
      </c>
      <c r="V76" s="239">
        <v>48</v>
      </c>
      <c r="W76" s="240">
        <f>+V76-U76</f>
        <v>3</v>
      </c>
      <c r="X76" s="241">
        <f t="shared" si="63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709"/>
      <c r="AN76" s="709"/>
      <c r="AO76" s="709"/>
      <c r="AP76" s="709"/>
      <c r="AQ76" s="709"/>
      <c r="AR76" s="709"/>
      <c r="AS76" s="386"/>
      <c r="AT76" s="38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6"/>
        <v>29.571428571428573</v>
      </c>
      <c r="F77" s="1049"/>
      <c r="G77" s="1062"/>
      <c r="H77" s="1063"/>
      <c r="I77" s="1052">
        <f t="shared" si="57"/>
        <v>3.6964285714285716</v>
      </c>
      <c r="J77" s="1058"/>
      <c r="K77" s="1059">
        <f>+E77*30</f>
        <v>887.14285714285722</v>
      </c>
      <c r="L77" s="1059"/>
      <c r="M77" s="5"/>
      <c r="N77" s="1020">
        <f t="shared" si="59"/>
        <v>4.3125</v>
      </c>
      <c r="O77" s="1020"/>
      <c r="P77" s="5"/>
      <c r="Q77" s="1056">
        <f t="shared" si="60"/>
        <v>1.5348214285714286</v>
      </c>
      <c r="R77" s="1057"/>
      <c r="S77" s="1066">
        <f>20*30/180*117</f>
        <v>390</v>
      </c>
      <c r="T77" s="1067"/>
      <c r="U77" s="238">
        <f t="shared" si="61"/>
        <v>0</v>
      </c>
      <c r="V77" s="239">
        <v>48</v>
      </c>
      <c r="W77" s="240">
        <f t="shared" si="62"/>
        <v>48</v>
      </c>
      <c r="X77" s="241">
        <f t="shared" si="63"/>
        <v>0</v>
      </c>
      <c r="Y77" s="248"/>
      <c r="Z77" s="708"/>
      <c r="AA77" s="708"/>
      <c r="AB77" s="708"/>
      <c r="AC77" s="708"/>
      <c r="AD77" s="708"/>
      <c r="AE77" s="386"/>
      <c r="AF77" s="386"/>
      <c r="AG77" s="709"/>
      <c r="AH77" s="709"/>
      <c r="AI77" s="393"/>
      <c r="AJ77" s="393"/>
      <c r="AK77" s="393"/>
      <c r="AL77" s="393"/>
      <c r="AM77" s="709"/>
      <c r="AN77" s="709"/>
      <c r="AO77" s="709"/>
      <c r="AP77" s="709"/>
      <c r="AQ77" s="709"/>
      <c r="AR77" s="709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6"/>
        <v>28.333328571428574</v>
      </c>
      <c r="F78" s="1049"/>
      <c r="G78" s="1050">
        <v>25.761900000000001</v>
      </c>
      <c r="H78" s="1051"/>
      <c r="I78" s="1052">
        <f t="shared" si="57"/>
        <v>3.5416660714285717</v>
      </c>
      <c r="J78" s="1058"/>
      <c r="K78" s="1059">
        <f>+E78*30</f>
        <v>849.99985714285719</v>
      </c>
      <c r="L78" s="1059"/>
      <c r="M78" s="5"/>
      <c r="N78" s="1020">
        <f t="shared" si="59"/>
        <v>4.1319437500000005</v>
      </c>
      <c r="O78" s="1020"/>
      <c r="P78" s="5"/>
      <c r="Q78" s="1056">
        <f t="shared" si="60"/>
        <v>1.6895839285714285</v>
      </c>
      <c r="R78" s="1057"/>
      <c r="S78" s="711"/>
      <c r="T78" s="711"/>
      <c r="U78" s="238">
        <f>+AE40+U40+K40+AO19+AE19+U19+K19</f>
        <v>0</v>
      </c>
      <c r="V78" s="239">
        <v>48</v>
      </c>
      <c r="W78" s="240">
        <f t="shared" si="62"/>
        <v>48</v>
      </c>
      <c r="X78" s="241">
        <f t="shared" si="63"/>
        <v>0</v>
      </c>
      <c r="Y78" s="711"/>
      <c r="Z78" s="708"/>
      <c r="AA78" s="708"/>
      <c r="AB78" s="708"/>
      <c r="AC78" s="708"/>
      <c r="AD78" s="708"/>
      <c r="AE78" s="386"/>
      <c r="AF78" s="386"/>
      <c r="AG78" s="709"/>
      <c r="AH78" s="709"/>
      <c r="AI78" s="393"/>
      <c r="AJ78" s="393"/>
      <c r="AK78" s="393"/>
      <c r="AL78" s="393"/>
      <c r="AM78" s="709"/>
      <c r="AN78" s="709"/>
      <c r="AO78" s="709"/>
      <c r="AP78" s="709"/>
      <c r="AQ78" s="709"/>
      <c r="AR78" s="709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8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48</v>
      </c>
      <c r="V79" s="239">
        <v>48</v>
      </c>
      <c r="W79" s="240">
        <f>+V79-U79</f>
        <v>0</v>
      </c>
      <c r="X79" s="241">
        <f t="shared" si="63"/>
        <v>0</v>
      </c>
      <c r="Z79" s="246"/>
      <c r="AA79" s="246"/>
      <c r="AB79" s="708"/>
      <c r="AC79" s="708"/>
      <c r="AD79" s="708"/>
      <c r="AE79" s="386"/>
      <c r="AF79" s="386"/>
      <c r="AG79" s="709"/>
      <c r="AH79" s="709"/>
      <c r="AI79" s="709"/>
      <c r="AJ79" s="709"/>
      <c r="AK79" s="709"/>
      <c r="AL79" s="709"/>
      <c r="AM79" s="709"/>
      <c r="AN79" s="709"/>
      <c r="AO79" s="709"/>
      <c r="AP79" s="709"/>
      <c r="AQ79" s="709"/>
      <c r="AR79" s="709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4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3"/>
        <v>0</v>
      </c>
      <c r="Z80" s="1045">
        <f>+K80/E80</f>
        <v>30</v>
      </c>
      <c r="AA80" s="1045"/>
      <c r="AB80" s="1045"/>
      <c r="AC80" s="1045"/>
      <c r="AD80" s="708"/>
      <c r="AE80" s="386"/>
      <c r="AF80" s="386"/>
      <c r="AG80" s="244"/>
      <c r="AH80" s="244"/>
      <c r="AI80" s="709"/>
      <c r="AJ80" s="709"/>
      <c r="AK80" s="709"/>
      <c r="AL80" s="709"/>
      <c r="AM80" s="709"/>
      <c r="AN80" s="709"/>
      <c r="AO80" s="709"/>
      <c r="AP80" s="709"/>
      <c r="AQ80" s="709"/>
      <c r="AR80" s="709"/>
      <c r="AS80" s="386"/>
      <c r="AT80" s="386"/>
    </row>
    <row r="81" spans="1:46" ht="16.5">
      <c r="A81" s="1">
        <v>3</v>
      </c>
      <c r="B81" s="245" t="s">
        <v>121</v>
      </c>
      <c r="C81" s="1046">
        <f>6*3+7*34.0952</f>
        <v>256.66639999999995</v>
      </c>
      <c r="D81" s="1047"/>
      <c r="E81" s="1048">
        <f t="shared" si="64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0</v>
      </c>
      <c r="V81" s="239">
        <v>48</v>
      </c>
      <c r="W81" s="240">
        <f>+V81-U81</f>
        <v>48</v>
      </c>
      <c r="X81" s="241">
        <f t="shared" si="63"/>
        <v>0</v>
      </c>
      <c r="Z81" s="252"/>
      <c r="AA81" s="394"/>
      <c r="AB81" s="389"/>
      <c r="AC81" s="708"/>
      <c r="AD81" s="708"/>
      <c r="AE81" s="386"/>
      <c r="AF81" s="386"/>
      <c r="AG81" s="709"/>
      <c r="AH81" s="709"/>
      <c r="AI81" s="393"/>
      <c r="AJ81" s="393"/>
      <c r="AK81" s="393"/>
      <c r="AL81" s="393"/>
      <c r="AM81" s="709"/>
      <c r="AN81" s="709"/>
      <c r="AO81" s="709"/>
      <c r="AP81" s="709"/>
      <c r="AQ81" s="709"/>
      <c r="AR81" s="709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9"/>
        <v>4.1319395833333337</v>
      </c>
      <c r="O82" s="1044"/>
      <c r="P82" s="5"/>
      <c r="Q82" s="1004">
        <f t="shared" si="60"/>
        <v>1.6895875</v>
      </c>
      <c r="R82" s="1005"/>
      <c r="U82" s="238">
        <f>+AE44+U44+K44+AO23+AE23+U23+K23</f>
        <v>48</v>
      </c>
      <c r="V82" s="239">
        <v>48</v>
      </c>
      <c r="W82" s="240">
        <f t="shared" si="62"/>
        <v>0</v>
      </c>
      <c r="X82" s="241">
        <f t="shared" si="63"/>
        <v>0</v>
      </c>
      <c r="Z82" s="252"/>
      <c r="AA82" s="394"/>
      <c r="AB82" s="389"/>
      <c r="AC82" s="708"/>
      <c r="AD82" s="708"/>
      <c r="AE82" s="386"/>
      <c r="AF82" s="386"/>
      <c r="AG82" s="393"/>
      <c r="AH82" s="393"/>
      <c r="AI82" s="709"/>
      <c r="AJ82" s="709"/>
      <c r="AK82" s="709"/>
      <c r="AL82" s="709"/>
      <c r="AM82" s="709"/>
      <c r="AN82" s="709"/>
      <c r="AO82" s="709"/>
      <c r="AP82" s="709"/>
      <c r="AQ82" s="709"/>
      <c r="AR82" s="709"/>
      <c r="AS82" s="386"/>
      <c r="AT82" s="386"/>
    </row>
    <row r="83" spans="1:46" ht="16.5">
      <c r="B83" s="250" t="s">
        <v>142</v>
      </c>
      <c r="C83" s="1035">
        <f>+G83*6</f>
        <v>169.99979999999999</v>
      </c>
      <c r="D83" s="1036"/>
      <c r="E83" s="1037">
        <f t="shared" si="64"/>
        <v>24.285685714285712</v>
      </c>
      <c r="F83" s="1038"/>
      <c r="G83" s="1039">
        <f>28.3333</f>
        <v>28.333300000000001</v>
      </c>
      <c r="H83" s="1040"/>
      <c r="I83" s="1037">
        <f>+G83/8</f>
        <v>3.5416625000000002</v>
      </c>
      <c r="J83" s="1038"/>
      <c r="K83" s="1041">
        <f>+G83*30</f>
        <v>849.99900000000002</v>
      </c>
      <c r="L83" s="1042"/>
      <c r="M83" s="5"/>
      <c r="N83" s="1043">
        <f>+I83/6*7</f>
        <v>4.1319395833333337</v>
      </c>
      <c r="O83" s="1044"/>
      <c r="P83" s="5"/>
      <c r="Q83" s="1004">
        <f>+$I$69-I83</f>
        <v>1.6895875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3"/>
        <v>0</v>
      </c>
      <c r="Z83" s="246"/>
      <c r="AA83" s="246"/>
      <c r="AB83" s="708"/>
      <c r="AC83" s="708"/>
      <c r="AD83" s="708">
        <v>200</v>
      </c>
      <c r="AE83" s="386"/>
      <c r="AF83" s="1023">
        <f>+AD83/6</f>
        <v>33.333333333333336</v>
      </c>
      <c r="AG83" s="1023"/>
      <c r="AH83" s="1023"/>
      <c r="AI83" s="709"/>
      <c r="AJ83" s="709"/>
      <c r="AK83" s="709"/>
      <c r="AL83" s="709"/>
      <c r="AM83" s="709"/>
      <c r="AN83" s="709"/>
      <c r="AO83" s="709"/>
      <c r="AP83" s="709"/>
      <c r="AQ83" s="709"/>
      <c r="AR83" s="709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4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48</v>
      </c>
      <c r="V84" s="239">
        <v>48</v>
      </c>
      <c r="W84" s="240">
        <f t="shared" si="62"/>
        <v>0</v>
      </c>
      <c r="X84" s="241">
        <f>+J23+T23+AD23+J44+T44+AD44</f>
        <v>0</v>
      </c>
      <c r="Y84" s="248"/>
      <c r="Z84" s="708"/>
      <c r="AA84" s="708"/>
      <c r="AB84" s="708"/>
      <c r="AC84" s="708"/>
      <c r="AG84" s="709"/>
      <c r="AH84" s="709"/>
      <c r="AI84" s="386"/>
      <c r="AJ84" s="386"/>
      <c r="AK84" s="707"/>
      <c r="AL84" s="707"/>
      <c r="AM84" s="707"/>
      <c r="AN84" s="707"/>
      <c r="AO84" s="707"/>
      <c r="AP84" s="707"/>
      <c r="AQ84" s="707"/>
      <c r="AR84" s="707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4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9"/>
        <v>11.423610416666666</v>
      </c>
      <c r="O85" s="1020"/>
      <c r="P85" s="5"/>
      <c r="Q85" s="1004">
        <f t="shared" si="60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62"/>
        <v>48</v>
      </c>
      <c r="X85" s="241">
        <f>+J27+T27+AD27+J48+T48+AD48</f>
        <v>0</v>
      </c>
      <c r="Z85" s="246"/>
      <c r="AA85" s="246"/>
      <c r="AB85" s="708"/>
      <c r="AC85" s="708"/>
      <c r="AD85" s="708"/>
      <c r="AE85" s="386"/>
      <c r="AF85" s="386"/>
      <c r="AG85" s="709"/>
      <c r="AH85" s="709"/>
      <c r="AI85" s="709"/>
      <c r="AJ85" s="709"/>
      <c r="AK85" s="709"/>
      <c r="AL85" s="709"/>
      <c r="AM85" s="709"/>
      <c r="AN85" s="709"/>
      <c r="AO85" s="709"/>
      <c r="AP85" s="709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709"/>
      <c r="AF89" s="709"/>
      <c r="AG89" s="386"/>
      <c r="AH89" s="386"/>
      <c r="AI89" s="386"/>
      <c r="AJ89" s="709"/>
      <c r="AK89" s="709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709"/>
      <c r="AF90" s="709"/>
      <c r="AG90" s="386"/>
      <c r="AH90" s="386"/>
      <c r="AI90" s="386"/>
      <c r="AJ90" s="709"/>
      <c r="AK90" s="709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709"/>
      <c r="AF92" s="709"/>
      <c r="AG92" s="386"/>
      <c r="AH92" s="386"/>
      <c r="AI92" s="386"/>
      <c r="AJ92" s="709"/>
      <c r="AK92" s="709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709"/>
      <c r="AF95" s="709"/>
      <c r="AG95" s="386"/>
      <c r="AH95" s="386"/>
      <c r="AI95" s="386"/>
      <c r="AJ95" s="709"/>
      <c r="AK95" s="709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707"/>
      <c r="AM97" s="709"/>
      <c r="AN97" s="707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709"/>
      <c r="AF107" s="709"/>
      <c r="AG107" s="386"/>
      <c r="AH107" s="386"/>
      <c r="AI107" s="386"/>
      <c r="AJ107" s="709"/>
      <c r="AK107" s="709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707"/>
      <c r="AM115" s="709"/>
      <c r="AN115" s="707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709"/>
      <c r="AF126" s="709"/>
      <c r="AG126" s="386"/>
      <c r="AH126" s="386"/>
      <c r="AI126" s="386"/>
      <c r="AJ126" s="709"/>
      <c r="AK126" s="709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709"/>
      <c r="AF127" s="709"/>
      <c r="AG127" s="386"/>
      <c r="AH127" s="386"/>
      <c r="AI127" s="386"/>
      <c r="AJ127" s="709"/>
      <c r="AK127" s="709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709"/>
      <c r="AF129" s="709"/>
      <c r="AG129" s="386"/>
      <c r="AH129" s="386"/>
      <c r="AI129" s="386"/>
      <c r="AJ129" s="709"/>
      <c r="AK129" s="709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709"/>
      <c r="AF132" s="709"/>
      <c r="AG132" s="386"/>
      <c r="AH132" s="386"/>
      <c r="AI132" s="386"/>
      <c r="AJ132" s="709"/>
      <c r="AK132" s="709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707"/>
      <c r="AM134" s="709"/>
      <c r="AN134" s="707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709"/>
      <c r="AF144" s="709"/>
      <c r="AG144" s="386"/>
      <c r="AH144" s="386"/>
      <c r="AI144" s="386"/>
      <c r="AJ144" s="709"/>
      <c r="AK144" s="709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709"/>
      <c r="AF145" s="709"/>
      <c r="AG145" s="386"/>
      <c r="AH145" s="386"/>
      <c r="AI145" s="386"/>
      <c r="AJ145" s="709"/>
      <c r="AK145" s="709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709"/>
      <c r="AF147" s="709"/>
      <c r="AG147" s="386"/>
      <c r="AH147" s="386"/>
      <c r="AI147" s="386"/>
      <c r="AJ147" s="709"/>
      <c r="AK147" s="709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709"/>
      <c r="AF150" s="709"/>
      <c r="AG150" s="386"/>
      <c r="AH150" s="386"/>
      <c r="AI150" s="386"/>
      <c r="AJ150" s="709"/>
      <c r="AK150" s="709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707"/>
      <c r="AM152" s="709"/>
      <c r="AN152" s="707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709"/>
      <c r="AF164" s="709"/>
      <c r="AG164" s="386"/>
      <c r="AH164" s="386"/>
      <c r="AI164" s="386"/>
      <c r="AJ164" s="709"/>
      <c r="AK164" s="709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707"/>
      <c r="AM172" s="709"/>
      <c r="AN172" s="707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709"/>
      <c r="AF183" s="709"/>
      <c r="AG183" s="386"/>
      <c r="AH183" s="386"/>
      <c r="AI183" s="386"/>
      <c r="AJ183" s="709"/>
      <c r="AK183" s="709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709"/>
      <c r="AF184" s="709"/>
      <c r="AG184" s="386"/>
      <c r="AH184" s="386"/>
      <c r="AI184" s="386"/>
      <c r="AJ184" s="709"/>
      <c r="AK184" s="709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709"/>
      <c r="AF186" s="709"/>
      <c r="AG186" s="386"/>
      <c r="AH186" s="386"/>
      <c r="AI186" s="386"/>
      <c r="AJ186" s="709"/>
      <c r="AK186" s="709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709"/>
      <c r="AF189" s="709"/>
      <c r="AG189" s="386"/>
      <c r="AH189" s="386"/>
      <c r="AI189" s="386"/>
      <c r="AJ189" s="709"/>
      <c r="AK189" s="709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707"/>
      <c r="AM191" s="709"/>
      <c r="AN191" s="707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71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71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71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71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711"/>
      <c r="AB203" s="711"/>
      <c r="AC203" s="711"/>
      <c r="AD203" s="711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708"/>
      <c r="AB204" s="708"/>
      <c r="AC204" s="708"/>
      <c r="AD204" s="708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708"/>
      <c r="AB205" s="708"/>
      <c r="AC205" s="708"/>
      <c r="AD205" s="708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5">+C206/7</f>
        <v>36.371428571428567</v>
      </c>
      <c r="F206" s="1049"/>
      <c r="G206" s="388"/>
      <c r="H206" s="388"/>
      <c r="I206" s="1052">
        <f t="shared" ref="I206:I213" si="66">+E206/8</f>
        <v>4.5464285714285708</v>
      </c>
      <c r="J206" s="1058"/>
      <c r="K206" s="1059">
        <f t="shared" ref="K206:K210" si="67">+E206*30</f>
        <v>1091.1428571428569</v>
      </c>
      <c r="L206" s="1059"/>
      <c r="M206" s="5"/>
      <c r="N206" s="1020">
        <f t="shared" ref="N206:N210" si="68">+I206/6*7</f>
        <v>5.3041666666666654</v>
      </c>
      <c r="O206" s="1020"/>
      <c r="P206" s="5"/>
      <c r="Q206" s="1056">
        <f t="shared" ref="Q206:Q210" si="69">+$I$69-I206</f>
        <v>0.68482142857142936</v>
      </c>
      <c r="R206" s="1057"/>
      <c r="U206" s="238">
        <f t="shared" ref="U206:U212" si="70">+AE167+U167+K167+AO146+AE146+U146+K146</f>
        <v>0</v>
      </c>
      <c r="V206" s="239">
        <v>48</v>
      </c>
      <c r="W206" s="240">
        <f t="shared" ref="W206:W210" si="71">+V206-U206</f>
        <v>48</v>
      </c>
      <c r="X206" s="241" t="e">
        <f t="shared" ref="X206:X212" si="72">+J146+T146+AD146+J167+T167+AD167</f>
        <v>#VALUE!</v>
      </c>
      <c r="Z206" s="389"/>
      <c r="AA206" s="708"/>
      <c r="AB206" s="708"/>
      <c r="AC206" s="708"/>
      <c r="AD206" s="708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5"/>
        <v>41.071428571428569</v>
      </c>
      <c r="F207" s="1049"/>
      <c r="G207" s="388"/>
      <c r="H207" s="388"/>
      <c r="I207" s="1052">
        <f t="shared" si="66"/>
        <v>5.1339285714285712</v>
      </c>
      <c r="J207" s="1058"/>
      <c r="K207" s="1059">
        <f t="shared" si="67"/>
        <v>1232.1428571428571</v>
      </c>
      <c r="L207" s="1059"/>
      <c r="M207" s="5"/>
      <c r="N207" s="1020">
        <f t="shared" si="68"/>
        <v>5.989583333333333</v>
      </c>
      <c r="O207" s="1020"/>
      <c r="P207" s="5"/>
      <c r="Q207" s="1056">
        <f t="shared" si="69"/>
        <v>9.7321428571429003E-2</v>
      </c>
      <c r="R207" s="1057"/>
      <c r="U207" s="238">
        <f t="shared" si="70"/>
        <v>0</v>
      </c>
      <c r="V207" s="239">
        <v>48</v>
      </c>
      <c r="W207" s="240">
        <f t="shared" si="71"/>
        <v>48</v>
      </c>
      <c r="X207" s="241" t="e">
        <f t="shared" si="72"/>
        <v>#VALUE!</v>
      </c>
      <c r="Z207" s="389"/>
      <c r="AA207" s="708"/>
      <c r="AB207" s="708"/>
      <c r="AC207" s="708"/>
      <c r="AD207" s="708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5"/>
        <v>41.071428571428569</v>
      </c>
      <c r="F208" s="1049"/>
      <c r="G208" s="388"/>
      <c r="H208" s="388"/>
      <c r="I208" s="1052">
        <f t="shared" si="66"/>
        <v>5.1339285714285712</v>
      </c>
      <c r="J208" s="1058"/>
      <c r="K208" s="1059">
        <f t="shared" si="67"/>
        <v>1232.1428571428571</v>
      </c>
      <c r="L208" s="1059"/>
      <c r="M208" s="5"/>
      <c r="N208" s="1020">
        <f t="shared" si="68"/>
        <v>5.989583333333333</v>
      </c>
      <c r="O208" s="1020"/>
      <c r="P208" s="5"/>
      <c r="Q208" s="1056">
        <f t="shared" si="69"/>
        <v>9.7321428571429003E-2</v>
      </c>
      <c r="R208" s="1057"/>
      <c r="U208" s="238">
        <f t="shared" si="70"/>
        <v>0</v>
      </c>
      <c r="V208" s="239">
        <v>48</v>
      </c>
      <c r="W208" s="240">
        <f t="shared" si="71"/>
        <v>48</v>
      </c>
      <c r="X208" s="241" t="e">
        <f t="shared" si="72"/>
        <v>#VALUE!</v>
      </c>
      <c r="Z208" s="389"/>
      <c r="AA208" s="708"/>
      <c r="AB208" s="708"/>
      <c r="AC208" s="708"/>
      <c r="AD208" s="708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5"/>
        <v>33.33342857142857</v>
      </c>
      <c r="F209" s="1049"/>
      <c r="G209" s="388"/>
      <c r="H209" s="388"/>
      <c r="I209" s="1052">
        <f t="shared" si="66"/>
        <v>4.1666785714285712</v>
      </c>
      <c r="J209" s="1058"/>
      <c r="K209" s="1059">
        <f t="shared" si="67"/>
        <v>1000.0028571428571</v>
      </c>
      <c r="L209" s="1059"/>
      <c r="M209" s="5"/>
      <c r="N209" s="1020">
        <f t="shared" si="68"/>
        <v>4.8611250000000004</v>
      </c>
      <c r="O209" s="1020"/>
      <c r="P209" s="5"/>
      <c r="Q209" s="1056">
        <f t="shared" si="69"/>
        <v>1.0645714285714289</v>
      </c>
      <c r="R209" s="1057"/>
      <c r="S209" s="1066">
        <f>20*30/180*117</f>
        <v>390</v>
      </c>
      <c r="T209" s="1067"/>
      <c r="U209" s="238">
        <f t="shared" si="70"/>
        <v>0</v>
      </c>
      <c r="V209" s="239">
        <v>48</v>
      </c>
      <c r="W209" s="240">
        <f t="shared" si="71"/>
        <v>48</v>
      </c>
      <c r="X209" s="241">
        <f t="shared" si="72"/>
        <v>0</v>
      </c>
      <c r="Z209" s="1045" t="s">
        <v>53</v>
      </c>
      <c r="AA209" s="1045"/>
      <c r="AB209" s="1045"/>
      <c r="AC209" s="1045"/>
      <c r="AD209" s="389" t="s">
        <v>54</v>
      </c>
      <c r="AE209" s="708"/>
      <c r="AF209" s="386"/>
      <c r="AG209" s="709"/>
      <c r="AH209" s="709"/>
      <c r="AI209" s="386"/>
      <c r="AJ209" s="386"/>
      <c r="AK209" s="707"/>
      <c r="AL209" s="707"/>
      <c r="AM209" s="707"/>
      <c r="AN209" s="707"/>
      <c r="AO209" s="707"/>
      <c r="AP209" s="707"/>
      <c r="AQ209" s="707"/>
      <c r="AR209" s="707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5"/>
        <v>41.071428571428569</v>
      </c>
      <c r="F210" s="1049"/>
      <c r="G210" s="388"/>
      <c r="H210" s="388"/>
      <c r="I210" s="1052">
        <f t="shared" si="66"/>
        <v>5.1339285714285712</v>
      </c>
      <c r="J210" s="1058"/>
      <c r="K210" s="1059">
        <f t="shared" si="67"/>
        <v>1232.1428571428571</v>
      </c>
      <c r="L210" s="1059"/>
      <c r="M210" s="5"/>
      <c r="N210" s="1020">
        <f t="shared" si="68"/>
        <v>5.989583333333333</v>
      </c>
      <c r="O210" s="1020"/>
      <c r="P210" s="5"/>
      <c r="Q210" s="1056">
        <f t="shared" si="69"/>
        <v>9.7321428571429003E-2</v>
      </c>
      <c r="R210" s="1057"/>
      <c r="U210" s="238">
        <f t="shared" si="70"/>
        <v>0</v>
      </c>
      <c r="V210" s="239">
        <v>48</v>
      </c>
      <c r="W210" s="240">
        <f t="shared" si="71"/>
        <v>48</v>
      </c>
      <c r="X210" s="241">
        <f t="shared" si="72"/>
        <v>0</v>
      </c>
      <c r="Z210" s="708"/>
      <c r="AA210" s="708"/>
      <c r="AB210" s="708"/>
      <c r="AC210" s="708"/>
      <c r="AD210" s="708"/>
      <c r="AE210" s="386"/>
      <c r="AF210" s="386"/>
      <c r="AG210" s="244"/>
      <c r="AH210" s="244"/>
      <c r="AI210" s="709"/>
      <c r="AJ210" s="709"/>
      <c r="AK210" s="709"/>
      <c r="AL210" s="709"/>
      <c r="AM210" s="709"/>
      <c r="AN210" s="709"/>
      <c r="AO210" s="709"/>
      <c r="AP210" s="709"/>
      <c r="AQ210" s="709"/>
      <c r="AR210" s="709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5"/>
        <v>41.071428571428569</v>
      </c>
      <c r="F211" s="1049"/>
      <c r="G211" s="1068"/>
      <c r="H211" s="1069"/>
      <c r="I211" s="1052">
        <f t="shared" si="66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70"/>
        <v>0</v>
      </c>
      <c r="V211" s="239">
        <v>48</v>
      </c>
      <c r="W211" s="240">
        <f>+V211-U211</f>
        <v>48</v>
      </c>
      <c r="X211" s="241">
        <f t="shared" si="72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709"/>
      <c r="AN211" s="709"/>
      <c r="AO211" s="709"/>
      <c r="AP211" s="709"/>
      <c r="AQ211" s="709"/>
      <c r="AR211" s="709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5"/>
        <v>29.571428571428573</v>
      </c>
      <c r="F212" s="1049"/>
      <c r="G212" s="1062"/>
      <c r="H212" s="1063"/>
      <c r="I212" s="1052">
        <f t="shared" si="66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3">+I212/6*7</f>
        <v>4.3125</v>
      </c>
      <c r="O212" s="1020"/>
      <c r="P212" s="5"/>
      <c r="Q212" s="1056">
        <f t="shared" ref="Q212:Q213" si="74">+$I$69-I212</f>
        <v>1.5348214285714286</v>
      </c>
      <c r="R212" s="1057"/>
      <c r="S212" s="1066">
        <f>20*30/180*117</f>
        <v>390</v>
      </c>
      <c r="T212" s="1067"/>
      <c r="U212" s="238">
        <f t="shared" si="70"/>
        <v>0</v>
      </c>
      <c r="V212" s="239">
        <v>48</v>
      </c>
      <c r="W212" s="240">
        <f t="shared" ref="W212:W213" si="75">+V212-U212</f>
        <v>48</v>
      </c>
      <c r="X212" s="241">
        <f t="shared" si="72"/>
        <v>0</v>
      </c>
      <c r="Y212" s="248"/>
      <c r="Z212" s="708"/>
      <c r="AA212" s="708"/>
      <c r="AB212" s="708"/>
      <c r="AC212" s="708"/>
      <c r="AD212" s="708"/>
      <c r="AE212" s="386"/>
      <c r="AF212" s="386"/>
      <c r="AG212" s="709"/>
      <c r="AH212" s="709"/>
      <c r="AI212" s="393"/>
      <c r="AJ212" s="393"/>
      <c r="AK212" s="393"/>
      <c r="AL212" s="393"/>
      <c r="AM212" s="709"/>
      <c r="AN212" s="709"/>
      <c r="AO212" s="709"/>
      <c r="AP212" s="709"/>
      <c r="AQ212" s="709"/>
      <c r="AR212" s="709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5"/>
        <v>28.333328571428574</v>
      </c>
      <c r="F213" s="1049"/>
      <c r="G213" s="1050">
        <v>25.761900000000001</v>
      </c>
      <c r="H213" s="1051"/>
      <c r="I213" s="1052">
        <f t="shared" si="66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3"/>
        <v>4.1319437500000005</v>
      </c>
      <c r="O213" s="1020"/>
      <c r="P213" s="5"/>
      <c r="Q213" s="1056">
        <f t="shared" si="74"/>
        <v>1.6895839285714285</v>
      </c>
      <c r="R213" s="1057"/>
      <c r="S213" s="711"/>
      <c r="T213" s="711"/>
      <c r="U213" s="238">
        <f>+AE175+U175+K175+AO154+AE154+U154+K154</f>
        <v>0</v>
      </c>
      <c r="V213" s="239">
        <v>48</v>
      </c>
      <c r="W213" s="240">
        <f t="shared" si="75"/>
        <v>48</v>
      </c>
      <c r="X213" s="241">
        <f>+J154+T154+AD154+J175+T175+AD175</f>
        <v>0</v>
      </c>
      <c r="Y213" s="711"/>
      <c r="Z213" s="708"/>
      <c r="AA213" s="708"/>
      <c r="AB213" s="708"/>
      <c r="AC213" s="708"/>
      <c r="AD213" s="708"/>
      <c r="AE213" s="386"/>
      <c r="AF213" s="386"/>
      <c r="AG213" s="709"/>
      <c r="AH213" s="709"/>
      <c r="AI213" s="393"/>
      <c r="AJ213" s="393"/>
      <c r="AK213" s="393"/>
      <c r="AL213" s="393"/>
      <c r="AM213" s="709"/>
      <c r="AN213" s="709"/>
      <c r="AO213" s="709"/>
      <c r="AP213" s="709"/>
      <c r="AQ213" s="709"/>
      <c r="AR213" s="709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6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708"/>
      <c r="AC214" s="708"/>
      <c r="AD214" s="708"/>
      <c r="AE214" s="386"/>
      <c r="AF214" s="386"/>
      <c r="AG214" s="709"/>
      <c r="AH214" s="709"/>
      <c r="AI214" s="709"/>
      <c r="AJ214" s="709"/>
      <c r="AK214" s="709"/>
      <c r="AL214" s="709"/>
      <c r="AM214" s="709"/>
      <c r="AN214" s="709"/>
      <c r="AO214" s="709"/>
      <c r="AP214" s="709"/>
      <c r="AQ214" s="709"/>
      <c r="AR214" s="709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7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708"/>
      <c r="AE215" s="386"/>
      <c r="AF215" s="386"/>
      <c r="AG215" s="244"/>
      <c r="AH215" s="244"/>
      <c r="AI215" s="709"/>
      <c r="AJ215" s="709"/>
      <c r="AK215" s="709"/>
      <c r="AL215" s="709"/>
      <c r="AM215" s="709"/>
      <c r="AN215" s="709"/>
      <c r="AO215" s="709"/>
      <c r="AP215" s="709"/>
      <c r="AQ215" s="709"/>
      <c r="AR215" s="709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7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708"/>
      <c r="AD216" s="708"/>
      <c r="AE216" s="386"/>
      <c r="AF216" s="386"/>
      <c r="AG216" s="709"/>
      <c r="AH216" s="709"/>
      <c r="AI216" s="393"/>
      <c r="AJ216" s="393"/>
      <c r="AK216" s="393"/>
      <c r="AL216" s="393"/>
      <c r="AM216" s="709"/>
      <c r="AN216" s="709"/>
      <c r="AO216" s="709"/>
      <c r="AP216" s="709"/>
      <c r="AQ216" s="709"/>
      <c r="AR216" s="709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7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8">+I217/6*7</f>
        <v>4.1319395833333337</v>
      </c>
      <c r="O217" s="1044"/>
      <c r="P217" s="5"/>
      <c r="Q217" s="1004">
        <f t="shared" ref="Q217" si="79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80">+V217-U217</f>
        <v>48</v>
      </c>
      <c r="X217" s="241">
        <f>+J157+T157+AD157+J178+T178+AD178</f>
        <v>0</v>
      </c>
      <c r="Z217" s="252"/>
      <c r="AA217" s="394"/>
      <c r="AB217" s="389"/>
      <c r="AC217" s="708"/>
      <c r="AD217" s="708"/>
      <c r="AE217" s="386"/>
      <c r="AF217" s="386"/>
      <c r="AG217" s="393"/>
      <c r="AH217" s="393"/>
      <c r="AI217" s="709"/>
      <c r="AJ217" s="709"/>
      <c r="AK217" s="709"/>
      <c r="AL217" s="709"/>
      <c r="AM217" s="709"/>
      <c r="AN217" s="709"/>
      <c r="AO217" s="709"/>
      <c r="AP217" s="709"/>
      <c r="AQ217" s="709"/>
      <c r="AR217" s="709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7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708"/>
      <c r="AC218" s="708"/>
      <c r="AD218" s="708">
        <v>200</v>
      </c>
      <c r="AE218" s="386"/>
      <c r="AF218" s="1023">
        <f>+AD218/6</f>
        <v>33.333333333333336</v>
      </c>
      <c r="AG218" s="1023"/>
      <c r="AH218" s="1023"/>
      <c r="AI218" s="709"/>
      <c r="AJ218" s="709"/>
      <c r="AK218" s="709"/>
      <c r="AL218" s="709"/>
      <c r="AM218" s="709"/>
      <c r="AN218" s="709"/>
      <c r="AO218" s="709"/>
      <c r="AP218" s="709"/>
      <c r="AQ218" s="709"/>
      <c r="AR218" s="709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7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81">+V219-U219</f>
        <v>48</v>
      </c>
      <c r="X219" s="241">
        <f>+J158+T158+AD158+J179+T179+AD179</f>
        <v>0</v>
      </c>
      <c r="Y219" s="248"/>
      <c r="Z219" s="708"/>
      <c r="AA219" s="708"/>
      <c r="AB219" s="708"/>
      <c r="AC219" s="708"/>
      <c r="AG219" s="709"/>
      <c r="AH219" s="709"/>
      <c r="AI219" s="386"/>
      <c r="AJ219" s="386"/>
      <c r="AK219" s="707"/>
      <c r="AL219" s="707"/>
      <c r="AM219" s="707"/>
      <c r="AN219" s="707"/>
      <c r="AO219" s="707"/>
      <c r="AP219" s="707"/>
      <c r="AQ219" s="707"/>
      <c r="AR219" s="707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7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2">+I220/6*7</f>
        <v>11.423610416666666</v>
      </c>
      <c r="O220" s="1020"/>
      <c r="P220" s="5"/>
      <c r="Q220" s="1004">
        <f t="shared" ref="Q220" si="83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81"/>
        <v>48</v>
      </c>
      <c r="X220" s="241">
        <f>+J162+T162+AD162+J183+T183+AD183</f>
        <v>0</v>
      </c>
      <c r="Z220" s="246"/>
      <c r="AA220" s="246"/>
      <c r="AB220" s="708"/>
      <c r="AC220" s="708"/>
      <c r="AD220" s="708"/>
      <c r="AE220" s="386"/>
      <c r="AF220" s="386"/>
      <c r="AG220" s="709"/>
      <c r="AH220" s="709"/>
      <c r="AI220" s="709"/>
      <c r="AJ220" s="709"/>
      <c r="AK220" s="709"/>
      <c r="AL220" s="709"/>
      <c r="AM220" s="709"/>
      <c r="AN220" s="709"/>
      <c r="AO220" s="709"/>
      <c r="AP220" s="709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710"/>
      <c r="E223" s="304"/>
      <c r="F223" s="305"/>
      <c r="G223" s="710"/>
      <c r="H223" s="710"/>
      <c r="I223" s="305"/>
      <c r="J223" s="710"/>
      <c r="K223" s="306"/>
      <c r="L223" s="306"/>
      <c r="M223" s="710"/>
      <c r="N223" s="710"/>
      <c r="O223" s="710"/>
      <c r="P223" s="710"/>
      <c r="Q223" s="710"/>
      <c r="R223" s="710"/>
      <c r="S223" s="710"/>
      <c r="T223" s="710"/>
      <c r="U223" s="710"/>
      <c r="V223" s="710"/>
      <c r="W223" s="710"/>
      <c r="X223" s="710"/>
      <c r="Y223" s="710"/>
      <c r="Z223" s="710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4">+I227+L227+O227</f>
        <v>33.762</v>
      </c>
      <c r="S227" s="1001"/>
      <c r="T227" s="1001"/>
      <c r="U227" s="961">
        <f t="shared" ref="U227:U234" si="85">+I227*7+(L227+O227)*6</f>
        <v>233.334</v>
      </c>
      <c r="V227" s="961"/>
      <c r="W227" s="962"/>
      <c r="X227" s="963">
        <f t="shared" ref="X227:X234" si="86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4"/>
        <v>28.762</v>
      </c>
      <c r="S228" s="998"/>
      <c r="T228" s="998"/>
      <c r="U228" s="953">
        <f t="shared" si="85"/>
        <v>198.334</v>
      </c>
      <c r="V228" s="953"/>
      <c r="W228" s="954"/>
      <c r="X228" s="947">
        <f t="shared" si="86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7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4"/>
        <v>41.5</v>
      </c>
      <c r="S229" s="998"/>
      <c r="T229" s="998"/>
      <c r="U229" s="953">
        <f t="shared" si="85"/>
        <v>287.5</v>
      </c>
      <c r="V229" s="953"/>
      <c r="W229" s="954"/>
      <c r="X229" s="947">
        <f t="shared" si="86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4"/>
        <v>41.5</v>
      </c>
      <c r="S230" s="998"/>
      <c r="T230" s="998"/>
      <c r="U230" s="953">
        <f t="shared" si="85"/>
        <v>287.5</v>
      </c>
      <c r="V230" s="953"/>
      <c r="W230" s="954"/>
      <c r="X230" s="947">
        <f t="shared" si="86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4"/>
        <v>41.5</v>
      </c>
      <c r="S231" s="998"/>
      <c r="T231" s="998"/>
      <c r="U231" s="953">
        <f t="shared" si="85"/>
        <v>287.5</v>
      </c>
      <c r="V231" s="953"/>
      <c r="W231" s="954"/>
      <c r="X231" s="947">
        <f t="shared" si="86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4"/>
        <v>36.799999999999997</v>
      </c>
      <c r="S232" s="998"/>
      <c r="T232" s="998"/>
      <c r="U232" s="953">
        <f t="shared" si="85"/>
        <v>254.59999999999997</v>
      </c>
      <c r="V232" s="953"/>
      <c r="W232" s="954"/>
      <c r="X232" s="947">
        <f t="shared" si="86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4"/>
        <v>41.5</v>
      </c>
      <c r="S233" s="998"/>
      <c r="T233" s="998"/>
      <c r="U233" s="953">
        <f t="shared" si="85"/>
        <v>287.5</v>
      </c>
      <c r="V233" s="953"/>
      <c r="W233" s="954"/>
      <c r="X233" s="947">
        <f t="shared" si="86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4"/>
        <v>37.095199999999998</v>
      </c>
      <c r="S234" s="998"/>
      <c r="T234" s="998"/>
      <c r="U234" s="953">
        <f t="shared" si="85"/>
        <v>256.66639999999995</v>
      </c>
      <c r="V234" s="953"/>
      <c r="W234" s="954"/>
      <c r="X234" s="947">
        <f t="shared" si="86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709"/>
      <c r="AF243" s="709"/>
      <c r="AG243" s="386"/>
      <c r="AH243" s="386"/>
      <c r="AI243" s="386"/>
      <c r="AJ243" s="709"/>
      <c r="AK243" s="709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709"/>
      <c r="AF244" s="709"/>
      <c r="AG244" s="386"/>
      <c r="AH244" s="386"/>
      <c r="AI244" s="386"/>
      <c r="AJ244" s="709"/>
      <c r="AK244" s="709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709"/>
      <c r="AF246" s="709"/>
      <c r="AG246" s="386"/>
      <c r="AH246" s="386"/>
      <c r="AI246" s="386"/>
      <c r="AJ246" s="709"/>
      <c r="AK246" s="709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709"/>
      <c r="AF249" s="709"/>
      <c r="AG249" s="386"/>
      <c r="AH249" s="386"/>
      <c r="AI249" s="386"/>
      <c r="AJ249" s="709"/>
      <c r="AK249" s="709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707"/>
      <c r="AM251" s="709"/>
      <c r="AN251" s="707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710"/>
      <c r="E260" s="304"/>
      <c r="F260" s="305"/>
      <c r="G260" s="710"/>
      <c r="H260" s="710"/>
      <c r="I260" s="305"/>
      <c r="J260" s="710"/>
      <c r="K260" s="306"/>
      <c r="L260" s="306"/>
      <c r="M260" s="710"/>
      <c r="N260" s="710"/>
      <c r="O260" s="710"/>
      <c r="P260" s="710"/>
      <c r="Q260" s="710"/>
      <c r="R260" s="710"/>
      <c r="S260" s="710"/>
      <c r="T260" s="710"/>
      <c r="U260" s="710"/>
      <c r="V260" s="710"/>
      <c r="W260" s="710"/>
      <c r="X260" s="710"/>
      <c r="Y260" s="710"/>
      <c r="Z260" s="710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8">+I264+L264+O264</f>
        <v>41.5</v>
      </c>
      <c r="S264" s="960"/>
      <c r="T264" s="960"/>
      <c r="U264" s="961">
        <f t="shared" ref="U264:U270" si="89">+I264*7+(L264+O264)*6</f>
        <v>287.5</v>
      </c>
      <c r="V264" s="961"/>
      <c r="W264" s="962"/>
      <c r="X264" s="963">
        <f t="shared" ref="X264:X270" si="90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1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8"/>
        <v>41.5</v>
      </c>
      <c r="S265" s="938"/>
      <c r="T265" s="938"/>
      <c r="U265" s="953">
        <f t="shared" si="89"/>
        <v>287.5</v>
      </c>
      <c r="V265" s="953"/>
      <c r="W265" s="954"/>
      <c r="X265" s="947">
        <f t="shared" si="90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1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8"/>
        <v>41.5</v>
      </c>
      <c r="S266" s="938"/>
      <c r="T266" s="938"/>
      <c r="U266" s="953">
        <f t="shared" si="89"/>
        <v>287.5</v>
      </c>
      <c r="V266" s="953"/>
      <c r="W266" s="954"/>
      <c r="X266" s="947">
        <f t="shared" si="90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1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8"/>
        <v>38</v>
      </c>
      <c r="S267" s="938"/>
      <c r="T267" s="938"/>
      <c r="U267" s="953">
        <f t="shared" si="89"/>
        <v>263</v>
      </c>
      <c r="V267" s="953"/>
      <c r="W267" s="954"/>
      <c r="X267" s="947">
        <f t="shared" si="90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1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8"/>
        <v>36.799999999999997</v>
      </c>
      <c r="S268" s="938"/>
      <c r="T268" s="938"/>
      <c r="U268" s="953">
        <f t="shared" si="89"/>
        <v>254.59999999999997</v>
      </c>
      <c r="V268" s="953"/>
      <c r="W268" s="954"/>
      <c r="X268" s="947">
        <f t="shared" si="90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1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8"/>
        <v>36.799999999999997</v>
      </c>
      <c r="S269" s="938"/>
      <c r="T269" s="938"/>
      <c r="U269" s="953">
        <f t="shared" si="89"/>
        <v>254.59999999999997</v>
      </c>
      <c r="V269" s="953"/>
      <c r="W269" s="954"/>
      <c r="X269" s="947">
        <f t="shared" si="90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1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8"/>
        <v>29</v>
      </c>
      <c r="S270" s="938"/>
      <c r="T270" s="938"/>
      <c r="U270" s="953">
        <f t="shared" si="89"/>
        <v>200</v>
      </c>
      <c r="V270" s="953"/>
      <c r="W270" s="954"/>
      <c r="X270" s="947">
        <f t="shared" si="90"/>
        <v>857.14285714285722</v>
      </c>
      <c r="Y270" s="948"/>
      <c r="Z270" s="949"/>
      <c r="AA270" s="935">
        <v>25</v>
      </c>
      <c r="AB270" s="936"/>
      <c r="AC270" s="936"/>
      <c r="AD270" s="937">
        <f t="shared" si="91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457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456" priority="27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455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454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453" priority="24" stopIfTrue="1" operator="lessThanOrEqual">
      <formula>0</formula>
    </cfRule>
  </conditionalFormatting>
  <conditionalFormatting sqref="K56:L58 AO56:AO57 AE56:AE57 K60:L60 AE60:AF60 U60:V66 AE58:AF58 U56:V58 K46:L48 AE46:AF48 U46:V54 K44:L44 AE44:AF44 AE41:AF41 U41:V41 U42:U45 U32:V32 K25:L26 AE32:AF32 AE25:AF26 K22:L23 K32:L32 U22:V23 U33:U40 AE33:AE40 AE14:AF14 K11:L11 AE11:AE13 U11:V11 K17:L17 V17 K12:K16 AO11:AO26 U25:V26 AE42:AE45 U43:V44 K33:K45 K18:K24 U12:U24 AE15:AE24">
    <cfRule type="cellIs" dxfId="452" priority="23" stopIfTrue="1" operator="lessThanOrEqual">
      <formula>0</formula>
    </cfRule>
  </conditionalFormatting>
  <conditionalFormatting sqref="Z49:AA53 Z61:AA66 W85:X85 W74:X83">
    <cfRule type="cellIs" dxfId="451" priority="22" stopIfTrue="1" operator="lessThan">
      <formula>0</formula>
    </cfRule>
  </conditionalFormatting>
  <conditionalFormatting sqref="X49:X53 X61:X66 U85 U74:U83">
    <cfRule type="cellIs" dxfId="450" priority="21" stopIfTrue="1" operator="greaterThan">
      <formula>48</formula>
    </cfRule>
  </conditionalFormatting>
  <conditionalFormatting sqref="C275:C279 C287:D290 C158:D158 D275:D286 C86:D141">
    <cfRule type="cellIs" dxfId="449" priority="20" stopIfTrue="1" operator="lessThan">
      <formula>$C$71</formula>
    </cfRule>
  </conditionalFormatting>
  <conditionalFormatting sqref="AI60:AO60 AI32:AO48">
    <cfRule type="cellIs" dxfId="448" priority="18" stopIfTrue="1" operator="equal">
      <formula>0</formula>
    </cfRule>
    <cfRule type="cellIs" dxfId="447" priority="19" stopIfTrue="1" operator="lessThan">
      <formula>0</formula>
    </cfRule>
  </conditionalFormatting>
  <conditionalFormatting sqref="AT60 AT32:AT45">
    <cfRule type="cellIs" dxfId="446" priority="16" stopIfTrue="1" operator="greaterThan">
      <formula>0</formula>
    </cfRule>
    <cfRule type="cellIs" dxfId="445" priority="17" stopIfTrue="1" operator="lessThan">
      <formula>1</formula>
    </cfRule>
  </conditionalFormatting>
  <conditionalFormatting sqref="K84:L84 K71:L81">
    <cfRule type="cellIs" dxfId="444" priority="15" stopIfTrue="1" operator="greaterThanOrEqual">
      <formula>$K$69</formula>
    </cfRule>
  </conditionalFormatting>
  <conditionalFormatting sqref="AF56:AF57 AF33:AF45 V32:V45 L32:L45 L12:L24 V12:V24 AF11:AF24">
    <cfRule type="cellIs" dxfId="443" priority="13" stopIfTrue="1" operator="equal">
      <formula>0</formula>
    </cfRule>
    <cfRule type="cellIs" dxfId="442" priority="14" stopIfTrue="1" operator="lessThan">
      <formula>0</formula>
    </cfRule>
  </conditionalFormatting>
  <conditionalFormatting sqref="K198:L240">
    <cfRule type="cellIs" dxfId="441" priority="12" stopIfTrue="1" operator="greaterThanOrEqual">
      <formula>$K$72</formula>
    </cfRule>
  </conditionalFormatting>
  <conditionalFormatting sqref="K240:L240">
    <cfRule type="cellIs" dxfId="440" priority="11" stopIfTrue="1" operator="greaterThanOrEqual">
      <formula>$K$72</formula>
    </cfRule>
  </conditionalFormatting>
  <conditionalFormatting sqref="C240:D240">
    <cfRule type="cellIs" dxfId="439" priority="10" stopIfTrue="1" operator="lessThan">
      <formula>$C$71</formula>
    </cfRule>
  </conditionalFormatting>
  <conditionalFormatting sqref="AP199:AP202">
    <cfRule type="cellIs" dxfId="438" priority="9" stopIfTrue="1" operator="lessThanOrEqual">
      <formula>0</formula>
    </cfRule>
  </conditionalFormatting>
  <conditionalFormatting sqref="K220:L221 L214:L216 K214:K218">
    <cfRule type="cellIs" dxfId="437" priority="8" stopIfTrue="1" operator="greaterThanOrEqual">
      <formula>$K$72</formula>
    </cfRule>
  </conditionalFormatting>
  <conditionalFormatting sqref="P199:P201">
    <cfRule type="cellIs" dxfId="436" priority="7" stopIfTrue="1" operator="lessThanOrEqual">
      <formula>0</formula>
    </cfRule>
  </conditionalFormatting>
  <conditionalFormatting sqref="S199:S201">
    <cfRule type="cellIs" dxfId="435" priority="6" stopIfTrue="1" operator="lessThanOrEqual">
      <formula>0</formula>
    </cfRule>
  </conditionalFormatting>
  <conditionalFormatting sqref="U199:V201">
    <cfRule type="cellIs" dxfId="434" priority="5" stopIfTrue="1" operator="lessThanOrEqual">
      <formula>0</formula>
    </cfRule>
  </conditionalFormatting>
  <conditionalFormatting sqref="Z199:AA201 W220:X220 W209:X218">
    <cfRule type="cellIs" dxfId="433" priority="4" stopIfTrue="1" operator="lessThan">
      <formula>0</formula>
    </cfRule>
  </conditionalFormatting>
  <conditionalFormatting sqref="X199:X201 U220 U209:U218">
    <cfRule type="cellIs" dxfId="432" priority="3" stopIfTrue="1" operator="greaterThan">
      <formula>48</formula>
    </cfRule>
  </conditionalFormatting>
  <conditionalFormatting sqref="C221:D221">
    <cfRule type="cellIs" dxfId="431" priority="2" stopIfTrue="1" operator="lessThan">
      <formula>$C$71</formula>
    </cfRule>
  </conditionalFormatting>
  <conditionalFormatting sqref="K219:L219 K206:L216">
    <cfRule type="cellIs" dxfId="430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" formula="1"/>
  </ignoredErrors>
  <drawing r:id="rId4"/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K26" sqref="K26:L27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702" customWidth="1"/>
    <col min="5" max="5" width="4.28515625" style="3" customWidth="1"/>
    <col min="6" max="6" width="4.28515625" style="4" customWidth="1"/>
    <col min="7" max="8" width="4.28515625" style="702" customWidth="1"/>
    <col min="9" max="9" width="4.28515625" style="4" customWidth="1"/>
    <col min="10" max="10" width="4.28515625" style="702" customWidth="1"/>
    <col min="11" max="12" width="4.28515625" style="5" customWidth="1"/>
    <col min="13" max="26" width="4.28515625" style="702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43222</v>
      </c>
      <c r="C1" s="702" t="s">
        <v>0</v>
      </c>
      <c r="AN1" s="7"/>
      <c r="AO1" s="7"/>
      <c r="AR1" s="1340">
        <f>+AR46+AT46</f>
        <v>260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43223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702">
        <v>0</v>
      </c>
    </row>
    <row r="5" spans="1:58" ht="10.9" customHeight="1">
      <c r="B5" s="1244" t="s">
        <v>1</v>
      </c>
      <c r="C5" s="1140">
        <v>43216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43217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43218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43219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43216</v>
      </c>
      <c r="AW7" s="1296">
        <f>+M5</f>
        <v>43217</v>
      </c>
      <c r="AX7" s="1296">
        <f>+W5</f>
        <v>43218</v>
      </c>
      <c r="AY7" s="1309">
        <f>+AG5</f>
        <v>43219</v>
      </c>
      <c r="AZ7" s="1296">
        <f>+C26</f>
        <v>43220</v>
      </c>
      <c r="BA7" s="1296">
        <f>+M26</f>
        <v>43221</v>
      </c>
      <c r="BB7" s="1296">
        <f>+W26</f>
        <v>43222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>
        <v>7</v>
      </c>
      <c r="X11" s="337">
        <v>16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15</v>
      </c>
      <c r="AQ11" s="1298"/>
      <c r="AR11" s="1299">
        <f t="shared" ref="AR11:AR20" si="16">ROUND(BD11*AP11,1)</f>
        <v>68.2</v>
      </c>
      <c r="AS11" s="1300"/>
      <c r="AT11" s="338">
        <f t="shared" ref="AT11:AT24" si="17">IF(AT32&gt;0,AT32*$AT$10,0)</f>
        <v>24</v>
      </c>
      <c r="AV11" s="26">
        <f t="shared" ref="AV11:AV20" si="18">+L11</f>
        <v>0</v>
      </c>
      <c r="AW11" s="26">
        <f t="shared" ref="AW11:AW20" si="19">+V11</f>
        <v>-1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16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68.196428571428555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18</v>
      </c>
      <c r="D12" s="342">
        <v>24</v>
      </c>
      <c r="E12" s="30">
        <v>1</v>
      </c>
      <c r="F12" s="31">
        <f t="shared" si="1"/>
        <v>5</v>
      </c>
      <c r="G12" s="342">
        <v>0</v>
      </c>
      <c r="H12" s="342">
        <v>7</v>
      </c>
      <c r="I12" s="31">
        <f t="shared" si="2"/>
        <v>7</v>
      </c>
      <c r="J12" s="30">
        <v>8</v>
      </c>
      <c r="K12" s="32">
        <f t="shared" si="3"/>
        <v>8</v>
      </c>
      <c r="L12" s="20">
        <f t="shared" si="4"/>
        <v>4</v>
      </c>
      <c r="M12" s="706">
        <v>7</v>
      </c>
      <c r="N12" s="342">
        <v>24</v>
      </c>
      <c r="O12" s="30">
        <v>1</v>
      </c>
      <c r="P12" s="31">
        <f t="shared" si="5"/>
        <v>16</v>
      </c>
      <c r="Q12" s="33">
        <v>0</v>
      </c>
      <c r="R12" s="342">
        <v>7</v>
      </c>
      <c r="S12" s="31">
        <f t="shared" si="6"/>
        <v>7</v>
      </c>
      <c r="T12" s="30">
        <v>8</v>
      </c>
      <c r="U12" s="32">
        <f t="shared" si="7"/>
        <v>8</v>
      </c>
      <c r="V12" s="20">
        <f t="shared" si="8"/>
        <v>15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48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0</v>
      </c>
      <c r="AG12" s="37">
        <v>7</v>
      </c>
      <c r="AH12" s="342">
        <v>18</v>
      </c>
      <c r="AI12" s="30">
        <v>1</v>
      </c>
      <c r="AJ12" s="38">
        <f>+AH12-AG12-AI12</f>
        <v>10</v>
      </c>
      <c r="AK12" s="342"/>
      <c r="AL12" s="342"/>
      <c r="AM12" s="31">
        <f t="shared" si="13"/>
        <v>0</v>
      </c>
      <c r="AN12" s="39"/>
      <c r="AO12" s="40">
        <f t="shared" si="14"/>
        <v>20</v>
      </c>
      <c r="AP12" s="1282">
        <f t="shared" si="15"/>
        <v>59</v>
      </c>
      <c r="AQ12" s="1283"/>
      <c r="AR12" s="1284">
        <f t="shared" si="16"/>
        <v>302.89999999999998</v>
      </c>
      <c r="AS12" s="1285"/>
      <c r="AT12" s="345">
        <f t="shared" si="17"/>
        <v>28</v>
      </c>
      <c r="AV12" s="26">
        <f t="shared" si="18"/>
        <v>4</v>
      </c>
      <c r="AW12" s="26">
        <f t="shared" si="19"/>
        <v>15</v>
      </c>
      <c r="AX12" s="26">
        <f t="shared" si="20"/>
        <v>0</v>
      </c>
      <c r="AY12" s="27">
        <f t="shared" si="21"/>
        <v>20</v>
      </c>
      <c r="AZ12" s="26">
        <f t="shared" si="22"/>
        <v>2</v>
      </c>
      <c r="BA12" s="26">
        <f t="shared" si="23"/>
        <v>16</v>
      </c>
      <c r="BB12" s="26">
        <f t="shared" si="24"/>
        <v>2</v>
      </c>
      <c r="BC12" s="28"/>
      <c r="BD12" s="339">
        <f t="shared" si="25"/>
        <v>5.1339285714285712</v>
      </c>
      <c r="BE12" s="340">
        <f t="shared" si="26"/>
        <v>302.90178571428572</v>
      </c>
      <c r="BF12" s="341">
        <f t="shared" si="27"/>
        <v>102.67857142857142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706">
        <v>7</v>
      </c>
      <c r="N13" s="342">
        <v>17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3"/>
        <v>0</v>
      </c>
      <c r="AN13" s="43"/>
      <c r="AO13" s="40">
        <f t="shared" si="14"/>
        <v>16</v>
      </c>
      <c r="AP13" s="1282">
        <f t="shared" si="15"/>
        <v>21</v>
      </c>
      <c r="AQ13" s="1283"/>
      <c r="AR13" s="1284">
        <f t="shared" si="16"/>
        <v>107.8</v>
      </c>
      <c r="AS13" s="1285"/>
      <c r="AT13" s="345">
        <f t="shared" si="17"/>
        <v>24</v>
      </c>
      <c r="AV13" s="26">
        <f t="shared" si="18"/>
        <v>2</v>
      </c>
      <c r="AW13" s="26">
        <f t="shared" si="19"/>
        <v>1</v>
      </c>
      <c r="AX13" s="26">
        <f t="shared" si="20"/>
        <v>0</v>
      </c>
      <c r="AY13" s="27">
        <f t="shared" si="21"/>
        <v>16</v>
      </c>
      <c r="AZ13" s="26">
        <f t="shared" si="22"/>
        <v>0</v>
      </c>
      <c r="BA13" s="26">
        <f t="shared" si="23"/>
        <v>0</v>
      </c>
      <c r="BB13" s="26">
        <f t="shared" si="24"/>
        <v>2</v>
      </c>
      <c r="BC13" s="28"/>
      <c r="BD13" s="339">
        <f t="shared" si="25"/>
        <v>5.1339285714285712</v>
      </c>
      <c r="BE13" s="340">
        <f t="shared" si="26"/>
        <v>107.8125</v>
      </c>
      <c r="BF13" s="341">
        <f t="shared" si="27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18</v>
      </c>
      <c r="D14" s="346">
        <v>24</v>
      </c>
      <c r="E14" s="42">
        <v>1</v>
      </c>
      <c r="F14" s="44">
        <f t="shared" si="1"/>
        <v>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4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4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0</v>
      </c>
      <c r="AG14" s="37">
        <v>7</v>
      </c>
      <c r="AH14" s="342">
        <v>18</v>
      </c>
      <c r="AI14" s="30">
        <v>1</v>
      </c>
      <c r="AJ14" s="38">
        <f t="shared" si="12"/>
        <v>10</v>
      </c>
      <c r="AK14" s="342"/>
      <c r="AL14" s="342"/>
      <c r="AM14" s="31">
        <f t="shared" si="13"/>
        <v>0</v>
      </c>
      <c r="AN14" s="47"/>
      <c r="AO14" s="40">
        <f t="shared" si="14"/>
        <v>20</v>
      </c>
      <c r="AP14" s="1282">
        <f t="shared" si="15"/>
        <v>32</v>
      </c>
      <c r="AQ14" s="1283"/>
      <c r="AR14" s="1284">
        <f t="shared" si="16"/>
        <v>133.30000000000001</v>
      </c>
      <c r="AS14" s="1285"/>
      <c r="AT14" s="345">
        <f t="shared" si="17"/>
        <v>24</v>
      </c>
      <c r="AV14" s="26">
        <f t="shared" si="18"/>
        <v>4</v>
      </c>
      <c r="AW14" s="26">
        <f t="shared" si="19"/>
        <v>4</v>
      </c>
      <c r="AX14" s="26">
        <f t="shared" si="20"/>
        <v>0</v>
      </c>
      <c r="AY14" s="27">
        <f t="shared" si="21"/>
        <v>20</v>
      </c>
      <c r="AZ14" s="26">
        <f t="shared" si="22"/>
        <v>2</v>
      </c>
      <c r="BA14" s="26">
        <f t="shared" si="23"/>
        <v>0</v>
      </c>
      <c r="BB14" s="26">
        <f t="shared" si="24"/>
        <v>2</v>
      </c>
      <c r="BC14" s="28"/>
      <c r="BD14" s="339">
        <f t="shared" si="25"/>
        <v>4.1666785714285712</v>
      </c>
      <c r="BE14" s="340">
        <f t="shared" si="26"/>
        <v>133.33371428571428</v>
      </c>
      <c r="BF14" s="341">
        <f t="shared" si="27"/>
        <v>83.333571428571418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17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706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1</v>
      </c>
      <c r="AQ15" s="1295"/>
      <c r="AR15" s="1284">
        <f t="shared" si="16"/>
        <v>5.0999999999999996</v>
      </c>
      <c r="AS15" s="1285"/>
      <c r="AT15" s="345">
        <f t="shared" si="17"/>
        <v>20</v>
      </c>
      <c r="AV15" s="26">
        <f t="shared" si="18"/>
        <v>0</v>
      </c>
      <c r="AW15" s="26">
        <f t="shared" si="19"/>
        <v>1</v>
      </c>
      <c r="AX15" s="26">
        <f t="shared" si="20"/>
        <v>0</v>
      </c>
      <c r="AY15" s="27">
        <f t="shared" si="21"/>
        <v>0</v>
      </c>
      <c r="AZ15" s="26">
        <f t="shared" si="22"/>
        <v>-1</v>
      </c>
      <c r="BA15" s="26">
        <f t="shared" si="23"/>
        <v>0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5.1339285714285712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/>
      <c r="D16" s="342"/>
      <c r="E16" s="30"/>
      <c r="F16" s="31">
        <f>+D16-C16-E16</f>
        <v>0</v>
      </c>
      <c r="G16" s="342"/>
      <c r="H16" s="342"/>
      <c r="I16" s="31">
        <f>+H16-G16</f>
        <v>0</v>
      </c>
      <c r="J16" s="30"/>
      <c r="K16" s="32">
        <f>+I16+F16-L16</f>
        <v>0</v>
      </c>
      <c r="L16" s="20">
        <f>IF(C16&gt;0,(F16+I16)+IF(K$5&gt;0,F16,-8),0)+IF(U$5&gt;0,I16,0)</f>
        <v>0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/>
      <c r="X16" s="346"/>
      <c r="Y16" s="42"/>
      <c r="Z16" s="44">
        <f>+X16-W16-Y16</f>
        <v>0</v>
      </c>
      <c r="AA16" s="47"/>
      <c r="AB16" s="53"/>
      <c r="AC16" s="31">
        <f>+AB16-AA16</f>
        <v>0</v>
      </c>
      <c r="AD16" s="30"/>
      <c r="AE16" s="32">
        <f>+AC16+Z16-IF(AE$5&gt;0,AF16/2,AF16)</f>
        <v>0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20</v>
      </c>
      <c r="O18" s="30">
        <v>1</v>
      </c>
      <c r="P18" s="31">
        <f>+N18-M18-O18</f>
        <v>12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4</v>
      </c>
      <c r="W18" s="30">
        <v>7</v>
      </c>
      <c r="X18" s="342">
        <v>17</v>
      </c>
      <c r="Y18" s="30">
        <v>1</v>
      </c>
      <c r="Z18" s="31">
        <f>+X18-W18-Y18</f>
        <v>9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1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27</v>
      </c>
      <c r="AQ18" s="1283"/>
      <c r="AR18" s="1284">
        <f t="shared" si="16"/>
        <v>95.6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4</v>
      </c>
      <c r="AX18" s="26">
        <f t="shared" si="20"/>
        <v>1</v>
      </c>
      <c r="AY18" s="27">
        <f t="shared" si="21"/>
        <v>0</v>
      </c>
      <c r="AZ18" s="26">
        <f t="shared" si="22"/>
        <v>2</v>
      </c>
      <c r="BA18" s="26">
        <f t="shared" si="23"/>
        <v>16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95.624983928571439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04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 xml:space="preserve">  -  .  -  </v>
      </c>
      <c r="C21" s="520"/>
      <c r="D21" s="516"/>
      <c r="E21" s="516"/>
      <c r="F21" s="517">
        <f>+D21-C21-E21</f>
        <v>0</v>
      </c>
      <c r="G21" s="516"/>
      <c r="H21" s="516"/>
      <c r="I21" s="517">
        <f>+H21-G21</f>
        <v>0</v>
      </c>
      <c r="J21" s="516"/>
      <c r="K21" s="517">
        <f>+I21+F21-L21</f>
        <v>0</v>
      </c>
      <c r="L21" s="518">
        <f t="shared" si="4"/>
        <v>0</v>
      </c>
      <c r="M21" s="705"/>
      <c r="N21" s="516"/>
      <c r="O21" s="516"/>
      <c r="P21" s="517">
        <f>+N21-M21-O21</f>
        <v>0</v>
      </c>
      <c r="Q21" s="516"/>
      <c r="R21" s="516"/>
      <c r="S21" s="517">
        <f>+R21-Q21</f>
        <v>0</v>
      </c>
      <c r="T21" s="516"/>
      <c r="U21" s="517">
        <f>+S21+P21-V21</f>
        <v>0</v>
      </c>
      <c r="V21" s="518">
        <f>IF(M21&gt;0,(P21+S21)+IF(U$5&gt;0,P21,-8),0)+IF(AE$5&gt;0,S21,0)</f>
        <v>0</v>
      </c>
      <c r="W21" s="516"/>
      <c r="X21" s="516"/>
      <c r="Y21" s="516"/>
      <c r="Z21" s="517">
        <f>+X21-W21-Y21</f>
        <v>0</v>
      </c>
      <c r="AA21" s="516"/>
      <c r="AB21" s="534"/>
      <c r="AC21" s="517">
        <f>+AB21-AA21</f>
        <v>0</v>
      </c>
      <c r="AD21" s="516"/>
      <c r="AE21" s="517">
        <f>+AC21+Z21-IF(AE$5&gt;0,AF21/2,AF21)</f>
        <v>0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0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4.583328571428571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460">
        <f>+I22+F22-L22</f>
        <v>8</v>
      </c>
      <c r="L22" s="461">
        <f t="shared" si="4"/>
        <v>2</v>
      </c>
      <c r="M22" s="703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460">
        <f>+S22+P22-V22</f>
        <v>8</v>
      </c>
      <c r="V22" s="461">
        <f>IF(M22&gt;0,(P22+S22)+IF(U$5&gt;0,P22,-8),0)+IF(AE$5&gt;0,S22,0)</f>
        <v>2</v>
      </c>
      <c r="W22" s="459">
        <v>7</v>
      </c>
      <c r="X22" s="459">
        <v>17</v>
      </c>
      <c r="Y22" s="459">
        <v>1</v>
      </c>
      <c r="Z22" s="460">
        <f>+X22-W22-Y22</f>
        <v>9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1</v>
      </c>
      <c r="AG22" s="459">
        <v>7</v>
      </c>
      <c r="AH22" s="459">
        <v>16</v>
      </c>
      <c r="AI22" s="459">
        <v>1</v>
      </c>
      <c r="AJ22" s="464">
        <f t="shared" si="12"/>
        <v>8</v>
      </c>
      <c r="AK22" s="459"/>
      <c r="AL22" s="459"/>
      <c r="AM22" s="460">
        <f>+AL22-AK22</f>
        <v>0</v>
      </c>
      <c r="AN22" s="459"/>
      <c r="AO22" s="465">
        <f>(AJ22*2+AM22)</f>
        <v>16</v>
      </c>
      <c r="AP22" s="1290">
        <f t="shared" si="15"/>
        <v>41</v>
      </c>
      <c r="AQ22" s="1291"/>
      <c r="AR22" s="1292">
        <f>ROUND(BD22*AP22,1)</f>
        <v>145.19999999999999</v>
      </c>
      <c r="AS22" s="1293"/>
      <c r="AT22" s="488">
        <f t="shared" si="17"/>
        <v>28</v>
      </c>
      <c r="AV22" s="69">
        <f>+L22</f>
        <v>2</v>
      </c>
      <c r="AW22" s="69">
        <f>+V22</f>
        <v>2</v>
      </c>
      <c r="AX22" s="69">
        <f>+AF22</f>
        <v>1</v>
      </c>
      <c r="AY22" s="70">
        <f>+AO22</f>
        <v>16</v>
      </c>
      <c r="AZ22" s="69">
        <f>+L43</f>
        <v>2</v>
      </c>
      <c r="BA22" s="69">
        <f>+V43</f>
        <v>16</v>
      </c>
      <c r="BB22" s="69">
        <f>+AF43</f>
        <v>2</v>
      </c>
      <c r="BC22" s="28"/>
      <c r="BD22" s="339">
        <f>+I82</f>
        <v>3.5416625000000002</v>
      </c>
      <c r="BE22" s="351">
        <f>+BD22*AP22</f>
        <v>145.20816250000001</v>
      </c>
      <c r="BF22" s="352">
        <f>+BD22*AY22</f>
        <v>56.666600000000003</v>
      </c>
    </row>
    <row r="23" spans="1:58" s="55" customFormat="1" ht="14.1" customHeight="1">
      <c r="A23" s="50"/>
      <c r="B23" s="513" t="str">
        <f t="shared" si="0"/>
        <v>Rafael Armas R.</v>
      </c>
      <c r="C23" s="671"/>
      <c r="D23" s="672"/>
      <c r="E23" s="672"/>
      <c r="F23" s="673">
        <f>+D23-C23-E23</f>
        <v>0</v>
      </c>
      <c r="G23" s="672"/>
      <c r="H23" s="672"/>
      <c r="I23" s="673">
        <f>+H23-G23</f>
        <v>0</v>
      </c>
      <c r="J23" s="672"/>
      <c r="K23" s="673">
        <f>+I23+F23-L23</f>
        <v>0</v>
      </c>
      <c r="L23" s="674">
        <f t="shared" si="4"/>
        <v>0</v>
      </c>
      <c r="M23" s="675"/>
      <c r="N23" s="672"/>
      <c r="O23" s="672"/>
      <c r="P23" s="673">
        <f>+N23-M23-O23</f>
        <v>0</v>
      </c>
      <c r="Q23" s="672"/>
      <c r="R23" s="672"/>
      <c r="S23" s="673">
        <f>+R23-Q23</f>
        <v>0</v>
      </c>
      <c r="T23" s="672"/>
      <c r="U23" s="673">
        <f>+S23+P23-V23</f>
        <v>0</v>
      </c>
      <c r="V23" s="674">
        <f>IF(M23&gt;0,(P23+S23)+IF(U$5&gt;0,P23,-8),0)+IF(AE$5&gt;0,S23,0)</f>
        <v>0</v>
      </c>
      <c r="W23" s="672"/>
      <c r="X23" s="672"/>
      <c r="Y23" s="672"/>
      <c r="Z23" s="673">
        <f>+X23-W23-Y23</f>
        <v>0</v>
      </c>
      <c r="AA23" s="672"/>
      <c r="AB23" s="676"/>
      <c r="AC23" s="673">
        <f>+AB23-AA23</f>
        <v>0</v>
      </c>
      <c r="AD23" s="672"/>
      <c r="AE23" s="673">
        <f>+AC23+Z23-IF(AE$5&gt;0,AF23/2,AF23)</f>
        <v>0</v>
      </c>
      <c r="AF23" s="674">
        <f t="shared" si="28"/>
        <v>0</v>
      </c>
      <c r="AG23" s="672"/>
      <c r="AH23" s="672"/>
      <c r="AI23" s="672"/>
      <c r="AJ23" s="677">
        <f t="shared" si="12"/>
        <v>0</v>
      </c>
      <c r="AK23" s="672"/>
      <c r="AL23" s="672"/>
      <c r="AM23" s="673">
        <f>+AL23-AK23</f>
        <v>0</v>
      </c>
      <c r="AN23" s="678"/>
      <c r="AO23" s="679">
        <f>(AJ23*2+AM23)</f>
        <v>0</v>
      </c>
      <c r="AP23" s="1282">
        <f t="shared" si="15"/>
        <v>18</v>
      </c>
      <c r="AQ23" s="1283"/>
      <c r="AR23" s="1272">
        <f>ROUND(BD23*AP23,1)</f>
        <v>63.7</v>
      </c>
      <c r="AS23" s="1273"/>
      <c r="AT23" s="359">
        <f t="shared" si="17"/>
        <v>12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2</v>
      </c>
      <c r="BA23" s="69">
        <f>+V44</f>
        <v>16</v>
      </c>
      <c r="BB23" s="69">
        <f>+AF44</f>
        <v>0</v>
      </c>
      <c r="BC23" s="54"/>
      <c r="BD23" s="339">
        <f>+I83</f>
        <v>3.5416625000000002</v>
      </c>
      <c r="BE23" s="351">
        <f>+BD23*AP23</f>
        <v>63.749925000000005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921.96142857142843</v>
      </c>
      <c r="BF25" s="1242">
        <f>SUM(BF11:BF24)</f>
        <v>324.82159999999999</v>
      </c>
    </row>
    <row r="26" spans="1:58" ht="10.9" customHeight="1">
      <c r="B26" s="1244" t="s">
        <v>1</v>
      </c>
      <c r="C26" s="1140">
        <f>1+AG5</f>
        <v>43220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371">
        <f>1+C26</f>
        <v>43221</v>
      </c>
      <c r="N26" s="1372"/>
      <c r="O26" s="1372"/>
      <c r="P26" s="1372"/>
      <c r="Q26" s="1372"/>
      <c r="R26" s="1372"/>
      <c r="S26" s="1372"/>
      <c r="T26" s="1373"/>
      <c r="U26" s="1251" t="s">
        <v>125</v>
      </c>
      <c r="V26" s="1252"/>
      <c r="W26" s="1140">
        <f>1+M26</f>
        <v>43222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43216</v>
      </c>
      <c r="AJ26" s="1218">
        <f t="shared" ref="AJ26:AO26" si="29">1+AI26</f>
        <v>43217</v>
      </c>
      <c r="AK26" s="1218">
        <f t="shared" si="29"/>
        <v>43218</v>
      </c>
      <c r="AL26" s="1219">
        <f t="shared" si="29"/>
        <v>43219</v>
      </c>
      <c r="AM26" s="1219">
        <f t="shared" si="29"/>
        <v>43220</v>
      </c>
      <c r="AN26" s="1220">
        <f t="shared" si="29"/>
        <v>43221</v>
      </c>
      <c r="AO26" s="1220">
        <f t="shared" si="29"/>
        <v>43222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43219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374"/>
      <c r="N27" s="1375"/>
      <c r="O27" s="1375"/>
      <c r="P27" s="1375"/>
      <c r="Q27" s="1375"/>
      <c r="R27" s="1375"/>
      <c r="S27" s="1375"/>
      <c r="T27" s="1376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214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142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-8</v>
      </c>
      <c r="V32" s="20">
        <f>IF(M32&gt;0,(P32+S32)+IF(U$26&gt;0,P32,-8),0)+IF(AE$26&gt;0,S32,0)</f>
        <v>16</v>
      </c>
      <c r="W32" s="369">
        <v>7</v>
      </c>
      <c r="X32" s="370">
        <v>16</v>
      </c>
      <c r="Y32" s="108">
        <v>1</v>
      </c>
      <c r="Z32" s="109">
        <f t="shared" ref="Z32:Z45" si="37">+X32-W32-Y32</f>
        <v>8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8</v>
      </c>
      <c r="AF32" s="111">
        <f t="shared" ref="AF32:AF45" si="40">IF(W32&gt;0,(Z32+AC32)+IF(AE$26&gt;0,0+Z32,-8),0)</f>
        <v>0</v>
      </c>
      <c r="AG32" s="55"/>
      <c r="AH32" s="112">
        <v>0</v>
      </c>
      <c r="AI32" s="113">
        <f t="shared" ref="AI32:AI45" si="41">+K11+(IF(ISBLANK($K$5),-8,0))</f>
        <v>0</v>
      </c>
      <c r="AJ32" s="113">
        <f t="shared" ref="AJ32:AJ45" si="42">IF(ISBLANK($U$5),-8,0)+U11</f>
        <v>0</v>
      </c>
      <c r="AK32" s="113">
        <f>IF(ISBLANK($AE$5),-8,0)+AE11</f>
        <v>0</v>
      </c>
      <c r="AL32" s="113">
        <f t="shared" ref="AL32:AL45" si="43">IF(ISBLANK($AO$5),-8,0)+AO11+AW32</f>
        <v>0</v>
      </c>
      <c r="AM32" s="113">
        <f t="shared" ref="AM32:AM45" si="44">IF(ISBLANK($K$26),-8,0)+K32</f>
        <v>0</v>
      </c>
      <c r="AN32" s="113">
        <f t="shared" ref="AN32:AN45" si="45">IF(ISBLANK($U$26),-8,0)+U32</f>
        <v>-8</v>
      </c>
      <c r="AO32" s="113">
        <f t="shared" ref="AO32:AO45" si="46">IF(ISBLANK($AE$26),-8,0)+AE32</f>
        <v>0</v>
      </c>
      <c r="AP32" s="114">
        <f t="shared" ref="AP32:AP45" si="47">SUM(AH32:AO32)</f>
        <v>-8</v>
      </c>
      <c r="AQ32" s="55"/>
      <c r="AR32" s="1159">
        <f t="shared" ref="AR32:AR40" si="48">+X71*Q71</f>
        <v>0</v>
      </c>
      <c r="AS32" s="1197"/>
      <c r="AT32" s="117">
        <f t="shared" ref="AT32:AT41" si="49">IF(K11+L11&gt;0,1,0)+IF(U11+V11&gt;0,1,0)+IF(AE11+AF11&gt;0,1,0)+IF(AO11&gt;3,1,0)+IF(K32+L32&gt;0,1,0)+IF(U32+V32&gt;0,1,0)+IF(AE32+AF32&gt;0,1,0)</f>
        <v>6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18</v>
      </c>
      <c r="E33" s="30">
        <v>1</v>
      </c>
      <c r="F33" s="31">
        <f t="shared" si="31"/>
        <v>10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2</v>
      </c>
      <c r="M33" s="342">
        <v>7</v>
      </c>
      <c r="N33" s="342">
        <v>16</v>
      </c>
      <c r="O33" s="30">
        <v>1</v>
      </c>
      <c r="P33" s="31">
        <f t="shared" si="34"/>
        <v>8</v>
      </c>
      <c r="Q33" s="346"/>
      <c r="R33" s="346"/>
      <c r="S33" s="31">
        <f t="shared" si="35"/>
        <v>0</v>
      </c>
      <c r="T33" s="30"/>
      <c r="U33" s="32">
        <f t="shared" si="36"/>
        <v>-8</v>
      </c>
      <c r="V33" s="20">
        <f>IF(M33&gt;0,(P33+S33)+IF(U$26&gt;0,P33,-8),0)+IF(AE$26&gt;0,S33,0)</f>
        <v>16</v>
      </c>
      <c r="W33" s="334">
        <v>7</v>
      </c>
      <c r="X33" s="342">
        <v>18</v>
      </c>
      <c r="Y33" s="30">
        <v>1</v>
      </c>
      <c r="Z33" s="31">
        <f t="shared" si="37"/>
        <v>10</v>
      </c>
      <c r="AA33" s="342"/>
      <c r="AB33" s="346"/>
      <c r="AC33" s="31">
        <f t="shared" si="38"/>
        <v>0</v>
      </c>
      <c r="AD33" s="30"/>
      <c r="AE33" s="32">
        <f t="shared" si="39"/>
        <v>8</v>
      </c>
      <c r="AF33" s="20">
        <f t="shared" si="40"/>
        <v>2</v>
      </c>
      <c r="AG33" s="55"/>
      <c r="AH33" s="112">
        <v>0</v>
      </c>
      <c r="AI33" s="113">
        <f t="shared" si="41"/>
        <v>0</v>
      </c>
      <c r="AJ33" s="113">
        <f t="shared" si="42"/>
        <v>0</v>
      </c>
      <c r="AK33" s="113">
        <f>IF(ISBLANK($AE$5),-8,0)+AE12</f>
        <v>0</v>
      </c>
      <c r="AL33" s="113">
        <f t="shared" si="43"/>
        <v>0</v>
      </c>
      <c r="AM33" s="113">
        <f t="shared" si="44"/>
        <v>0</v>
      </c>
      <c r="AN33" s="113">
        <f t="shared" si="45"/>
        <v>-8</v>
      </c>
      <c r="AO33" s="113">
        <f t="shared" si="46"/>
        <v>0</v>
      </c>
      <c r="AP33" s="114">
        <f t="shared" si="47"/>
        <v>-8</v>
      </c>
      <c r="AQ33" s="55"/>
      <c r="AR33" s="1159">
        <f t="shared" si="48"/>
        <v>1.557142857142864</v>
      </c>
      <c r="AS33" s="1160"/>
      <c r="AT33" s="117">
        <f t="shared" si="49"/>
        <v>7</v>
      </c>
      <c r="AU33" s="55"/>
      <c r="AV33" s="55"/>
      <c r="AW33" s="1134">
        <v>-20</v>
      </c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16</v>
      </c>
      <c r="E34" s="30">
        <v>1</v>
      </c>
      <c r="F34" s="31">
        <f t="shared" si="31"/>
        <v>8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0">IF(C34&gt;0,(F34+I34)+IF(K$26&gt;0,F34,-8),0)+IF(U$26&gt;0,I34,0)</f>
        <v>0</v>
      </c>
      <c r="M34" s="334"/>
      <c r="N34" s="342"/>
      <c r="O34" s="30"/>
      <c r="P34" s="31">
        <f t="shared" si="34"/>
        <v>0</v>
      </c>
      <c r="Q34" s="106"/>
      <c r="R34" s="106"/>
      <c r="S34" s="31">
        <f t="shared" si="35"/>
        <v>0</v>
      </c>
      <c r="T34" s="30"/>
      <c r="U34" s="32">
        <f t="shared" si="36"/>
        <v>0</v>
      </c>
      <c r="V34" s="20">
        <f t="shared" ref="V34:V45" si="51">IF(M34&gt;0,(P34+S34)+IF(U$26&gt;0,P34,-8),0)+IF(AE$26&gt;0,S34,0)</f>
        <v>0</v>
      </c>
      <c r="W34" s="334">
        <v>7</v>
      </c>
      <c r="X34" s="342">
        <v>18</v>
      </c>
      <c r="Y34" s="30">
        <v>1</v>
      </c>
      <c r="Z34" s="31">
        <f t="shared" si="37"/>
        <v>10</v>
      </c>
      <c r="AA34" s="342"/>
      <c r="AB34" s="116"/>
      <c r="AC34" s="31">
        <f t="shared" si="38"/>
        <v>0</v>
      </c>
      <c r="AD34" s="30"/>
      <c r="AE34" s="32">
        <f t="shared" si="39"/>
        <v>8</v>
      </c>
      <c r="AF34" s="20">
        <f t="shared" si="40"/>
        <v>2</v>
      </c>
      <c r="AG34" s="55"/>
      <c r="AH34" s="112">
        <v>0</v>
      </c>
      <c r="AI34" s="113">
        <f t="shared" si="41"/>
        <v>0</v>
      </c>
      <c r="AJ34" s="113">
        <f t="shared" si="42"/>
        <v>0</v>
      </c>
      <c r="AK34" s="113">
        <f>IF(ISBLANK($AE$5),-8,0)+AE13</f>
        <v>0</v>
      </c>
      <c r="AL34" s="113">
        <f t="shared" si="43"/>
        <v>0</v>
      </c>
      <c r="AM34" s="113">
        <f t="shared" si="44"/>
        <v>0</v>
      </c>
      <c r="AN34" s="113">
        <f t="shared" si="45"/>
        <v>0</v>
      </c>
      <c r="AO34" s="113">
        <f t="shared" si="46"/>
        <v>0</v>
      </c>
      <c r="AP34" s="114">
        <f t="shared" si="47"/>
        <v>0</v>
      </c>
      <c r="AQ34" s="55"/>
      <c r="AR34" s="1159">
        <f t="shared" si="48"/>
        <v>0</v>
      </c>
      <c r="AS34" s="1160"/>
      <c r="AT34" s="118">
        <f t="shared" si="49"/>
        <v>6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18</v>
      </c>
      <c r="E35" s="119">
        <v>1</v>
      </c>
      <c r="F35" s="120">
        <f t="shared" si="31"/>
        <v>10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2</v>
      </c>
      <c r="M35" s="342"/>
      <c r="N35" s="342"/>
      <c r="O35" s="30"/>
      <c r="P35" s="31">
        <f t="shared" si="34"/>
        <v>0</v>
      </c>
      <c r="Q35" s="346"/>
      <c r="R35" s="346"/>
      <c r="S35" s="120">
        <f t="shared" si="35"/>
        <v>0</v>
      </c>
      <c r="T35" s="30"/>
      <c r="U35" s="32">
        <f t="shared" si="36"/>
        <v>0</v>
      </c>
      <c r="V35" s="20">
        <f t="shared" si="51"/>
        <v>0</v>
      </c>
      <c r="W35" s="334">
        <v>7</v>
      </c>
      <c r="X35" s="342">
        <v>18</v>
      </c>
      <c r="Y35" s="30">
        <v>1</v>
      </c>
      <c r="Z35" s="31">
        <f t="shared" si="37"/>
        <v>10</v>
      </c>
      <c r="AA35" s="342"/>
      <c r="AB35" s="342"/>
      <c r="AC35" s="31">
        <f t="shared" si="38"/>
        <v>0</v>
      </c>
      <c r="AD35" s="30"/>
      <c r="AE35" s="32">
        <f t="shared" si="39"/>
        <v>8</v>
      </c>
      <c r="AF35" s="20">
        <f t="shared" si="40"/>
        <v>2</v>
      </c>
      <c r="AG35" s="55"/>
      <c r="AH35" s="112">
        <v>0</v>
      </c>
      <c r="AI35" s="113">
        <f t="shared" si="41"/>
        <v>0</v>
      </c>
      <c r="AJ35" s="113">
        <f t="shared" si="42"/>
        <v>0</v>
      </c>
      <c r="AK35" s="113">
        <f>IF(ISBLANK($AE$5),-8,0)+AE14</f>
        <v>0</v>
      </c>
      <c r="AL35" s="113">
        <f t="shared" si="43"/>
        <v>0</v>
      </c>
      <c r="AM35" s="113">
        <f t="shared" si="44"/>
        <v>0</v>
      </c>
      <c r="AN35" s="113">
        <f t="shared" si="45"/>
        <v>0</v>
      </c>
      <c r="AO35" s="113">
        <f t="shared" si="46"/>
        <v>0</v>
      </c>
      <c r="AP35" s="114">
        <f t="shared" si="47"/>
        <v>0</v>
      </c>
      <c r="AQ35" s="55"/>
      <c r="AR35" s="1159">
        <f t="shared" si="48"/>
        <v>17.033142857142863</v>
      </c>
      <c r="AS35" s="1160"/>
      <c r="AT35" s="118">
        <f t="shared" si="49"/>
        <v>6</v>
      </c>
      <c r="AU35" s="55"/>
      <c r="AV35" s="55"/>
      <c r="AW35" s="1195">
        <v>-20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16</v>
      </c>
      <c r="E36" s="30">
        <v>1</v>
      </c>
      <c r="F36" s="31">
        <f t="shared" si="31"/>
        <v>7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-1</v>
      </c>
      <c r="M36" s="342"/>
      <c r="N36" s="342"/>
      <c r="O36" s="30"/>
      <c r="P36" s="31">
        <f t="shared" si="34"/>
        <v>0</v>
      </c>
      <c r="Q36" s="106"/>
      <c r="R36" s="106"/>
      <c r="S36" s="31">
        <f t="shared" si="35"/>
        <v>0</v>
      </c>
      <c r="T36" s="30"/>
      <c r="U36" s="32">
        <f t="shared" si="36"/>
        <v>0</v>
      </c>
      <c r="V36" s="20">
        <f t="shared" si="51"/>
        <v>0</v>
      </c>
      <c r="W36" s="334">
        <v>8</v>
      </c>
      <c r="X36" s="342">
        <v>18</v>
      </c>
      <c r="Y36" s="30">
        <v>1</v>
      </c>
      <c r="Z36" s="31">
        <f t="shared" si="37"/>
        <v>9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0"/>
        <v>1</v>
      </c>
      <c r="AG36" s="55"/>
      <c r="AH36" s="112">
        <v>0</v>
      </c>
      <c r="AI36" s="113">
        <f t="shared" si="41"/>
        <v>0</v>
      </c>
      <c r="AJ36" s="113">
        <f t="shared" si="42"/>
        <v>0</v>
      </c>
      <c r="AK36" s="113">
        <f>IF(ISBLANK($AE$5),-8,0)+AE15</f>
        <v>0</v>
      </c>
      <c r="AL36" s="113">
        <f t="shared" si="43"/>
        <v>0</v>
      </c>
      <c r="AM36" s="113">
        <f t="shared" si="44"/>
        <v>0</v>
      </c>
      <c r="AN36" s="113">
        <f t="shared" si="45"/>
        <v>0</v>
      </c>
      <c r="AO36" s="113">
        <f t="shared" si="46"/>
        <v>0</v>
      </c>
      <c r="AP36" s="114">
        <f t="shared" si="47"/>
        <v>0</v>
      </c>
      <c r="AQ36" s="55"/>
      <c r="AR36" s="1159">
        <f t="shared" si="48"/>
        <v>0</v>
      </c>
      <c r="AS36" s="1160"/>
      <c r="AT36" s="118">
        <f t="shared" si="49"/>
        <v>5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/>
      <c r="D37" s="342"/>
      <c r="E37" s="30"/>
      <c r="F37" s="31">
        <f>+D37-C37-E37</f>
        <v>0</v>
      </c>
      <c r="G37" s="33"/>
      <c r="H37" s="346"/>
      <c r="I37" s="31">
        <f>+H37-G37</f>
        <v>0</v>
      </c>
      <c r="J37" s="30"/>
      <c r="K37" s="32">
        <f>+I37+F37-L37</f>
        <v>0</v>
      </c>
      <c r="L37" s="20">
        <f t="shared" si="50"/>
        <v>0</v>
      </c>
      <c r="M37" s="342"/>
      <c r="N37" s="342"/>
      <c r="O37" s="30"/>
      <c r="P37" s="31">
        <f>+N37-M37-O37</f>
        <v>0</v>
      </c>
      <c r="Q37" s="106"/>
      <c r="R37" s="106"/>
      <c r="S37" s="31">
        <f>+R37-Q37</f>
        <v>0</v>
      </c>
      <c r="T37" s="30"/>
      <c r="U37" s="32">
        <f>+S37+P37-V37</f>
        <v>0</v>
      </c>
      <c r="V37" s="20">
        <f t="shared" si="51"/>
        <v>0</v>
      </c>
      <c r="W37" s="334"/>
      <c r="X37" s="342"/>
      <c r="Y37" s="30"/>
      <c r="Z37" s="31">
        <f>+X37-W37-Y37</f>
        <v>0</v>
      </c>
      <c r="AA37" s="342"/>
      <c r="AB37" s="342"/>
      <c r="AC37" s="31">
        <f>+AB37-AA37</f>
        <v>0</v>
      </c>
      <c r="AD37" s="30"/>
      <c r="AE37" s="32">
        <f>+AC37+Z37-AF37</f>
        <v>0</v>
      </c>
      <c r="AF37" s="20">
        <f t="shared" si="40"/>
        <v>0</v>
      </c>
      <c r="AG37" s="55"/>
      <c r="AH37" s="112">
        <v>0</v>
      </c>
      <c r="AI37" s="113">
        <f t="shared" si="41"/>
        <v>-8</v>
      </c>
      <c r="AJ37" s="113">
        <f t="shared" si="42"/>
        <v>-8</v>
      </c>
      <c r="AK37" s="124">
        <f>IF(ISBLANK($AE$5),-5,0)+AE16</f>
        <v>-5</v>
      </c>
      <c r="AL37" s="113">
        <f t="shared" si="43"/>
        <v>0</v>
      </c>
      <c r="AM37" s="125">
        <f>IF(ISBLANK($K$26),-8,0)+K37</f>
        <v>-8</v>
      </c>
      <c r="AN37" s="125">
        <f>IF(ISBLANK($U$26),-8,0)+U37</f>
        <v>0</v>
      </c>
      <c r="AO37" s="125">
        <f>IF(ISBLANK($AE$26),-8,0)+AE37</f>
        <v>-8</v>
      </c>
      <c r="AP37" s="114">
        <f>SUM(AH37:AO37)</f>
        <v>-37</v>
      </c>
      <c r="AQ37" s="55"/>
      <c r="AR37" s="1159">
        <f t="shared" si="48"/>
        <v>0</v>
      </c>
      <c r="AS37" s="1160"/>
      <c r="AT37" s="118">
        <f t="shared" si="49"/>
        <v>0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0"/>
        <v>0</v>
      </c>
      <c r="AG38" s="55"/>
      <c r="AH38" s="112">
        <v>0</v>
      </c>
      <c r="AI38" s="113">
        <f t="shared" si="41"/>
        <v>-8</v>
      </c>
      <c r="AJ38" s="113">
        <f t="shared" si="42"/>
        <v>-8</v>
      </c>
      <c r="AK38" s="113">
        <f t="shared" ref="AK38:AK45" si="52">IF(ISBLANK($AE$5),-8,0)+AE17</f>
        <v>-8</v>
      </c>
      <c r="AL38" s="113">
        <f t="shared" si="43"/>
        <v>0</v>
      </c>
      <c r="AM38" s="113">
        <f t="shared" si="44"/>
        <v>-8</v>
      </c>
      <c r="AN38" s="113">
        <f t="shared" si="45"/>
        <v>0</v>
      </c>
      <c r="AO38" s="113">
        <f t="shared" si="46"/>
        <v>-8</v>
      </c>
      <c r="AP38" s="114">
        <f t="shared" si="47"/>
        <v>-40</v>
      </c>
      <c r="AQ38" s="55"/>
      <c r="AR38" s="1159">
        <f t="shared" si="48"/>
        <v>0</v>
      </c>
      <c r="AS38" s="1160"/>
      <c r="AT38" s="118">
        <f t="shared" si="49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2</v>
      </c>
      <c r="M39" s="342">
        <v>7</v>
      </c>
      <c r="N39" s="342">
        <v>16</v>
      </c>
      <c r="O39" s="30">
        <v>1</v>
      </c>
      <c r="P39" s="31">
        <f t="shared" si="34"/>
        <v>8</v>
      </c>
      <c r="Q39" s="346"/>
      <c r="R39" s="346"/>
      <c r="S39" s="31">
        <f t="shared" si="35"/>
        <v>0</v>
      </c>
      <c r="T39" s="30"/>
      <c r="U39" s="32">
        <f t="shared" si="36"/>
        <v>-8</v>
      </c>
      <c r="V39" s="20">
        <f t="shared" si="51"/>
        <v>16</v>
      </c>
      <c r="W39" s="334">
        <v>7</v>
      </c>
      <c r="X39" s="342">
        <v>18</v>
      </c>
      <c r="Y39" s="30">
        <v>1</v>
      </c>
      <c r="Z39" s="31">
        <f t="shared" si="37"/>
        <v>10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0"/>
        <v>2</v>
      </c>
      <c r="AG39" s="55"/>
      <c r="AH39" s="112">
        <v>0</v>
      </c>
      <c r="AI39" s="113">
        <f t="shared" si="41"/>
        <v>0</v>
      </c>
      <c r="AJ39" s="113">
        <f t="shared" si="42"/>
        <v>0</v>
      </c>
      <c r="AK39" s="113">
        <f t="shared" si="52"/>
        <v>0</v>
      </c>
      <c r="AL39" s="113">
        <f t="shared" si="43"/>
        <v>0</v>
      </c>
      <c r="AM39" s="125">
        <f t="shared" si="44"/>
        <v>0</v>
      </c>
      <c r="AN39" s="125">
        <f t="shared" si="45"/>
        <v>-8</v>
      </c>
      <c r="AO39" s="125">
        <f t="shared" si="46"/>
        <v>0</v>
      </c>
      <c r="AP39" s="114">
        <f t="shared" si="47"/>
        <v>-8</v>
      </c>
      <c r="AQ39" s="55"/>
      <c r="AR39" s="1159">
        <f t="shared" si="48"/>
        <v>0</v>
      </c>
      <c r="AS39" s="1160"/>
      <c r="AT39" s="118">
        <f t="shared" si="49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0"/>
        <v>0</v>
      </c>
      <c r="AG40" s="126"/>
      <c r="AH40" s="127">
        <v>0</v>
      </c>
      <c r="AI40" s="113">
        <f t="shared" si="41"/>
        <v>-8</v>
      </c>
      <c r="AJ40" s="113">
        <f t="shared" si="42"/>
        <v>-8</v>
      </c>
      <c r="AK40" s="128">
        <f t="shared" si="52"/>
        <v>-8</v>
      </c>
      <c r="AL40" s="113">
        <f t="shared" si="43"/>
        <v>0</v>
      </c>
      <c r="AM40" s="113">
        <f t="shared" si="44"/>
        <v>-8</v>
      </c>
      <c r="AN40" s="113">
        <f t="shared" si="45"/>
        <v>0</v>
      </c>
      <c r="AO40" s="113">
        <f t="shared" si="46"/>
        <v>-8</v>
      </c>
      <c r="AP40" s="114">
        <f t="shared" si="47"/>
        <v>-40</v>
      </c>
      <c r="AQ40" s="55"/>
      <c r="AR40" s="1159">
        <f t="shared" si="48"/>
        <v>0</v>
      </c>
      <c r="AS40" s="1160"/>
      <c r="AT40" s="118">
        <f t="shared" si="49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0"/>
        <v>0</v>
      </c>
      <c r="AG41" s="514"/>
      <c r="AH41" s="529">
        <v>0</v>
      </c>
      <c r="AI41" s="530">
        <f t="shared" si="41"/>
        <v>-8</v>
      </c>
      <c r="AJ41" s="530">
        <f t="shared" si="42"/>
        <v>-8</v>
      </c>
      <c r="AK41" s="530">
        <f t="shared" si="52"/>
        <v>-8</v>
      </c>
      <c r="AL41" s="530">
        <f t="shared" si="43"/>
        <v>0</v>
      </c>
      <c r="AM41" s="530">
        <f t="shared" si="44"/>
        <v>-8</v>
      </c>
      <c r="AN41" s="530">
        <f t="shared" si="45"/>
        <v>0</v>
      </c>
      <c r="AO41" s="530">
        <f t="shared" si="46"/>
        <v>-8</v>
      </c>
      <c r="AP41" s="531">
        <f t="shared" si="47"/>
        <v>-40</v>
      </c>
      <c r="AQ41" s="55"/>
      <c r="AR41" s="1191"/>
      <c r="AS41" s="1192"/>
      <c r="AT41" s="532">
        <f t="shared" si="49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 xml:space="preserve">  -  .  -  </v>
      </c>
      <c r="C42" s="516"/>
      <c r="D42" s="516"/>
      <c r="E42" s="516"/>
      <c r="F42" s="517">
        <f t="shared" si="31"/>
        <v>0</v>
      </c>
      <c r="G42" s="516"/>
      <c r="H42" s="516"/>
      <c r="I42" s="517">
        <f t="shared" si="32"/>
        <v>0</v>
      </c>
      <c r="J42" s="516"/>
      <c r="K42" s="517">
        <f t="shared" si="33"/>
        <v>0</v>
      </c>
      <c r="L42" s="518">
        <f t="shared" si="50"/>
        <v>0</v>
      </c>
      <c r="M42" s="516"/>
      <c r="N42" s="516"/>
      <c r="O42" s="516"/>
      <c r="P42" s="517">
        <f t="shared" si="34"/>
        <v>0</v>
      </c>
      <c r="Q42" s="519"/>
      <c r="R42" s="519"/>
      <c r="S42" s="517">
        <f t="shared" si="35"/>
        <v>0</v>
      </c>
      <c r="T42" s="516"/>
      <c r="U42" s="517">
        <f t="shared" si="36"/>
        <v>0</v>
      </c>
      <c r="V42" s="518">
        <f t="shared" si="51"/>
        <v>0</v>
      </c>
      <c r="W42" s="520"/>
      <c r="X42" s="516"/>
      <c r="Y42" s="516"/>
      <c r="Z42" s="517">
        <f t="shared" si="37"/>
        <v>0</v>
      </c>
      <c r="AA42" s="516"/>
      <c r="AB42" s="516"/>
      <c r="AC42" s="517">
        <f t="shared" si="38"/>
        <v>0</v>
      </c>
      <c r="AD42" s="516"/>
      <c r="AE42" s="517">
        <f t="shared" si="39"/>
        <v>0</v>
      </c>
      <c r="AF42" s="518">
        <f t="shared" si="40"/>
        <v>0</v>
      </c>
      <c r="AG42" s="55"/>
      <c r="AH42" s="490">
        <v>0</v>
      </c>
      <c r="AI42" s="527">
        <f t="shared" si="41"/>
        <v>-8</v>
      </c>
      <c r="AJ42" s="527">
        <f t="shared" si="42"/>
        <v>-8</v>
      </c>
      <c r="AK42" s="527">
        <f t="shared" si="52"/>
        <v>-8</v>
      </c>
      <c r="AL42" s="527">
        <f t="shared" si="43"/>
        <v>0</v>
      </c>
      <c r="AM42" s="527">
        <f t="shared" si="44"/>
        <v>-8</v>
      </c>
      <c r="AN42" s="527">
        <f t="shared" si="45"/>
        <v>0</v>
      </c>
      <c r="AO42" s="527">
        <f t="shared" si="46"/>
        <v>-8</v>
      </c>
      <c r="AP42" s="492">
        <f t="shared" si="47"/>
        <v>-40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0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18</v>
      </c>
      <c r="E43" s="459">
        <v>1</v>
      </c>
      <c r="F43" s="460">
        <f t="shared" si="31"/>
        <v>10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0"/>
        <v>2</v>
      </c>
      <c r="M43" s="459">
        <v>7</v>
      </c>
      <c r="N43" s="459">
        <v>16</v>
      </c>
      <c r="O43" s="459">
        <v>1</v>
      </c>
      <c r="P43" s="460">
        <f t="shared" si="34"/>
        <v>8</v>
      </c>
      <c r="Q43" s="489"/>
      <c r="R43" s="489"/>
      <c r="S43" s="460">
        <f t="shared" si="35"/>
        <v>0</v>
      </c>
      <c r="T43" s="459"/>
      <c r="U43" s="460">
        <f t="shared" si="36"/>
        <v>-8</v>
      </c>
      <c r="V43" s="461">
        <f t="shared" si="51"/>
        <v>16</v>
      </c>
      <c r="W43" s="334">
        <v>7</v>
      </c>
      <c r="X43" s="342">
        <v>18</v>
      </c>
      <c r="Y43" s="30">
        <v>1</v>
      </c>
      <c r="Z43" s="31">
        <f t="shared" si="37"/>
        <v>10</v>
      </c>
      <c r="AA43" s="342"/>
      <c r="AB43" s="342"/>
      <c r="AC43" s="44">
        <f t="shared" si="38"/>
        <v>0</v>
      </c>
      <c r="AD43" s="30"/>
      <c r="AE43" s="32">
        <f t="shared" si="39"/>
        <v>8</v>
      </c>
      <c r="AF43" s="20">
        <f t="shared" si="40"/>
        <v>2</v>
      </c>
      <c r="AG43" s="55"/>
      <c r="AH43" s="143">
        <v>0</v>
      </c>
      <c r="AI43" s="144">
        <f t="shared" si="41"/>
        <v>0</v>
      </c>
      <c r="AJ43" s="144">
        <f t="shared" si="42"/>
        <v>0</v>
      </c>
      <c r="AK43" s="144">
        <f t="shared" si="52"/>
        <v>0</v>
      </c>
      <c r="AL43" s="113">
        <f t="shared" si="43"/>
        <v>0</v>
      </c>
      <c r="AM43" s="144">
        <f t="shared" si="44"/>
        <v>0</v>
      </c>
      <c r="AN43" s="144">
        <f t="shared" si="45"/>
        <v>-8</v>
      </c>
      <c r="AO43" s="144">
        <f t="shared" si="46"/>
        <v>0</v>
      </c>
      <c r="AP43" s="145">
        <f t="shared" si="47"/>
        <v>-8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-16</v>
      </c>
      <c r="AX43" s="1186"/>
    </row>
    <row r="44" spans="1:56" ht="14.1" customHeight="1">
      <c r="B44" s="513" t="str">
        <f t="shared" si="30"/>
        <v>Rafael Armas R.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717">
        <f t="shared" si="33"/>
        <v>8</v>
      </c>
      <c r="L44" s="718">
        <f t="shared" si="50"/>
        <v>2</v>
      </c>
      <c r="M44" s="719">
        <v>7</v>
      </c>
      <c r="N44" s="719">
        <v>16</v>
      </c>
      <c r="O44" s="719">
        <v>1</v>
      </c>
      <c r="P44" s="720">
        <f t="shared" si="34"/>
        <v>8</v>
      </c>
      <c r="Q44" s="721"/>
      <c r="R44" s="721"/>
      <c r="S44" s="720">
        <f t="shared" si="35"/>
        <v>0</v>
      </c>
      <c r="T44" s="719"/>
      <c r="U44" s="720">
        <f t="shared" si="36"/>
        <v>-8</v>
      </c>
      <c r="V44" s="722">
        <f t="shared" si="51"/>
        <v>16</v>
      </c>
      <c r="W44" s="723">
        <v>8</v>
      </c>
      <c r="X44" s="719">
        <v>17</v>
      </c>
      <c r="Y44" s="719">
        <v>1</v>
      </c>
      <c r="Z44" s="720">
        <f t="shared" si="37"/>
        <v>8</v>
      </c>
      <c r="AA44" s="719"/>
      <c r="AB44" s="724"/>
      <c r="AC44" s="720">
        <f t="shared" si="38"/>
        <v>0</v>
      </c>
      <c r="AD44" s="719"/>
      <c r="AE44" s="720">
        <f t="shared" si="39"/>
        <v>8</v>
      </c>
      <c r="AF44" s="722">
        <f t="shared" si="40"/>
        <v>0</v>
      </c>
      <c r="AG44" s="55"/>
      <c r="AH44" s="127">
        <v>0</v>
      </c>
      <c r="AI44" s="113">
        <f t="shared" si="41"/>
        <v>-8</v>
      </c>
      <c r="AJ44" s="113">
        <f t="shared" si="42"/>
        <v>-8</v>
      </c>
      <c r="AK44" s="128">
        <f t="shared" si="52"/>
        <v>-8</v>
      </c>
      <c r="AL44" s="113">
        <f t="shared" si="43"/>
        <v>0</v>
      </c>
      <c r="AM44" s="113">
        <f t="shared" si="44"/>
        <v>0</v>
      </c>
      <c r="AN44" s="113">
        <f t="shared" si="45"/>
        <v>-8</v>
      </c>
      <c r="AO44" s="113">
        <f t="shared" si="46"/>
        <v>0</v>
      </c>
      <c r="AP44" s="114">
        <f t="shared" si="47"/>
        <v>-32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3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0"/>
        <v>0</v>
      </c>
      <c r="AG45" s="55"/>
      <c r="AH45" s="112">
        <v>0</v>
      </c>
      <c r="AI45" s="113">
        <f t="shared" si="41"/>
        <v>-8</v>
      </c>
      <c r="AJ45" s="113">
        <f t="shared" si="42"/>
        <v>-8</v>
      </c>
      <c r="AK45" s="113">
        <f t="shared" si="52"/>
        <v>-8</v>
      </c>
      <c r="AL45" s="113">
        <f t="shared" si="43"/>
        <v>0</v>
      </c>
      <c r="AM45" s="113">
        <f t="shared" si="44"/>
        <v>-8</v>
      </c>
      <c r="AN45" s="113">
        <f t="shared" si="45"/>
        <v>0</v>
      </c>
      <c r="AO45" s="113">
        <f t="shared" si="46"/>
        <v>-8</v>
      </c>
      <c r="AP45" s="114">
        <f t="shared" si="47"/>
        <v>-40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214</v>
      </c>
      <c r="AS46" s="1162"/>
      <c r="AT46" s="167">
        <f>SUM(AT32:AT45)</f>
        <v>46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72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43216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43217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43218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43219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8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43220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43221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43222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2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-101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702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702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702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702"/>
      <c r="AB68" s="702"/>
      <c r="AC68" s="702"/>
      <c r="AD68" s="702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702"/>
      <c r="AB69" s="702"/>
      <c r="AC69" s="702"/>
      <c r="AD69" s="702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702"/>
      <c r="AB70" s="702"/>
      <c r="AC70" s="702"/>
      <c r="AD70" s="702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5" si="56">+I71/6*7</f>
        <v>5.3041666666666654</v>
      </c>
      <c r="O71" s="1020"/>
      <c r="P71" s="5"/>
      <c r="Q71" s="1056">
        <f t="shared" ref="Q71:Q85" si="57">+$I$69-I71</f>
        <v>0.68482142857142936</v>
      </c>
      <c r="R71" s="1057"/>
      <c r="U71" s="238">
        <f t="shared" ref="U71:U77" si="58">+AE32+U32+K32+AO11+AE11+U11+K11</f>
        <v>32</v>
      </c>
      <c r="V71" s="239">
        <v>48</v>
      </c>
      <c r="W71" s="240">
        <f t="shared" ref="W71:W85" si="59">+V71-U71</f>
        <v>16</v>
      </c>
      <c r="X71" s="241">
        <f t="shared" ref="X71:X83" si="60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52</v>
      </c>
      <c r="V72" s="239">
        <v>48</v>
      </c>
      <c r="W72" s="240">
        <f t="shared" si="59"/>
        <v>-4</v>
      </c>
      <c r="X72" s="241">
        <f t="shared" si="60"/>
        <v>16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56</v>
      </c>
      <c r="V73" s="239">
        <v>48</v>
      </c>
      <c r="W73" s="240">
        <f t="shared" si="59"/>
        <v>-8</v>
      </c>
      <c r="X73" s="241">
        <f t="shared" si="60"/>
        <v>0</v>
      </c>
      <c r="Z73" s="389"/>
      <c r="AA73" s="699"/>
      <c r="AB73" s="699"/>
      <c r="AC73" s="699"/>
      <c r="AD73" s="699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60</v>
      </c>
      <c r="V74" s="239">
        <v>48</v>
      </c>
      <c r="W74" s="240">
        <f t="shared" si="59"/>
        <v>-12</v>
      </c>
      <c r="X74" s="241">
        <f t="shared" si="60"/>
        <v>16</v>
      </c>
      <c r="Z74" s="1045" t="s">
        <v>53</v>
      </c>
      <c r="AA74" s="1045"/>
      <c r="AB74" s="1045"/>
      <c r="AC74" s="1045"/>
      <c r="AD74" s="389" t="s">
        <v>54</v>
      </c>
      <c r="AE74" s="699"/>
      <c r="AF74" s="386"/>
      <c r="AG74" s="700"/>
      <c r="AH74" s="700"/>
      <c r="AI74" s="386"/>
      <c r="AJ74" s="386"/>
      <c r="AK74" s="698"/>
      <c r="AL74" s="698"/>
      <c r="AM74" s="698"/>
      <c r="AN74" s="698"/>
      <c r="AO74" s="698"/>
      <c r="AP74" s="698"/>
      <c r="AQ74" s="698"/>
      <c r="AR74" s="698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40</v>
      </c>
      <c r="V75" s="239">
        <v>48</v>
      </c>
      <c r="W75" s="240">
        <f t="shared" si="59"/>
        <v>8</v>
      </c>
      <c r="X75" s="241">
        <f t="shared" si="60"/>
        <v>0</v>
      </c>
      <c r="Z75" s="699"/>
      <c r="AA75" s="699"/>
      <c r="AB75" s="699"/>
      <c r="AC75" s="699"/>
      <c r="AD75" s="699"/>
      <c r="AE75" s="386"/>
      <c r="AF75" s="386"/>
      <c r="AG75" s="244"/>
      <c r="AH75" s="244"/>
      <c r="AI75" s="700"/>
      <c r="AJ75" s="700"/>
      <c r="AK75" s="700"/>
      <c r="AL75" s="700"/>
      <c r="AM75" s="700"/>
      <c r="AN75" s="700"/>
      <c r="AO75" s="700"/>
      <c r="AP75" s="700"/>
      <c r="AQ75" s="700"/>
      <c r="AR75" s="700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0</v>
      </c>
      <c r="V76" s="239">
        <v>48</v>
      </c>
      <c r="W76" s="240">
        <f>+V76-U76</f>
        <v>48</v>
      </c>
      <c r="X76" s="241">
        <f t="shared" si="60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700"/>
      <c r="AN76" s="700"/>
      <c r="AO76" s="700"/>
      <c r="AP76" s="700"/>
      <c r="AQ76" s="700"/>
      <c r="AR76" s="700"/>
      <c r="AS76" s="386"/>
      <c r="AT76" s="38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699"/>
      <c r="AA77" s="699"/>
      <c r="AB77" s="699"/>
      <c r="AC77" s="699"/>
      <c r="AD77" s="699"/>
      <c r="AE77" s="386"/>
      <c r="AF77" s="386"/>
      <c r="AG77" s="700"/>
      <c r="AH77" s="700"/>
      <c r="AI77" s="393"/>
      <c r="AJ77" s="393"/>
      <c r="AK77" s="393"/>
      <c r="AL77" s="393"/>
      <c r="AM77" s="700"/>
      <c r="AN77" s="700"/>
      <c r="AO77" s="700"/>
      <c r="AP77" s="700"/>
      <c r="AQ77" s="700"/>
      <c r="AR77" s="700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3"/>
        <v>28.333328571428574</v>
      </c>
      <c r="F78" s="1049"/>
      <c r="G78" s="1050">
        <v>25.761900000000001</v>
      </c>
      <c r="H78" s="1051"/>
      <c r="I78" s="1052">
        <f t="shared" si="54"/>
        <v>3.5416660714285717</v>
      </c>
      <c r="J78" s="1058"/>
      <c r="K78" s="1059">
        <f>+E78*30</f>
        <v>849.99985714285719</v>
      </c>
      <c r="L78" s="1059"/>
      <c r="M78" s="5"/>
      <c r="N78" s="1020">
        <f t="shared" si="56"/>
        <v>4.1319437500000005</v>
      </c>
      <c r="O78" s="1020"/>
      <c r="P78" s="5"/>
      <c r="Q78" s="1056">
        <f t="shared" si="57"/>
        <v>1.6895839285714285</v>
      </c>
      <c r="R78" s="1057"/>
      <c r="S78" s="702"/>
      <c r="T78" s="702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702"/>
      <c r="Z78" s="699"/>
      <c r="AA78" s="699"/>
      <c r="AB78" s="699"/>
      <c r="AC78" s="699"/>
      <c r="AD78" s="699"/>
      <c r="AE78" s="386"/>
      <c r="AF78" s="386"/>
      <c r="AG78" s="700"/>
      <c r="AH78" s="700"/>
      <c r="AI78" s="393"/>
      <c r="AJ78" s="393"/>
      <c r="AK78" s="393"/>
      <c r="AL78" s="393"/>
      <c r="AM78" s="700"/>
      <c r="AN78" s="700"/>
      <c r="AO78" s="700"/>
      <c r="AP78" s="700"/>
      <c r="AQ78" s="700"/>
      <c r="AR78" s="700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8</v>
      </c>
      <c r="V79" s="239">
        <v>48</v>
      </c>
      <c r="W79" s="240">
        <f>+V79-U79</f>
        <v>40</v>
      </c>
      <c r="X79" s="241">
        <f t="shared" si="60"/>
        <v>0</v>
      </c>
      <c r="Z79" s="246"/>
      <c r="AA79" s="246"/>
      <c r="AB79" s="699"/>
      <c r="AC79" s="699"/>
      <c r="AD79" s="699"/>
      <c r="AE79" s="386"/>
      <c r="AF79" s="386"/>
      <c r="AG79" s="700"/>
      <c r="AH79" s="700"/>
      <c r="AI79" s="700"/>
      <c r="AJ79" s="700"/>
      <c r="AK79" s="700"/>
      <c r="AL79" s="700"/>
      <c r="AM79" s="700"/>
      <c r="AN79" s="700"/>
      <c r="AO79" s="700"/>
      <c r="AP79" s="700"/>
      <c r="AQ79" s="700"/>
      <c r="AR79" s="700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1045">
        <f>+K80/E80</f>
        <v>30</v>
      </c>
      <c r="AA80" s="1045"/>
      <c r="AB80" s="1045"/>
      <c r="AC80" s="1045"/>
      <c r="AD80" s="699"/>
      <c r="AE80" s="386"/>
      <c r="AF80" s="386"/>
      <c r="AG80" s="244"/>
      <c r="AH80" s="244"/>
      <c r="AI80" s="700"/>
      <c r="AJ80" s="700"/>
      <c r="AK80" s="700"/>
      <c r="AL80" s="700"/>
      <c r="AM80" s="700"/>
      <c r="AN80" s="700"/>
      <c r="AO80" s="700"/>
      <c r="AP80" s="700"/>
      <c r="AQ80" s="700"/>
      <c r="AR80" s="700"/>
      <c r="AS80" s="386"/>
      <c r="AT80" s="386"/>
    </row>
    <row r="81" spans="1:46" ht="16.5">
      <c r="A81" s="1">
        <v>3</v>
      </c>
      <c r="B81" s="245" t="s">
        <v>121</v>
      </c>
      <c r="C81" s="1046">
        <f>6*3+7*34.0952</f>
        <v>256.66639999999995</v>
      </c>
      <c r="D81" s="1047"/>
      <c r="E81" s="1048">
        <f t="shared" si="61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0</v>
      </c>
      <c r="V81" s="239">
        <v>48</v>
      </c>
      <c r="W81" s="240">
        <f>+V81-U81</f>
        <v>48</v>
      </c>
      <c r="X81" s="241">
        <f t="shared" si="60"/>
        <v>0</v>
      </c>
      <c r="Z81" s="252"/>
      <c r="AA81" s="394"/>
      <c r="AB81" s="389"/>
      <c r="AC81" s="699"/>
      <c r="AD81" s="699"/>
      <c r="AE81" s="386"/>
      <c r="AF81" s="386"/>
      <c r="AG81" s="700"/>
      <c r="AH81" s="700"/>
      <c r="AI81" s="393"/>
      <c r="AJ81" s="393"/>
      <c r="AK81" s="393"/>
      <c r="AL81" s="393"/>
      <c r="AM81" s="700"/>
      <c r="AN81" s="700"/>
      <c r="AO81" s="700"/>
      <c r="AP81" s="700"/>
      <c r="AQ81" s="700"/>
      <c r="AR81" s="700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1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6"/>
        <v>4.1319395833333337</v>
      </c>
      <c r="O82" s="1044"/>
      <c r="P82" s="5"/>
      <c r="Q82" s="1004">
        <f t="shared" si="57"/>
        <v>1.6895875</v>
      </c>
      <c r="R82" s="1005"/>
      <c r="U82" s="238">
        <f>+AE44+U44+K44+AO23+AE23+U23+K23</f>
        <v>8</v>
      </c>
      <c r="V82" s="239">
        <v>48</v>
      </c>
      <c r="W82" s="240">
        <f t="shared" si="59"/>
        <v>40</v>
      </c>
      <c r="X82" s="241">
        <f t="shared" si="60"/>
        <v>0</v>
      </c>
      <c r="Z82" s="252"/>
      <c r="AA82" s="394"/>
      <c r="AB82" s="389"/>
      <c r="AC82" s="699"/>
      <c r="AD82" s="699"/>
      <c r="AE82" s="386"/>
      <c r="AF82" s="386"/>
      <c r="AG82" s="393"/>
      <c r="AH82" s="393"/>
      <c r="AI82" s="700"/>
      <c r="AJ82" s="700"/>
      <c r="AK82" s="700"/>
      <c r="AL82" s="700"/>
      <c r="AM82" s="700"/>
      <c r="AN82" s="700"/>
      <c r="AO82" s="700"/>
      <c r="AP82" s="700"/>
      <c r="AQ82" s="700"/>
      <c r="AR82" s="700"/>
      <c r="AS82" s="386"/>
      <c r="AT82" s="386"/>
    </row>
    <row r="83" spans="1:46" ht="16.5">
      <c r="B83" s="250" t="s">
        <v>142</v>
      </c>
      <c r="C83" s="1035">
        <f>+G83*6</f>
        <v>169.99979999999999</v>
      </c>
      <c r="D83" s="1036"/>
      <c r="E83" s="1037">
        <f t="shared" ref="E83" si="62">+C83/7</f>
        <v>24.285685714285712</v>
      </c>
      <c r="F83" s="1038"/>
      <c r="G83" s="1039">
        <f>28.3333</f>
        <v>28.333300000000001</v>
      </c>
      <c r="H83" s="1040"/>
      <c r="I83" s="1037">
        <f>+G83/8</f>
        <v>3.5416625000000002</v>
      </c>
      <c r="J83" s="1038"/>
      <c r="K83" s="1041">
        <f>+G83*30</f>
        <v>849.99900000000002</v>
      </c>
      <c r="L83" s="1042"/>
      <c r="M83" s="5"/>
      <c r="N83" s="1043">
        <f>+I83/6*7</f>
        <v>4.1319395833333337</v>
      </c>
      <c r="O83" s="1044"/>
      <c r="P83" s="5"/>
      <c r="Q83" s="1004">
        <f>+$I$69-I83</f>
        <v>1.6895875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0"/>
        <v>0</v>
      </c>
      <c r="Z83" s="246"/>
      <c r="AA83" s="246"/>
      <c r="AB83" s="699"/>
      <c r="AC83" s="699"/>
      <c r="AD83" s="699">
        <v>200</v>
      </c>
      <c r="AE83" s="386"/>
      <c r="AF83" s="1023">
        <f>+AD83/6</f>
        <v>33.333333333333336</v>
      </c>
      <c r="AG83" s="1023"/>
      <c r="AH83" s="1023"/>
      <c r="AI83" s="700"/>
      <c r="AJ83" s="700"/>
      <c r="AK83" s="700"/>
      <c r="AL83" s="700"/>
      <c r="AM83" s="700"/>
      <c r="AN83" s="700"/>
      <c r="AO83" s="700"/>
      <c r="AP83" s="700"/>
      <c r="AQ83" s="700"/>
      <c r="AR83" s="700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1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8</v>
      </c>
      <c r="V84" s="239">
        <v>48</v>
      </c>
      <c r="W84" s="240">
        <f t="shared" si="59"/>
        <v>40</v>
      </c>
      <c r="X84" s="241">
        <f>+J23+T23+AD23+J44+T44+AD44</f>
        <v>0</v>
      </c>
      <c r="Y84" s="248"/>
      <c r="Z84" s="699"/>
      <c r="AA84" s="699"/>
      <c r="AB84" s="699"/>
      <c r="AC84" s="699"/>
      <c r="AG84" s="700"/>
      <c r="AH84" s="700"/>
      <c r="AI84" s="386"/>
      <c r="AJ84" s="386"/>
      <c r="AK84" s="698"/>
      <c r="AL84" s="698"/>
      <c r="AM84" s="698"/>
      <c r="AN84" s="698"/>
      <c r="AO84" s="698"/>
      <c r="AP84" s="698"/>
      <c r="AQ84" s="698"/>
      <c r="AR84" s="698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1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6"/>
        <v>11.423610416666666</v>
      </c>
      <c r="O85" s="1020"/>
      <c r="P85" s="5"/>
      <c r="Q85" s="1004">
        <f t="shared" si="57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59"/>
        <v>48</v>
      </c>
      <c r="X85" s="241">
        <f>+J27+T27+AD27+J48+T48+AD48</f>
        <v>0</v>
      </c>
      <c r="Z85" s="246"/>
      <c r="AA85" s="246"/>
      <c r="AB85" s="699"/>
      <c r="AC85" s="699"/>
      <c r="AD85" s="699"/>
      <c r="AE85" s="386"/>
      <c r="AF85" s="386"/>
      <c r="AG85" s="700"/>
      <c r="AH85" s="700"/>
      <c r="AI85" s="700"/>
      <c r="AJ85" s="700"/>
      <c r="AK85" s="700"/>
      <c r="AL85" s="700"/>
      <c r="AM85" s="700"/>
      <c r="AN85" s="700"/>
      <c r="AO85" s="700"/>
      <c r="AP85" s="700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700"/>
      <c r="AF89" s="700"/>
      <c r="AG89" s="386"/>
      <c r="AH89" s="386"/>
      <c r="AI89" s="386"/>
      <c r="AJ89" s="700"/>
      <c r="AK89" s="700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700"/>
      <c r="AF90" s="700"/>
      <c r="AG90" s="386"/>
      <c r="AH90" s="386"/>
      <c r="AI90" s="386"/>
      <c r="AJ90" s="700"/>
      <c r="AK90" s="700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700"/>
      <c r="AF92" s="700"/>
      <c r="AG92" s="386"/>
      <c r="AH92" s="386"/>
      <c r="AI92" s="386"/>
      <c r="AJ92" s="700"/>
      <c r="AK92" s="700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700"/>
      <c r="AF95" s="700"/>
      <c r="AG95" s="386"/>
      <c r="AH95" s="386"/>
      <c r="AI95" s="386"/>
      <c r="AJ95" s="700"/>
      <c r="AK95" s="700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698"/>
      <c r="AM97" s="700"/>
      <c r="AN97" s="698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700"/>
      <c r="AF107" s="700"/>
      <c r="AG107" s="386"/>
      <c r="AH107" s="386"/>
      <c r="AI107" s="386"/>
      <c r="AJ107" s="700"/>
      <c r="AK107" s="700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698"/>
      <c r="AM115" s="700"/>
      <c r="AN115" s="698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700"/>
      <c r="AF126" s="700"/>
      <c r="AG126" s="386"/>
      <c r="AH126" s="386"/>
      <c r="AI126" s="386"/>
      <c r="AJ126" s="700"/>
      <c r="AK126" s="700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700"/>
      <c r="AF127" s="700"/>
      <c r="AG127" s="386"/>
      <c r="AH127" s="386"/>
      <c r="AI127" s="386"/>
      <c r="AJ127" s="700"/>
      <c r="AK127" s="700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700"/>
      <c r="AF129" s="700"/>
      <c r="AG129" s="386"/>
      <c r="AH129" s="386"/>
      <c r="AI129" s="386"/>
      <c r="AJ129" s="700"/>
      <c r="AK129" s="700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700"/>
      <c r="AF132" s="700"/>
      <c r="AG132" s="386"/>
      <c r="AH132" s="386"/>
      <c r="AI132" s="386"/>
      <c r="AJ132" s="700"/>
      <c r="AK132" s="700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698"/>
      <c r="AM134" s="700"/>
      <c r="AN134" s="698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700"/>
      <c r="AF144" s="700"/>
      <c r="AG144" s="386"/>
      <c r="AH144" s="386"/>
      <c r="AI144" s="386"/>
      <c r="AJ144" s="700"/>
      <c r="AK144" s="700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700"/>
      <c r="AF145" s="700"/>
      <c r="AG145" s="386"/>
      <c r="AH145" s="386"/>
      <c r="AI145" s="386"/>
      <c r="AJ145" s="700"/>
      <c r="AK145" s="700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700"/>
      <c r="AF147" s="700"/>
      <c r="AG147" s="386"/>
      <c r="AH147" s="386"/>
      <c r="AI147" s="386"/>
      <c r="AJ147" s="700"/>
      <c r="AK147" s="700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700"/>
      <c r="AF150" s="700"/>
      <c r="AG150" s="386"/>
      <c r="AH150" s="386"/>
      <c r="AI150" s="386"/>
      <c r="AJ150" s="700"/>
      <c r="AK150" s="700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698"/>
      <c r="AM152" s="700"/>
      <c r="AN152" s="698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700"/>
      <c r="AF164" s="700"/>
      <c r="AG164" s="386"/>
      <c r="AH164" s="386"/>
      <c r="AI164" s="386"/>
      <c r="AJ164" s="700"/>
      <c r="AK164" s="700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698"/>
      <c r="AM172" s="700"/>
      <c r="AN172" s="698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700"/>
      <c r="AF183" s="700"/>
      <c r="AG183" s="386"/>
      <c r="AH183" s="386"/>
      <c r="AI183" s="386"/>
      <c r="AJ183" s="700"/>
      <c r="AK183" s="700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700"/>
      <c r="AF184" s="700"/>
      <c r="AG184" s="386"/>
      <c r="AH184" s="386"/>
      <c r="AI184" s="386"/>
      <c r="AJ184" s="700"/>
      <c r="AK184" s="700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700"/>
      <c r="AF186" s="700"/>
      <c r="AG186" s="386"/>
      <c r="AH186" s="386"/>
      <c r="AI186" s="386"/>
      <c r="AJ186" s="700"/>
      <c r="AK186" s="700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700"/>
      <c r="AF189" s="700"/>
      <c r="AG189" s="386"/>
      <c r="AH189" s="386"/>
      <c r="AI189" s="386"/>
      <c r="AJ189" s="700"/>
      <c r="AK189" s="700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698"/>
      <c r="AM191" s="700"/>
      <c r="AN191" s="698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702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702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702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702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702"/>
      <c r="AB203" s="702"/>
      <c r="AC203" s="702"/>
      <c r="AD203" s="702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699"/>
      <c r="AB204" s="699"/>
      <c r="AC204" s="699"/>
      <c r="AD204" s="699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699"/>
      <c r="AB205" s="699"/>
      <c r="AC205" s="699"/>
      <c r="AD205" s="699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3">+C206/7</f>
        <v>36.371428571428567</v>
      </c>
      <c r="F206" s="1049"/>
      <c r="G206" s="388"/>
      <c r="H206" s="388"/>
      <c r="I206" s="1052">
        <f t="shared" ref="I206:I213" si="64">+E206/8</f>
        <v>4.5464285714285708</v>
      </c>
      <c r="J206" s="1058"/>
      <c r="K206" s="1059">
        <f t="shared" ref="K206:K210" si="65">+E206*30</f>
        <v>1091.1428571428569</v>
      </c>
      <c r="L206" s="1059"/>
      <c r="M206" s="5"/>
      <c r="N206" s="1020">
        <f t="shared" ref="N206:N210" si="66">+I206/6*7</f>
        <v>5.3041666666666654</v>
      </c>
      <c r="O206" s="1020"/>
      <c r="P206" s="5"/>
      <c r="Q206" s="1056">
        <f t="shared" ref="Q206:Q210" si="67">+$I$69-I206</f>
        <v>0.68482142857142936</v>
      </c>
      <c r="R206" s="1057"/>
      <c r="U206" s="238">
        <f t="shared" ref="U206:U212" si="68">+AE167+U167+K167+AO146+AE146+U146+K146</f>
        <v>0</v>
      </c>
      <c r="V206" s="239">
        <v>48</v>
      </c>
      <c r="W206" s="240">
        <f t="shared" ref="W206:W210" si="69">+V206-U206</f>
        <v>48</v>
      </c>
      <c r="X206" s="241" t="e">
        <f t="shared" ref="X206:X212" si="70">+J146+T146+AD146+J167+T167+AD167</f>
        <v>#VALUE!</v>
      </c>
      <c r="Z206" s="389"/>
      <c r="AA206" s="699"/>
      <c r="AB206" s="699"/>
      <c r="AC206" s="699"/>
      <c r="AD206" s="699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3"/>
        <v>41.071428571428569</v>
      </c>
      <c r="F207" s="1049"/>
      <c r="G207" s="388"/>
      <c r="H207" s="388"/>
      <c r="I207" s="1052">
        <f t="shared" si="64"/>
        <v>5.1339285714285712</v>
      </c>
      <c r="J207" s="1058"/>
      <c r="K207" s="1059">
        <f t="shared" si="65"/>
        <v>1232.1428571428571</v>
      </c>
      <c r="L207" s="1059"/>
      <c r="M207" s="5"/>
      <c r="N207" s="1020">
        <f t="shared" si="66"/>
        <v>5.989583333333333</v>
      </c>
      <c r="O207" s="1020"/>
      <c r="P207" s="5"/>
      <c r="Q207" s="1056">
        <f t="shared" si="67"/>
        <v>9.7321428571429003E-2</v>
      </c>
      <c r="R207" s="1057"/>
      <c r="U207" s="238">
        <f t="shared" si="68"/>
        <v>0</v>
      </c>
      <c r="V207" s="239">
        <v>48</v>
      </c>
      <c r="W207" s="240">
        <f t="shared" si="69"/>
        <v>48</v>
      </c>
      <c r="X207" s="241" t="e">
        <f t="shared" si="70"/>
        <v>#VALUE!</v>
      </c>
      <c r="Z207" s="389"/>
      <c r="AA207" s="699"/>
      <c r="AB207" s="699"/>
      <c r="AC207" s="699"/>
      <c r="AD207" s="699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3"/>
        <v>41.071428571428569</v>
      </c>
      <c r="F208" s="1049"/>
      <c r="G208" s="388"/>
      <c r="H208" s="388"/>
      <c r="I208" s="1052">
        <f t="shared" si="64"/>
        <v>5.1339285714285712</v>
      </c>
      <c r="J208" s="1058"/>
      <c r="K208" s="1059">
        <f t="shared" si="65"/>
        <v>1232.1428571428571</v>
      </c>
      <c r="L208" s="1059"/>
      <c r="M208" s="5"/>
      <c r="N208" s="1020">
        <f t="shared" si="66"/>
        <v>5.989583333333333</v>
      </c>
      <c r="O208" s="1020"/>
      <c r="P208" s="5"/>
      <c r="Q208" s="1056">
        <f t="shared" si="67"/>
        <v>9.7321428571429003E-2</v>
      </c>
      <c r="R208" s="1057"/>
      <c r="U208" s="238">
        <f t="shared" si="68"/>
        <v>0</v>
      </c>
      <c r="V208" s="239">
        <v>48</v>
      </c>
      <c r="W208" s="240">
        <f t="shared" si="69"/>
        <v>48</v>
      </c>
      <c r="X208" s="241" t="e">
        <f t="shared" si="70"/>
        <v>#VALUE!</v>
      </c>
      <c r="Z208" s="389"/>
      <c r="AA208" s="699"/>
      <c r="AB208" s="699"/>
      <c r="AC208" s="699"/>
      <c r="AD208" s="699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3"/>
        <v>33.33342857142857</v>
      </c>
      <c r="F209" s="1049"/>
      <c r="G209" s="388"/>
      <c r="H209" s="388"/>
      <c r="I209" s="1052">
        <f t="shared" si="64"/>
        <v>4.1666785714285712</v>
      </c>
      <c r="J209" s="1058"/>
      <c r="K209" s="1059">
        <f t="shared" si="65"/>
        <v>1000.0028571428571</v>
      </c>
      <c r="L209" s="1059"/>
      <c r="M209" s="5"/>
      <c r="N209" s="1020">
        <f t="shared" si="66"/>
        <v>4.8611250000000004</v>
      </c>
      <c r="O209" s="1020"/>
      <c r="P209" s="5"/>
      <c r="Q209" s="1056">
        <f t="shared" si="67"/>
        <v>1.0645714285714289</v>
      </c>
      <c r="R209" s="1057"/>
      <c r="S209" s="1066">
        <f>20*30/180*117</f>
        <v>390</v>
      </c>
      <c r="T209" s="1067"/>
      <c r="U209" s="238">
        <f t="shared" si="68"/>
        <v>0</v>
      </c>
      <c r="V209" s="239">
        <v>48</v>
      </c>
      <c r="W209" s="240">
        <f t="shared" si="69"/>
        <v>48</v>
      </c>
      <c r="X209" s="241">
        <f t="shared" si="70"/>
        <v>0</v>
      </c>
      <c r="Z209" s="1045" t="s">
        <v>53</v>
      </c>
      <c r="AA209" s="1045"/>
      <c r="AB209" s="1045"/>
      <c r="AC209" s="1045"/>
      <c r="AD209" s="389" t="s">
        <v>54</v>
      </c>
      <c r="AE209" s="699"/>
      <c r="AF209" s="386"/>
      <c r="AG209" s="700"/>
      <c r="AH209" s="700"/>
      <c r="AI209" s="386"/>
      <c r="AJ209" s="386"/>
      <c r="AK209" s="698"/>
      <c r="AL209" s="698"/>
      <c r="AM209" s="698"/>
      <c r="AN209" s="698"/>
      <c r="AO209" s="698"/>
      <c r="AP209" s="698"/>
      <c r="AQ209" s="698"/>
      <c r="AR209" s="698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3"/>
        <v>41.071428571428569</v>
      </c>
      <c r="F210" s="1049"/>
      <c r="G210" s="388"/>
      <c r="H210" s="388"/>
      <c r="I210" s="1052">
        <f t="shared" si="64"/>
        <v>5.1339285714285712</v>
      </c>
      <c r="J210" s="1058"/>
      <c r="K210" s="1059">
        <f t="shared" si="65"/>
        <v>1232.1428571428571</v>
      </c>
      <c r="L210" s="1059"/>
      <c r="M210" s="5"/>
      <c r="N210" s="1020">
        <f t="shared" si="66"/>
        <v>5.989583333333333</v>
      </c>
      <c r="O210" s="1020"/>
      <c r="P210" s="5"/>
      <c r="Q210" s="1056">
        <f t="shared" si="67"/>
        <v>9.7321428571429003E-2</v>
      </c>
      <c r="R210" s="1057"/>
      <c r="U210" s="238">
        <f t="shared" si="68"/>
        <v>0</v>
      </c>
      <c r="V210" s="239">
        <v>48</v>
      </c>
      <c r="W210" s="240">
        <f t="shared" si="69"/>
        <v>48</v>
      </c>
      <c r="X210" s="241">
        <f t="shared" si="70"/>
        <v>0</v>
      </c>
      <c r="Z210" s="699"/>
      <c r="AA210" s="699"/>
      <c r="AB210" s="699"/>
      <c r="AC210" s="699"/>
      <c r="AD210" s="699"/>
      <c r="AE210" s="386"/>
      <c r="AF210" s="386"/>
      <c r="AG210" s="244"/>
      <c r="AH210" s="244"/>
      <c r="AI210" s="700"/>
      <c r="AJ210" s="700"/>
      <c r="AK210" s="700"/>
      <c r="AL210" s="700"/>
      <c r="AM210" s="700"/>
      <c r="AN210" s="700"/>
      <c r="AO210" s="700"/>
      <c r="AP210" s="700"/>
      <c r="AQ210" s="700"/>
      <c r="AR210" s="700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3"/>
        <v>41.071428571428569</v>
      </c>
      <c r="F211" s="1049"/>
      <c r="G211" s="1068"/>
      <c r="H211" s="1069"/>
      <c r="I211" s="1052">
        <f t="shared" si="64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68"/>
        <v>0</v>
      </c>
      <c r="V211" s="239">
        <v>48</v>
      </c>
      <c r="W211" s="240">
        <f>+V211-U211</f>
        <v>48</v>
      </c>
      <c r="X211" s="241">
        <f t="shared" si="70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700"/>
      <c r="AN211" s="700"/>
      <c r="AO211" s="700"/>
      <c r="AP211" s="700"/>
      <c r="AQ211" s="700"/>
      <c r="AR211" s="700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3"/>
        <v>29.571428571428573</v>
      </c>
      <c r="F212" s="1049"/>
      <c r="G212" s="1062"/>
      <c r="H212" s="1063"/>
      <c r="I212" s="1052">
        <f t="shared" si="64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1">+I212/6*7</f>
        <v>4.3125</v>
      </c>
      <c r="O212" s="1020"/>
      <c r="P212" s="5"/>
      <c r="Q212" s="1056">
        <f t="shared" ref="Q212:Q213" si="72">+$I$69-I212</f>
        <v>1.5348214285714286</v>
      </c>
      <c r="R212" s="1057"/>
      <c r="S212" s="1066">
        <f>20*30/180*117</f>
        <v>390</v>
      </c>
      <c r="T212" s="1067"/>
      <c r="U212" s="238">
        <f t="shared" si="68"/>
        <v>0</v>
      </c>
      <c r="V212" s="239">
        <v>48</v>
      </c>
      <c r="W212" s="240">
        <f t="shared" ref="W212:W213" si="73">+V212-U212</f>
        <v>48</v>
      </c>
      <c r="X212" s="241">
        <f t="shared" si="70"/>
        <v>0</v>
      </c>
      <c r="Y212" s="248"/>
      <c r="Z212" s="699"/>
      <c r="AA212" s="699"/>
      <c r="AB212" s="699"/>
      <c r="AC212" s="699"/>
      <c r="AD212" s="699"/>
      <c r="AE212" s="386"/>
      <c r="AF212" s="386"/>
      <c r="AG212" s="700"/>
      <c r="AH212" s="700"/>
      <c r="AI212" s="393"/>
      <c r="AJ212" s="393"/>
      <c r="AK212" s="393"/>
      <c r="AL212" s="393"/>
      <c r="AM212" s="700"/>
      <c r="AN212" s="700"/>
      <c r="AO212" s="700"/>
      <c r="AP212" s="700"/>
      <c r="AQ212" s="700"/>
      <c r="AR212" s="700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3"/>
        <v>28.333328571428574</v>
      </c>
      <c r="F213" s="1049"/>
      <c r="G213" s="1050">
        <v>25.761900000000001</v>
      </c>
      <c r="H213" s="1051"/>
      <c r="I213" s="1052">
        <f t="shared" si="64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1"/>
        <v>4.1319437500000005</v>
      </c>
      <c r="O213" s="1020"/>
      <c r="P213" s="5"/>
      <c r="Q213" s="1056">
        <f t="shared" si="72"/>
        <v>1.6895839285714285</v>
      </c>
      <c r="R213" s="1057"/>
      <c r="S213" s="702"/>
      <c r="T213" s="702"/>
      <c r="U213" s="238">
        <f>+AE175+U175+K175+AO154+AE154+U154+K154</f>
        <v>0</v>
      </c>
      <c r="V213" s="239">
        <v>48</v>
      </c>
      <c r="W213" s="240">
        <f t="shared" si="73"/>
        <v>48</v>
      </c>
      <c r="X213" s="241">
        <f>+J154+T154+AD154+J175+T175+AD175</f>
        <v>0</v>
      </c>
      <c r="Y213" s="702"/>
      <c r="Z213" s="699"/>
      <c r="AA213" s="699"/>
      <c r="AB213" s="699"/>
      <c r="AC213" s="699"/>
      <c r="AD213" s="699"/>
      <c r="AE213" s="386"/>
      <c r="AF213" s="386"/>
      <c r="AG213" s="700"/>
      <c r="AH213" s="700"/>
      <c r="AI213" s="393"/>
      <c r="AJ213" s="393"/>
      <c r="AK213" s="393"/>
      <c r="AL213" s="393"/>
      <c r="AM213" s="700"/>
      <c r="AN213" s="700"/>
      <c r="AO213" s="700"/>
      <c r="AP213" s="700"/>
      <c r="AQ213" s="700"/>
      <c r="AR213" s="700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4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699"/>
      <c r="AC214" s="699"/>
      <c r="AD214" s="699"/>
      <c r="AE214" s="386"/>
      <c r="AF214" s="386"/>
      <c r="AG214" s="700"/>
      <c r="AH214" s="700"/>
      <c r="AI214" s="700"/>
      <c r="AJ214" s="700"/>
      <c r="AK214" s="700"/>
      <c r="AL214" s="700"/>
      <c r="AM214" s="700"/>
      <c r="AN214" s="700"/>
      <c r="AO214" s="700"/>
      <c r="AP214" s="700"/>
      <c r="AQ214" s="700"/>
      <c r="AR214" s="700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5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699"/>
      <c r="AE215" s="386"/>
      <c r="AF215" s="386"/>
      <c r="AG215" s="244"/>
      <c r="AH215" s="244"/>
      <c r="AI215" s="700"/>
      <c r="AJ215" s="700"/>
      <c r="AK215" s="700"/>
      <c r="AL215" s="700"/>
      <c r="AM215" s="700"/>
      <c r="AN215" s="700"/>
      <c r="AO215" s="700"/>
      <c r="AP215" s="700"/>
      <c r="AQ215" s="700"/>
      <c r="AR215" s="700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5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699"/>
      <c r="AD216" s="699"/>
      <c r="AE216" s="386"/>
      <c r="AF216" s="386"/>
      <c r="AG216" s="700"/>
      <c r="AH216" s="700"/>
      <c r="AI216" s="393"/>
      <c r="AJ216" s="393"/>
      <c r="AK216" s="393"/>
      <c r="AL216" s="393"/>
      <c r="AM216" s="700"/>
      <c r="AN216" s="700"/>
      <c r="AO216" s="700"/>
      <c r="AP216" s="700"/>
      <c r="AQ216" s="700"/>
      <c r="AR216" s="700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5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6">+I217/6*7</f>
        <v>4.1319395833333337</v>
      </c>
      <c r="O217" s="1044"/>
      <c r="P217" s="5"/>
      <c r="Q217" s="1004">
        <f t="shared" ref="Q217" si="77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78">+V217-U217</f>
        <v>48</v>
      </c>
      <c r="X217" s="241">
        <f>+J157+T157+AD157+J178+T178+AD178</f>
        <v>0</v>
      </c>
      <c r="Z217" s="252"/>
      <c r="AA217" s="394"/>
      <c r="AB217" s="389"/>
      <c r="AC217" s="699"/>
      <c r="AD217" s="699"/>
      <c r="AE217" s="386"/>
      <c r="AF217" s="386"/>
      <c r="AG217" s="393"/>
      <c r="AH217" s="393"/>
      <c r="AI217" s="700"/>
      <c r="AJ217" s="700"/>
      <c r="AK217" s="700"/>
      <c r="AL217" s="700"/>
      <c r="AM217" s="700"/>
      <c r="AN217" s="700"/>
      <c r="AO217" s="700"/>
      <c r="AP217" s="700"/>
      <c r="AQ217" s="700"/>
      <c r="AR217" s="700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5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699"/>
      <c r="AC218" s="699"/>
      <c r="AD218" s="699">
        <v>200</v>
      </c>
      <c r="AE218" s="386"/>
      <c r="AF218" s="1023">
        <f>+AD218/6</f>
        <v>33.333333333333336</v>
      </c>
      <c r="AG218" s="1023"/>
      <c r="AH218" s="1023"/>
      <c r="AI218" s="700"/>
      <c r="AJ218" s="700"/>
      <c r="AK218" s="700"/>
      <c r="AL218" s="700"/>
      <c r="AM218" s="700"/>
      <c r="AN218" s="700"/>
      <c r="AO218" s="700"/>
      <c r="AP218" s="700"/>
      <c r="AQ218" s="700"/>
      <c r="AR218" s="700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5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79">+V219-U219</f>
        <v>48</v>
      </c>
      <c r="X219" s="241">
        <f>+J158+T158+AD158+J179+T179+AD179</f>
        <v>0</v>
      </c>
      <c r="Y219" s="248"/>
      <c r="Z219" s="699"/>
      <c r="AA219" s="699"/>
      <c r="AB219" s="699"/>
      <c r="AC219" s="699"/>
      <c r="AG219" s="700"/>
      <c r="AH219" s="700"/>
      <c r="AI219" s="386"/>
      <c r="AJ219" s="386"/>
      <c r="AK219" s="698"/>
      <c r="AL219" s="698"/>
      <c r="AM219" s="698"/>
      <c r="AN219" s="698"/>
      <c r="AO219" s="698"/>
      <c r="AP219" s="698"/>
      <c r="AQ219" s="698"/>
      <c r="AR219" s="698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5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0">+I220/6*7</f>
        <v>11.423610416666666</v>
      </c>
      <c r="O220" s="1020"/>
      <c r="P220" s="5"/>
      <c r="Q220" s="1004">
        <f t="shared" ref="Q220" si="81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79"/>
        <v>48</v>
      </c>
      <c r="X220" s="241">
        <f>+J162+T162+AD162+J183+T183+AD183</f>
        <v>0</v>
      </c>
      <c r="Z220" s="246"/>
      <c r="AA220" s="246"/>
      <c r="AB220" s="699"/>
      <c r="AC220" s="699"/>
      <c r="AD220" s="699"/>
      <c r="AE220" s="386"/>
      <c r="AF220" s="386"/>
      <c r="AG220" s="700"/>
      <c r="AH220" s="700"/>
      <c r="AI220" s="700"/>
      <c r="AJ220" s="700"/>
      <c r="AK220" s="700"/>
      <c r="AL220" s="700"/>
      <c r="AM220" s="700"/>
      <c r="AN220" s="700"/>
      <c r="AO220" s="700"/>
      <c r="AP220" s="700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701"/>
      <c r="E223" s="304"/>
      <c r="F223" s="305"/>
      <c r="G223" s="701"/>
      <c r="H223" s="701"/>
      <c r="I223" s="305"/>
      <c r="J223" s="701"/>
      <c r="K223" s="306"/>
      <c r="L223" s="306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2">+I227+L227+O227</f>
        <v>33.762</v>
      </c>
      <c r="S227" s="1001"/>
      <c r="T227" s="1001"/>
      <c r="U227" s="961">
        <f t="shared" ref="U227:U234" si="83">+I227*7+(L227+O227)*6</f>
        <v>233.334</v>
      </c>
      <c r="V227" s="961"/>
      <c r="W227" s="962"/>
      <c r="X227" s="963">
        <f t="shared" ref="X227:X234" si="84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2"/>
        <v>28.762</v>
      </c>
      <c r="S228" s="998"/>
      <c r="T228" s="998"/>
      <c r="U228" s="953">
        <f t="shared" si="83"/>
        <v>198.334</v>
      </c>
      <c r="V228" s="953"/>
      <c r="W228" s="954"/>
      <c r="X228" s="947">
        <f t="shared" si="84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5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2"/>
        <v>41.5</v>
      </c>
      <c r="S229" s="998"/>
      <c r="T229" s="998"/>
      <c r="U229" s="953">
        <f t="shared" si="83"/>
        <v>287.5</v>
      </c>
      <c r="V229" s="953"/>
      <c r="W229" s="954"/>
      <c r="X229" s="947">
        <f t="shared" si="84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2"/>
        <v>41.5</v>
      </c>
      <c r="S230" s="998"/>
      <c r="T230" s="998"/>
      <c r="U230" s="953">
        <f t="shared" si="83"/>
        <v>287.5</v>
      </c>
      <c r="V230" s="953"/>
      <c r="W230" s="954"/>
      <c r="X230" s="947">
        <f t="shared" si="84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2"/>
        <v>41.5</v>
      </c>
      <c r="S231" s="998"/>
      <c r="T231" s="998"/>
      <c r="U231" s="953">
        <f t="shared" si="83"/>
        <v>287.5</v>
      </c>
      <c r="V231" s="953"/>
      <c r="W231" s="954"/>
      <c r="X231" s="947">
        <f t="shared" si="84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2"/>
        <v>36.799999999999997</v>
      </c>
      <c r="S232" s="998"/>
      <c r="T232" s="998"/>
      <c r="U232" s="953">
        <f t="shared" si="83"/>
        <v>254.59999999999997</v>
      </c>
      <c r="V232" s="953"/>
      <c r="W232" s="954"/>
      <c r="X232" s="947">
        <f t="shared" si="84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2"/>
        <v>41.5</v>
      </c>
      <c r="S233" s="998"/>
      <c r="T233" s="998"/>
      <c r="U233" s="953">
        <f t="shared" si="83"/>
        <v>287.5</v>
      </c>
      <c r="V233" s="953"/>
      <c r="W233" s="954"/>
      <c r="X233" s="947">
        <f t="shared" si="84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2"/>
        <v>37.095199999999998</v>
      </c>
      <c r="S234" s="998"/>
      <c r="T234" s="998"/>
      <c r="U234" s="953">
        <f t="shared" si="83"/>
        <v>256.66639999999995</v>
      </c>
      <c r="V234" s="953"/>
      <c r="W234" s="954"/>
      <c r="X234" s="947">
        <f t="shared" si="84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700"/>
      <c r="AF243" s="700"/>
      <c r="AG243" s="386"/>
      <c r="AH243" s="386"/>
      <c r="AI243" s="386"/>
      <c r="AJ243" s="700"/>
      <c r="AK243" s="700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700"/>
      <c r="AF244" s="700"/>
      <c r="AG244" s="386"/>
      <c r="AH244" s="386"/>
      <c r="AI244" s="386"/>
      <c r="AJ244" s="700"/>
      <c r="AK244" s="700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700"/>
      <c r="AF246" s="700"/>
      <c r="AG246" s="386"/>
      <c r="AH246" s="386"/>
      <c r="AI246" s="386"/>
      <c r="AJ246" s="700"/>
      <c r="AK246" s="700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700"/>
      <c r="AF249" s="700"/>
      <c r="AG249" s="386"/>
      <c r="AH249" s="386"/>
      <c r="AI249" s="386"/>
      <c r="AJ249" s="700"/>
      <c r="AK249" s="700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698"/>
      <c r="AM251" s="700"/>
      <c r="AN251" s="698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701"/>
      <c r="E260" s="304"/>
      <c r="F260" s="305"/>
      <c r="G260" s="701"/>
      <c r="H260" s="701"/>
      <c r="I260" s="305"/>
      <c r="J260" s="701"/>
      <c r="K260" s="306"/>
      <c r="L260" s="306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6">+I264+L264+O264</f>
        <v>41.5</v>
      </c>
      <c r="S264" s="960"/>
      <c r="T264" s="960"/>
      <c r="U264" s="961">
        <f t="shared" ref="U264:U270" si="87">+I264*7+(L264+O264)*6</f>
        <v>287.5</v>
      </c>
      <c r="V264" s="961"/>
      <c r="W264" s="962"/>
      <c r="X264" s="963">
        <f t="shared" ref="X264:X270" si="88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89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6"/>
        <v>41.5</v>
      </c>
      <c r="S265" s="938"/>
      <c r="T265" s="938"/>
      <c r="U265" s="953">
        <f t="shared" si="87"/>
        <v>287.5</v>
      </c>
      <c r="V265" s="953"/>
      <c r="W265" s="954"/>
      <c r="X265" s="947">
        <f t="shared" si="88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89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6"/>
        <v>41.5</v>
      </c>
      <c r="S266" s="938"/>
      <c r="T266" s="938"/>
      <c r="U266" s="953">
        <f t="shared" si="87"/>
        <v>287.5</v>
      </c>
      <c r="V266" s="953"/>
      <c r="W266" s="954"/>
      <c r="X266" s="947">
        <f t="shared" si="88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89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6"/>
        <v>38</v>
      </c>
      <c r="S267" s="938"/>
      <c r="T267" s="938"/>
      <c r="U267" s="953">
        <f t="shared" si="87"/>
        <v>263</v>
      </c>
      <c r="V267" s="953"/>
      <c r="W267" s="954"/>
      <c r="X267" s="947">
        <f t="shared" si="88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89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6"/>
        <v>36.799999999999997</v>
      </c>
      <c r="S268" s="938"/>
      <c r="T268" s="938"/>
      <c r="U268" s="953">
        <f t="shared" si="87"/>
        <v>254.59999999999997</v>
      </c>
      <c r="V268" s="953"/>
      <c r="W268" s="954"/>
      <c r="X268" s="947">
        <f t="shared" si="88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89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6"/>
        <v>36.799999999999997</v>
      </c>
      <c r="S269" s="938"/>
      <c r="T269" s="938"/>
      <c r="U269" s="953">
        <f t="shared" si="87"/>
        <v>254.59999999999997</v>
      </c>
      <c r="V269" s="953"/>
      <c r="W269" s="954"/>
      <c r="X269" s="947">
        <f t="shared" si="88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89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6"/>
        <v>29</v>
      </c>
      <c r="S270" s="938"/>
      <c r="T270" s="938"/>
      <c r="U270" s="953">
        <f t="shared" si="87"/>
        <v>200</v>
      </c>
      <c r="V270" s="953"/>
      <c r="W270" s="954"/>
      <c r="X270" s="947">
        <f t="shared" si="88"/>
        <v>857.14285714285722</v>
      </c>
      <c r="Y270" s="948"/>
      <c r="Z270" s="949"/>
      <c r="AA270" s="935">
        <v>25</v>
      </c>
      <c r="AB270" s="936"/>
      <c r="AC270" s="936"/>
      <c r="AD270" s="937">
        <f t="shared" si="89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429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428" priority="27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427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426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425" priority="24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AE42:AE43 U42:U45 V43:V44 U32:V32 K25:L26 AE32:AF32 AE25:AF26 U24 K22:L23 K24 K32:L32 U22:V23 U33:U40 AE33:AE40 K33:K43 AE14:AF14 K11:L11 AE11:AE13 U11:V11 K17:L17 V17 K12:K16 U12:U21 K18:K21 AO11:AO26 AE15:AE24 U25:V26">
    <cfRule type="cellIs" dxfId="424" priority="23" stopIfTrue="1" operator="lessThanOrEqual">
      <formula>0</formula>
    </cfRule>
  </conditionalFormatting>
  <conditionalFormatting sqref="Z49:AA53 Z61:AA66 W85:X85 W74:X83">
    <cfRule type="cellIs" dxfId="423" priority="22" stopIfTrue="1" operator="lessThan">
      <formula>0</formula>
    </cfRule>
  </conditionalFormatting>
  <conditionalFormatting sqref="X49:X53 X61:X66 U85 U74:U83">
    <cfRule type="cellIs" dxfId="422" priority="21" stopIfTrue="1" operator="greaterThan">
      <formula>48</formula>
    </cfRule>
  </conditionalFormatting>
  <conditionalFormatting sqref="C275:C279 C287:D290 C158:D158 D275:D286 C86:D141">
    <cfRule type="cellIs" dxfId="421" priority="20" stopIfTrue="1" operator="lessThan">
      <formula>$C$71</formula>
    </cfRule>
  </conditionalFormatting>
  <conditionalFormatting sqref="AI60:AO60 AI32:AO48">
    <cfRule type="cellIs" dxfId="420" priority="18" stopIfTrue="1" operator="equal">
      <formula>0</formula>
    </cfRule>
    <cfRule type="cellIs" dxfId="419" priority="19" stopIfTrue="1" operator="lessThan">
      <formula>0</formula>
    </cfRule>
  </conditionalFormatting>
  <conditionalFormatting sqref="AT60 AT32:AT45">
    <cfRule type="cellIs" dxfId="418" priority="16" stopIfTrue="1" operator="greaterThan">
      <formula>0</formula>
    </cfRule>
    <cfRule type="cellIs" dxfId="417" priority="17" stopIfTrue="1" operator="lessThan">
      <formula>1</formula>
    </cfRule>
  </conditionalFormatting>
  <conditionalFormatting sqref="K84:L84 K71:L81">
    <cfRule type="cellIs" dxfId="416" priority="15" stopIfTrue="1" operator="greaterThanOrEqual">
      <formula>$K$69</formula>
    </cfRule>
  </conditionalFormatting>
  <conditionalFormatting sqref="AF56:AF57 AF33:AF45 V32:V45 L32:L45 L12:L24 V12:V24 AF11:AF24">
    <cfRule type="cellIs" dxfId="415" priority="13" stopIfTrue="1" operator="equal">
      <formula>0</formula>
    </cfRule>
    <cfRule type="cellIs" dxfId="414" priority="14" stopIfTrue="1" operator="lessThan">
      <formula>0</formula>
    </cfRule>
  </conditionalFormatting>
  <conditionalFormatting sqref="K198:L240">
    <cfRule type="cellIs" dxfId="413" priority="12" stopIfTrue="1" operator="greaterThanOrEqual">
      <formula>$K$72</formula>
    </cfRule>
  </conditionalFormatting>
  <conditionalFormatting sqref="K240:L240">
    <cfRule type="cellIs" dxfId="412" priority="11" stopIfTrue="1" operator="greaterThanOrEqual">
      <formula>$K$72</formula>
    </cfRule>
  </conditionalFormatting>
  <conditionalFormatting sqref="C240:D240">
    <cfRule type="cellIs" dxfId="411" priority="10" stopIfTrue="1" operator="lessThan">
      <formula>$C$71</formula>
    </cfRule>
  </conditionalFormatting>
  <conditionalFormatting sqref="AP199:AP202">
    <cfRule type="cellIs" dxfId="410" priority="9" stopIfTrue="1" operator="lessThanOrEqual">
      <formula>0</formula>
    </cfRule>
  </conditionalFormatting>
  <conditionalFormatting sqref="K220:L221 L214:L216 K214:K218">
    <cfRule type="cellIs" dxfId="409" priority="8" stopIfTrue="1" operator="greaterThanOrEqual">
      <formula>$K$72</formula>
    </cfRule>
  </conditionalFormatting>
  <conditionalFormatting sqref="P199:P201">
    <cfRule type="cellIs" dxfId="408" priority="7" stopIfTrue="1" operator="lessThanOrEqual">
      <formula>0</formula>
    </cfRule>
  </conditionalFormatting>
  <conditionalFormatting sqref="S199:S201">
    <cfRule type="cellIs" dxfId="407" priority="6" stopIfTrue="1" operator="lessThanOrEqual">
      <formula>0</formula>
    </cfRule>
  </conditionalFormatting>
  <conditionalFormatting sqref="U199:V201">
    <cfRule type="cellIs" dxfId="406" priority="5" stopIfTrue="1" operator="lessThanOrEqual">
      <formula>0</formula>
    </cfRule>
  </conditionalFormatting>
  <conditionalFormatting sqref="Z199:AA201 W220:X220 W209:X218">
    <cfRule type="cellIs" dxfId="405" priority="4" stopIfTrue="1" operator="lessThan">
      <formula>0</formula>
    </cfRule>
  </conditionalFormatting>
  <conditionalFormatting sqref="X199:X201 U220 U209:U218">
    <cfRule type="cellIs" dxfId="404" priority="3" stopIfTrue="1" operator="greaterThan">
      <formula>48</formula>
    </cfRule>
  </conditionalFormatting>
  <conditionalFormatting sqref="C221:D221">
    <cfRule type="cellIs" dxfId="403" priority="2" stopIfTrue="1" operator="lessThan">
      <formula>$C$71</formula>
    </cfRule>
  </conditionalFormatting>
  <conditionalFormatting sqref="K219:L219 K206:L216">
    <cfRule type="cellIs" dxfId="402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K37" formula="1"/>
  </ignoredErrors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K28" sqref="K28:K31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693" customWidth="1"/>
    <col min="5" max="5" width="4.28515625" style="3" customWidth="1"/>
    <col min="6" max="6" width="4.28515625" style="4" customWidth="1"/>
    <col min="7" max="8" width="4.28515625" style="693" customWidth="1"/>
    <col min="9" max="9" width="4.28515625" style="4" customWidth="1"/>
    <col min="10" max="10" width="4.28515625" style="693" customWidth="1"/>
    <col min="11" max="12" width="4.28515625" style="5" customWidth="1"/>
    <col min="13" max="26" width="4.28515625" style="693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43215</v>
      </c>
      <c r="C1" s="693" t="s">
        <v>0</v>
      </c>
      <c r="AN1" s="7"/>
      <c r="AO1" s="7"/>
      <c r="AR1" s="1340">
        <f>+AR46+AT46</f>
        <v>224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43216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693">
        <v>0</v>
      </c>
    </row>
    <row r="5" spans="1:58" ht="10.9" customHeight="1">
      <c r="B5" s="1244" t="s">
        <v>1</v>
      </c>
      <c r="C5" s="1140">
        <v>43209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43210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43211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43212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43209</v>
      </c>
      <c r="AW7" s="1296">
        <f>+M5</f>
        <v>43210</v>
      </c>
      <c r="AX7" s="1296">
        <f>+W5</f>
        <v>43211</v>
      </c>
      <c r="AY7" s="1309">
        <f>+AG5</f>
        <v>43212</v>
      </c>
      <c r="AZ7" s="1296">
        <f>+C26</f>
        <v>43213</v>
      </c>
      <c r="BA7" s="1296">
        <f>+M26</f>
        <v>43214</v>
      </c>
      <c r="BB7" s="1296">
        <f>+W26</f>
        <v>43215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8</v>
      </c>
      <c r="D11" s="335">
        <v>16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-1</v>
      </c>
      <c r="M11" s="336">
        <v>7</v>
      </c>
      <c r="N11" s="335">
        <v>18</v>
      </c>
      <c r="O11" s="16">
        <v>1</v>
      </c>
      <c r="P11" s="17">
        <f t="shared" ref="P11:P20" si="5">+N11-M11-O11</f>
        <v>10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2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-1</v>
      </c>
      <c r="AQ11" s="1298"/>
      <c r="AR11" s="1299">
        <f t="shared" ref="AR11:AR20" si="16">ROUND(BD11*AP11,1)</f>
        <v>-4.5</v>
      </c>
      <c r="AS11" s="1300"/>
      <c r="AT11" s="338">
        <f t="shared" ref="AT11:AT24" si="17">IF(AT32&gt;0,AT32*$AT$10,0)</f>
        <v>24</v>
      </c>
      <c r="AV11" s="26">
        <f t="shared" ref="AV11:AV20" si="18">+L11</f>
        <v>-1</v>
      </c>
      <c r="AW11" s="26">
        <f t="shared" ref="AW11:AW20" si="19">+V11</f>
        <v>2</v>
      </c>
      <c r="AX11" s="26">
        <f t="shared" ref="AX11:AX20" si="20">+AF11</f>
        <v>-1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-4.5464285714285708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18</v>
      </c>
      <c r="D12" s="342">
        <v>24</v>
      </c>
      <c r="E12" s="30">
        <v>1</v>
      </c>
      <c r="F12" s="31">
        <f t="shared" si="1"/>
        <v>5</v>
      </c>
      <c r="G12" s="342">
        <v>0</v>
      </c>
      <c r="H12" s="342">
        <v>7</v>
      </c>
      <c r="I12" s="31">
        <f t="shared" si="2"/>
        <v>7</v>
      </c>
      <c r="J12" s="30">
        <v>8</v>
      </c>
      <c r="K12" s="32">
        <f t="shared" si="3"/>
        <v>8</v>
      </c>
      <c r="L12" s="20">
        <f t="shared" si="4"/>
        <v>4</v>
      </c>
      <c r="M12" s="697">
        <v>7</v>
      </c>
      <c r="N12" s="342">
        <v>24</v>
      </c>
      <c r="O12" s="30">
        <v>3</v>
      </c>
      <c r="P12" s="31">
        <f t="shared" si="5"/>
        <v>14</v>
      </c>
      <c r="Q12" s="33">
        <v>0</v>
      </c>
      <c r="R12" s="342">
        <v>9</v>
      </c>
      <c r="S12" s="31">
        <f t="shared" si="6"/>
        <v>9</v>
      </c>
      <c r="T12" s="30">
        <v>8</v>
      </c>
      <c r="U12" s="32">
        <f t="shared" si="7"/>
        <v>8</v>
      </c>
      <c r="V12" s="20">
        <f t="shared" si="8"/>
        <v>15</v>
      </c>
      <c r="W12" s="342">
        <v>18</v>
      </c>
      <c r="X12" s="342">
        <v>24</v>
      </c>
      <c r="Y12" s="30">
        <v>1</v>
      </c>
      <c r="Z12" s="31">
        <f t="shared" si="9"/>
        <v>5</v>
      </c>
      <c r="AA12" s="344">
        <v>0</v>
      </c>
      <c r="AB12" s="348">
        <v>7</v>
      </c>
      <c r="AC12" s="36">
        <f t="shared" si="10"/>
        <v>7</v>
      </c>
      <c r="AD12" s="30">
        <v>8</v>
      </c>
      <c r="AE12" s="32">
        <f t="shared" si="11"/>
        <v>4</v>
      </c>
      <c r="AF12" s="20">
        <f>IF(W12&gt;0,IF(AE$5&gt;0,(Z12+AC12)*2,(Z12+AC12-8)),0)*IF(Z12&lt;9,IF(AE$5&gt;0,1,2),1)+IF(Z12&gt;8,AC12,0)</f>
        <v>8</v>
      </c>
      <c r="AG12" s="37">
        <v>7</v>
      </c>
      <c r="AH12" s="342">
        <v>16</v>
      </c>
      <c r="AI12" s="30">
        <v>1</v>
      </c>
      <c r="AJ12" s="38">
        <f>+AH12-AG12-AI12</f>
        <v>8</v>
      </c>
      <c r="AK12" s="342"/>
      <c r="AL12" s="342"/>
      <c r="AM12" s="31">
        <f t="shared" si="13"/>
        <v>0</v>
      </c>
      <c r="AN12" s="39"/>
      <c r="AO12" s="40">
        <f t="shared" si="14"/>
        <v>16</v>
      </c>
      <c r="AP12" s="1282">
        <f t="shared" si="15"/>
        <v>68</v>
      </c>
      <c r="AQ12" s="1283"/>
      <c r="AR12" s="1284">
        <f t="shared" si="16"/>
        <v>349.1</v>
      </c>
      <c r="AS12" s="1285"/>
      <c r="AT12" s="345">
        <f t="shared" si="17"/>
        <v>28</v>
      </c>
      <c r="AV12" s="26">
        <f t="shared" si="18"/>
        <v>4</v>
      </c>
      <c r="AW12" s="26">
        <f t="shared" si="19"/>
        <v>15</v>
      </c>
      <c r="AX12" s="26">
        <f t="shared" si="20"/>
        <v>8</v>
      </c>
      <c r="AY12" s="27">
        <f t="shared" si="21"/>
        <v>16</v>
      </c>
      <c r="AZ12" s="26">
        <f t="shared" si="22"/>
        <v>7</v>
      </c>
      <c r="BA12" s="26">
        <f t="shared" si="23"/>
        <v>14</v>
      </c>
      <c r="BB12" s="26">
        <f t="shared" si="24"/>
        <v>4</v>
      </c>
      <c r="BC12" s="28"/>
      <c r="BD12" s="339">
        <f t="shared" si="25"/>
        <v>5.1339285714285712</v>
      </c>
      <c r="BE12" s="340">
        <f t="shared" si="26"/>
        <v>349.10714285714283</v>
      </c>
      <c r="BF12" s="341">
        <f t="shared" si="27"/>
        <v>82.142857142857139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697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18</v>
      </c>
      <c r="Y13" s="30">
        <v>1</v>
      </c>
      <c r="Z13" s="31">
        <f t="shared" si="9"/>
        <v>10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2</v>
      </c>
      <c r="AG13" s="33">
        <v>8</v>
      </c>
      <c r="AH13" s="346">
        <v>14</v>
      </c>
      <c r="AI13" s="42">
        <v>1</v>
      </c>
      <c r="AJ13" s="38">
        <f>+AH13-AG13-AI13</f>
        <v>5</v>
      </c>
      <c r="AK13" s="342"/>
      <c r="AL13" s="346"/>
      <c r="AM13" s="31">
        <f t="shared" si="13"/>
        <v>0</v>
      </c>
      <c r="AN13" s="43"/>
      <c r="AO13" s="40">
        <f t="shared" si="14"/>
        <v>10</v>
      </c>
      <c r="AP13" s="1282">
        <f t="shared" si="15"/>
        <v>14</v>
      </c>
      <c r="AQ13" s="1283"/>
      <c r="AR13" s="1284">
        <f t="shared" si="16"/>
        <v>71.900000000000006</v>
      </c>
      <c r="AS13" s="1285"/>
      <c r="AT13" s="345">
        <f t="shared" si="17"/>
        <v>24</v>
      </c>
      <c r="AV13" s="26">
        <f t="shared" si="18"/>
        <v>0</v>
      </c>
      <c r="AW13" s="26">
        <f t="shared" si="19"/>
        <v>0</v>
      </c>
      <c r="AX13" s="26">
        <f t="shared" si="20"/>
        <v>2</v>
      </c>
      <c r="AY13" s="27">
        <f t="shared" si="21"/>
        <v>10</v>
      </c>
      <c r="AZ13" s="26">
        <f t="shared" si="22"/>
        <v>1</v>
      </c>
      <c r="BA13" s="26">
        <f t="shared" si="23"/>
        <v>0</v>
      </c>
      <c r="BB13" s="26">
        <f t="shared" si="24"/>
        <v>1</v>
      </c>
      <c r="BC13" s="28"/>
      <c r="BD13" s="339">
        <f t="shared" si="25"/>
        <v>5.1339285714285712</v>
      </c>
      <c r="BE13" s="340">
        <f t="shared" si="26"/>
        <v>71.875</v>
      </c>
      <c r="BF13" s="341">
        <f t="shared" si="27"/>
        <v>51.339285714285708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19</v>
      </c>
      <c r="D14" s="346">
        <v>24</v>
      </c>
      <c r="E14" s="42">
        <v>1</v>
      </c>
      <c r="F14" s="44">
        <f t="shared" si="1"/>
        <v>4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3</v>
      </c>
      <c r="M14" s="347">
        <v>19</v>
      </c>
      <c r="N14" s="346">
        <v>24</v>
      </c>
      <c r="O14" s="42">
        <v>1</v>
      </c>
      <c r="P14" s="44">
        <f t="shared" si="5"/>
        <v>4</v>
      </c>
      <c r="Q14" s="346">
        <v>0</v>
      </c>
      <c r="R14" s="348">
        <v>9</v>
      </c>
      <c r="S14" s="44">
        <f t="shared" si="6"/>
        <v>9</v>
      </c>
      <c r="T14" s="42">
        <v>8</v>
      </c>
      <c r="U14" s="45">
        <f t="shared" si="7"/>
        <v>8</v>
      </c>
      <c r="V14" s="20">
        <f t="shared" si="8"/>
        <v>5</v>
      </c>
      <c r="W14" s="347">
        <v>18</v>
      </c>
      <c r="X14" s="346">
        <v>24</v>
      </c>
      <c r="Y14" s="42">
        <v>1</v>
      </c>
      <c r="Z14" s="44">
        <f t="shared" si="9"/>
        <v>5</v>
      </c>
      <c r="AA14" s="344">
        <v>0</v>
      </c>
      <c r="AB14" s="344">
        <v>7</v>
      </c>
      <c r="AC14" s="36">
        <f t="shared" si="10"/>
        <v>7</v>
      </c>
      <c r="AD14" s="42">
        <v>8</v>
      </c>
      <c r="AE14" s="45">
        <f t="shared" si="11"/>
        <v>4</v>
      </c>
      <c r="AF14" s="20">
        <f>IF(W14&gt;0,IF(AE$5&gt;0,(Z14+AC14)*2,(Z14+AC14-8)),0)*IF(Z14&lt;9,IF(AE$5&gt;0,1,2),1)+IF(Z14&gt;8,AC14,0)</f>
        <v>8</v>
      </c>
      <c r="AG14" s="37">
        <v>7</v>
      </c>
      <c r="AH14" s="342">
        <v>16</v>
      </c>
      <c r="AI14" s="30">
        <v>1</v>
      </c>
      <c r="AJ14" s="38">
        <f t="shared" si="12"/>
        <v>8</v>
      </c>
      <c r="AK14" s="342"/>
      <c r="AL14" s="342"/>
      <c r="AM14" s="31">
        <f t="shared" si="13"/>
        <v>0</v>
      </c>
      <c r="AN14" s="47"/>
      <c r="AO14" s="40">
        <f t="shared" si="14"/>
        <v>16</v>
      </c>
      <c r="AP14" s="1282">
        <f t="shared" si="15"/>
        <v>53</v>
      </c>
      <c r="AQ14" s="1283"/>
      <c r="AR14" s="1284">
        <f t="shared" si="16"/>
        <v>220.8</v>
      </c>
      <c r="AS14" s="1285"/>
      <c r="AT14" s="345">
        <f t="shared" si="17"/>
        <v>24</v>
      </c>
      <c r="AV14" s="26">
        <f t="shared" si="18"/>
        <v>3</v>
      </c>
      <c r="AW14" s="26">
        <f t="shared" si="19"/>
        <v>5</v>
      </c>
      <c r="AX14" s="26">
        <f t="shared" si="20"/>
        <v>8</v>
      </c>
      <c r="AY14" s="27">
        <f t="shared" si="21"/>
        <v>16</v>
      </c>
      <c r="AZ14" s="26">
        <f t="shared" si="22"/>
        <v>7</v>
      </c>
      <c r="BA14" s="26">
        <f t="shared" si="23"/>
        <v>0</v>
      </c>
      <c r="BB14" s="26">
        <f t="shared" si="24"/>
        <v>14</v>
      </c>
      <c r="BC14" s="28"/>
      <c r="BD14" s="339">
        <f t="shared" si="25"/>
        <v>4.1666785714285712</v>
      </c>
      <c r="BE14" s="340">
        <f t="shared" si="26"/>
        <v>220.83396428571427</v>
      </c>
      <c r="BF14" s="341">
        <f t="shared" si="27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11</v>
      </c>
      <c r="D15" s="342">
        <v>17</v>
      </c>
      <c r="E15" s="30">
        <v>1</v>
      </c>
      <c r="F15" s="31">
        <f t="shared" si="1"/>
        <v>5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-3</v>
      </c>
      <c r="M15" s="697">
        <v>8</v>
      </c>
      <c r="N15" s="342">
        <v>16</v>
      </c>
      <c r="O15" s="30">
        <v>1</v>
      </c>
      <c r="P15" s="31">
        <f t="shared" si="5"/>
        <v>7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-1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0</v>
      </c>
      <c r="AQ15" s="1295"/>
      <c r="AR15" s="1284">
        <f t="shared" si="16"/>
        <v>0</v>
      </c>
      <c r="AS15" s="1285"/>
      <c r="AT15" s="345">
        <f t="shared" si="17"/>
        <v>24</v>
      </c>
      <c r="AV15" s="26">
        <f t="shared" si="18"/>
        <v>-3</v>
      </c>
      <c r="AW15" s="26">
        <f t="shared" si="19"/>
        <v>-1</v>
      </c>
      <c r="AX15" s="26">
        <f t="shared" si="20"/>
        <v>0</v>
      </c>
      <c r="AY15" s="27">
        <f t="shared" si="21"/>
        <v>0</v>
      </c>
      <c r="AZ15" s="26">
        <f t="shared" si="22"/>
        <v>2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0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/>
      <c r="D16" s="342"/>
      <c r="E16" s="30"/>
      <c r="F16" s="31">
        <f>+D16-C16-E16</f>
        <v>0</v>
      </c>
      <c r="G16" s="342"/>
      <c r="H16" s="342"/>
      <c r="I16" s="31">
        <f>+H16-G16</f>
        <v>0</v>
      </c>
      <c r="J16" s="30"/>
      <c r="K16" s="32">
        <f>+I16+F16-L16</f>
        <v>0</v>
      </c>
      <c r="L16" s="20">
        <f>IF(C16&gt;0,(F16+I16)+IF(K$5&gt;0,F16,-8),0)+IF(U$5&gt;0,I16,0)</f>
        <v>0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/>
      <c r="X16" s="346"/>
      <c r="Y16" s="42"/>
      <c r="Z16" s="44">
        <f>+X16-W16-Y16</f>
        <v>0</v>
      </c>
      <c r="AA16" s="47"/>
      <c r="AB16" s="53"/>
      <c r="AC16" s="31">
        <f>+AB16-AA16</f>
        <v>0</v>
      </c>
      <c r="AD16" s="30"/>
      <c r="AE16" s="32">
        <f>+AC16+Z16-IF(AE$5&gt;0,AF16/2,AF16)</f>
        <v>0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17</v>
      </c>
      <c r="E18" s="30">
        <v>1</v>
      </c>
      <c r="F18" s="31">
        <f>+D18-C18-E18</f>
        <v>9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1</v>
      </c>
      <c r="M18" s="342">
        <v>7</v>
      </c>
      <c r="N18" s="342">
        <v>16</v>
      </c>
      <c r="O18" s="30">
        <v>1</v>
      </c>
      <c r="P18" s="31">
        <f>+N18-M18-O18</f>
        <v>8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0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20</v>
      </c>
      <c r="AQ18" s="1283"/>
      <c r="AR18" s="1284">
        <f t="shared" si="16"/>
        <v>70.8</v>
      </c>
      <c r="AS18" s="1285"/>
      <c r="AT18" s="345">
        <f t="shared" si="17"/>
        <v>24</v>
      </c>
      <c r="AV18" s="26">
        <f t="shared" si="18"/>
        <v>1</v>
      </c>
      <c r="AW18" s="26">
        <f t="shared" si="19"/>
        <v>0</v>
      </c>
      <c r="AX18" s="26">
        <f t="shared" si="20"/>
        <v>2</v>
      </c>
      <c r="AY18" s="27">
        <f t="shared" si="21"/>
        <v>0</v>
      </c>
      <c r="AZ18" s="26">
        <f t="shared" si="22"/>
        <v>1</v>
      </c>
      <c r="BA18" s="26">
        <f t="shared" si="23"/>
        <v>14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70.833321428571438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695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 xml:space="preserve">  -  .  -  </v>
      </c>
      <c r="C21" s="520"/>
      <c r="D21" s="516"/>
      <c r="E21" s="516"/>
      <c r="F21" s="517">
        <f>+D21-C21-E21</f>
        <v>0</v>
      </c>
      <c r="G21" s="516"/>
      <c r="H21" s="516"/>
      <c r="I21" s="517">
        <f>+H21-G21</f>
        <v>0</v>
      </c>
      <c r="J21" s="516"/>
      <c r="K21" s="517">
        <f>+I21+F21-L21</f>
        <v>0</v>
      </c>
      <c r="L21" s="518">
        <f t="shared" si="4"/>
        <v>0</v>
      </c>
      <c r="M21" s="696"/>
      <c r="N21" s="516"/>
      <c r="O21" s="516"/>
      <c r="P21" s="517">
        <f>+N21-M21-O21</f>
        <v>0</v>
      </c>
      <c r="Q21" s="516"/>
      <c r="R21" s="516"/>
      <c r="S21" s="517">
        <f>+R21-Q21</f>
        <v>0</v>
      </c>
      <c r="T21" s="516"/>
      <c r="U21" s="517">
        <f>+S21+P21-V21</f>
        <v>0</v>
      </c>
      <c r="V21" s="518">
        <f>IF(M21&gt;0,(P21+S21)+IF(U$5&gt;0,P21,-8),0)+IF(AE$5&gt;0,S21,0)</f>
        <v>0</v>
      </c>
      <c r="W21" s="516"/>
      <c r="X21" s="516"/>
      <c r="Y21" s="516"/>
      <c r="Z21" s="517">
        <f>+X21-W21-Y21</f>
        <v>0</v>
      </c>
      <c r="AA21" s="516"/>
      <c r="AB21" s="534"/>
      <c r="AC21" s="517">
        <f>+AB21-AA21</f>
        <v>0</v>
      </c>
      <c r="AD21" s="516"/>
      <c r="AE21" s="517">
        <f>+AC21+Z21-IF(AE$5&gt;0,AF21/2,AF21)</f>
        <v>0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0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4.583328571428571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460">
        <f>+I22+F22-L22</f>
        <v>8</v>
      </c>
      <c r="L22" s="461">
        <f t="shared" si="4"/>
        <v>2</v>
      </c>
      <c r="M22" s="694">
        <v>7</v>
      </c>
      <c r="N22" s="459">
        <v>17</v>
      </c>
      <c r="O22" s="459">
        <v>1</v>
      </c>
      <c r="P22" s="460">
        <f>+N22-M22-O22</f>
        <v>9</v>
      </c>
      <c r="Q22" s="459"/>
      <c r="R22" s="459"/>
      <c r="S22" s="460">
        <f>+R22-Q22</f>
        <v>0</v>
      </c>
      <c r="T22" s="459"/>
      <c r="U22" s="460">
        <f>+S22+P22-V22</f>
        <v>8</v>
      </c>
      <c r="V22" s="461">
        <f>IF(M22&gt;0,(P22+S22)+IF(U$5&gt;0,P22,-8),0)+IF(AE$5&gt;0,S22,0)</f>
        <v>1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2</v>
      </c>
      <c r="AG22" s="459">
        <v>7</v>
      </c>
      <c r="AH22" s="459">
        <v>16</v>
      </c>
      <c r="AI22" s="459">
        <v>1</v>
      </c>
      <c r="AJ22" s="464">
        <f t="shared" si="12"/>
        <v>8</v>
      </c>
      <c r="AK22" s="459"/>
      <c r="AL22" s="459"/>
      <c r="AM22" s="460">
        <f>+AL22-AK22</f>
        <v>0</v>
      </c>
      <c r="AN22" s="459"/>
      <c r="AO22" s="465">
        <f>(AJ22*2+AM22)</f>
        <v>16</v>
      </c>
      <c r="AP22" s="1290">
        <f t="shared" si="15"/>
        <v>26</v>
      </c>
      <c r="AQ22" s="1291"/>
      <c r="AR22" s="1292">
        <f>ROUND(BD22*AP22,1)</f>
        <v>92.1</v>
      </c>
      <c r="AS22" s="1293"/>
      <c r="AT22" s="488">
        <f t="shared" si="17"/>
        <v>28</v>
      </c>
      <c r="AV22" s="69">
        <f>+L22</f>
        <v>2</v>
      </c>
      <c r="AW22" s="69">
        <f>+V22</f>
        <v>1</v>
      </c>
      <c r="AX22" s="69">
        <f>+AF22</f>
        <v>2</v>
      </c>
      <c r="AY22" s="70">
        <f>+AO22</f>
        <v>16</v>
      </c>
      <c r="AZ22" s="69">
        <f>+L43</f>
        <v>1</v>
      </c>
      <c r="BA22" s="69">
        <f>+V43</f>
        <v>2</v>
      </c>
      <c r="BB22" s="69">
        <f>+AF43</f>
        <v>2</v>
      </c>
      <c r="BC22" s="28"/>
      <c r="BD22" s="339">
        <f>+I82</f>
        <v>3.5416625000000002</v>
      </c>
      <c r="BE22" s="351">
        <f>+BD22*AP22</f>
        <v>92.083224999999999</v>
      </c>
      <c r="BF22" s="352">
        <f>+BD22*AY22</f>
        <v>56.666600000000003</v>
      </c>
    </row>
    <row r="23" spans="1:58" s="55" customFormat="1" ht="14.1" customHeight="1">
      <c r="A23" s="50"/>
      <c r="B23" s="513" t="str">
        <f t="shared" si="0"/>
        <v xml:space="preserve">  -  .  -  </v>
      </c>
      <c r="C23" s="671"/>
      <c r="D23" s="672"/>
      <c r="E23" s="672"/>
      <c r="F23" s="673">
        <f>+D23-C23-E23</f>
        <v>0</v>
      </c>
      <c r="G23" s="672"/>
      <c r="H23" s="672"/>
      <c r="I23" s="673">
        <f>+H23-G23</f>
        <v>0</v>
      </c>
      <c r="J23" s="672"/>
      <c r="K23" s="673">
        <f>+I23+F23-L23</f>
        <v>0</v>
      </c>
      <c r="L23" s="674">
        <f t="shared" si="4"/>
        <v>0</v>
      </c>
      <c r="M23" s="675"/>
      <c r="N23" s="672"/>
      <c r="O23" s="672"/>
      <c r="P23" s="673">
        <f>+N23-M23-O23</f>
        <v>0</v>
      </c>
      <c r="Q23" s="672"/>
      <c r="R23" s="672"/>
      <c r="S23" s="673">
        <f>+R23-Q23</f>
        <v>0</v>
      </c>
      <c r="T23" s="672"/>
      <c r="U23" s="673">
        <f>+S23+P23-V23</f>
        <v>0</v>
      </c>
      <c r="V23" s="674">
        <f>IF(M23&gt;0,(P23+S23)+IF(U$5&gt;0,P23,-8),0)+IF(AE$5&gt;0,S23,0)</f>
        <v>0</v>
      </c>
      <c r="W23" s="672"/>
      <c r="X23" s="672"/>
      <c r="Y23" s="672"/>
      <c r="Z23" s="673">
        <f>+X23-W23-Y23</f>
        <v>0</v>
      </c>
      <c r="AA23" s="672"/>
      <c r="AB23" s="676"/>
      <c r="AC23" s="673">
        <f>+AB23-AA23</f>
        <v>0</v>
      </c>
      <c r="AD23" s="672"/>
      <c r="AE23" s="673">
        <f>+AC23+Z23-IF(AE$5&gt;0,AF23/2,AF23)</f>
        <v>0</v>
      </c>
      <c r="AF23" s="674">
        <f t="shared" si="28"/>
        <v>0</v>
      </c>
      <c r="AG23" s="672"/>
      <c r="AH23" s="672"/>
      <c r="AI23" s="672"/>
      <c r="AJ23" s="677">
        <f t="shared" si="12"/>
        <v>0</v>
      </c>
      <c r="AK23" s="672"/>
      <c r="AL23" s="672"/>
      <c r="AM23" s="673">
        <f>+AL23-AK23</f>
        <v>0</v>
      </c>
      <c r="AN23" s="678"/>
      <c r="AO23" s="679">
        <f>(AJ23*2+AM23)</f>
        <v>0</v>
      </c>
      <c r="AP23" s="1282">
        <f t="shared" si="15"/>
        <v>0</v>
      </c>
      <c r="AQ23" s="1283"/>
      <c r="AR23" s="1272">
        <f>ROUND(BD23*AP23,1)</f>
        <v>0</v>
      </c>
      <c r="AS23" s="1273"/>
      <c r="AT23" s="359">
        <f t="shared" si="17"/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0</v>
      </c>
      <c r="BA23" s="69">
        <f>+V44</f>
        <v>0</v>
      </c>
      <c r="BB23" s="69">
        <f>+AF44</f>
        <v>0</v>
      </c>
      <c r="BC23" s="54"/>
      <c r="BD23" s="339">
        <f>+I83</f>
        <v>4.1666625000000002</v>
      </c>
      <c r="BE23" s="351">
        <f>+BD23*AP23</f>
        <v>0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800.18622500000004</v>
      </c>
      <c r="BF25" s="1242">
        <f>SUM(BF11:BF24)</f>
        <v>256.81559999999996</v>
      </c>
    </row>
    <row r="26" spans="1:58" ht="10.9" customHeight="1">
      <c r="B26" s="1244" t="s">
        <v>1</v>
      </c>
      <c r="C26" s="1140">
        <f>1+AG5</f>
        <v>43213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43214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43215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43209</v>
      </c>
      <c r="AJ26" s="1218">
        <f t="shared" ref="AJ26:AO26" si="29">1+AI26</f>
        <v>43210</v>
      </c>
      <c r="AK26" s="1218">
        <f t="shared" si="29"/>
        <v>43211</v>
      </c>
      <c r="AL26" s="1219">
        <f t="shared" si="29"/>
        <v>43212</v>
      </c>
      <c r="AM26" s="1219">
        <f t="shared" si="29"/>
        <v>43213</v>
      </c>
      <c r="AN26" s="1220">
        <f t="shared" si="29"/>
        <v>43214</v>
      </c>
      <c r="AO26" s="1220">
        <f t="shared" si="29"/>
        <v>43215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43212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180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122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 t="shared" ref="V32:V45" si="37">IF(M32&gt;0,(P32+S32)+IF(U$27&gt;0,P32,-8),0)+IF(AE$27&gt;0,S32,0)</f>
        <v>0</v>
      </c>
      <c r="W32" s="369">
        <v>8</v>
      </c>
      <c r="X32" s="370">
        <v>16</v>
      </c>
      <c r="Y32" s="108">
        <v>1</v>
      </c>
      <c r="Z32" s="109">
        <f t="shared" ref="Z32:Z45" si="38">+X32-W32-Y32</f>
        <v>7</v>
      </c>
      <c r="AA32" s="370"/>
      <c r="AB32" s="18"/>
      <c r="AC32" s="109">
        <f t="shared" ref="AC32:AC45" si="39">+AB32-AA32</f>
        <v>0</v>
      </c>
      <c r="AD32" s="108"/>
      <c r="AE32" s="110">
        <f t="shared" ref="AE32:AE45" si="40">+AC32+Z32-AF32</f>
        <v>8</v>
      </c>
      <c r="AF32" s="111">
        <f t="shared" ref="AF32:AF45" si="41">IF(W32&gt;0,(Z32+AC32)+IF(AE$26&gt;0,0+Z32,-8),0)</f>
        <v>-1</v>
      </c>
      <c r="AG32" s="55"/>
      <c r="AH32" s="112">
        <v>0</v>
      </c>
      <c r="AI32" s="113">
        <f t="shared" ref="AI32:AI45" si="42">+K11+(IF(ISBLANK($K$5),-8,0))</f>
        <v>0</v>
      </c>
      <c r="AJ32" s="113">
        <f t="shared" ref="AJ32:AJ45" si="43">IF(ISBLANK($U$5),-8,0)+U11</f>
        <v>0</v>
      </c>
      <c r="AK32" s="113">
        <f>IF(ISBLANK($AE$5),-8,0)+AE11</f>
        <v>0.5</v>
      </c>
      <c r="AL32" s="113">
        <f t="shared" ref="AL32:AL45" si="44">IF(ISBLANK($AO$5),-8,0)+AO11+AW32</f>
        <v>0</v>
      </c>
      <c r="AM32" s="113">
        <f t="shared" ref="AM32:AM45" si="45">IF(ISBLANK($K$26),-8,0)+K32</f>
        <v>0</v>
      </c>
      <c r="AN32" s="113">
        <f t="shared" ref="AN32:AN45" si="46">IF(ISBLANK($U$26),-8,0)+U32</f>
        <v>0</v>
      </c>
      <c r="AO32" s="113">
        <f t="shared" ref="AO32:AO45" si="47">IF(ISBLANK($AE$26),-8,0)+AE32</f>
        <v>0</v>
      </c>
      <c r="AP32" s="114">
        <f t="shared" ref="AP32:AP45" si="48">SUM(AH32:AO32)</f>
        <v>0.5</v>
      </c>
      <c r="AQ32" s="55"/>
      <c r="AR32" s="1159">
        <f t="shared" ref="AR32:AR38" si="49">+X71*Q71</f>
        <v>0</v>
      </c>
      <c r="AS32" s="1197"/>
      <c r="AT32" s="117">
        <f t="shared" ref="AT32:AT41" si="50">IF(K11+L11&gt;0,1,0)+IF(U11+V11&gt;0,1,0)+IF(AE11+AF11&gt;0,1,0)+IF(AO11&gt;3,1,0)+IF(K32+L32&gt;0,1,0)+IF(U32+V32&gt;0,1,0)+IF(AE32+AF32&gt;0,1,0)</f>
        <v>6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23</v>
      </c>
      <c r="E33" s="30">
        <v>1</v>
      </c>
      <c r="F33" s="31">
        <f t="shared" si="31"/>
        <v>15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7</v>
      </c>
      <c r="M33" s="342">
        <v>7</v>
      </c>
      <c r="N33" s="342">
        <v>24</v>
      </c>
      <c r="O33" s="30">
        <v>2</v>
      </c>
      <c r="P33" s="31">
        <f t="shared" si="34"/>
        <v>15</v>
      </c>
      <c r="Q33" s="346">
        <v>0</v>
      </c>
      <c r="R33" s="346">
        <v>7</v>
      </c>
      <c r="S33" s="31">
        <f t="shared" si="35"/>
        <v>7</v>
      </c>
      <c r="T33" s="30">
        <v>8</v>
      </c>
      <c r="U33" s="32">
        <f t="shared" si="36"/>
        <v>8</v>
      </c>
      <c r="V33" s="20">
        <f t="shared" si="37"/>
        <v>14</v>
      </c>
      <c r="W33" s="334">
        <v>18</v>
      </c>
      <c r="X33" s="342">
        <v>24</v>
      </c>
      <c r="Y33" s="30">
        <v>1</v>
      </c>
      <c r="Z33" s="31">
        <f t="shared" si="38"/>
        <v>5</v>
      </c>
      <c r="AA33" s="342">
        <v>0</v>
      </c>
      <c r="AB33" s="346">
        <v>7</v>
      </c>
      <c r="AC33" s="31">
        <f t="shared" si="39"/>
        <v>7</v>
      </c>
      <c r="AD33" s="30">
        <v>8</v>
      </c>
      <c r="AE33" s="32">
        <f t="shared" si="40"/>
        <v>8</v>
      </c>
      <c r="AF33" s="20">
        <f t="shared" si="41"/>
        <v>4</v>
      </c>
      <c r="AG33" s="55"/>
      <c r="AH33" s="112">
        <v>0</v>
      </c>
      <c r="AI33" s="113">
        <f t="shared" si="42"/>
        <v>0</v>
      </c>
      <c r="AJ33" s="113">
        <f t="shared" si="43"/>
        <v>0</v>
      </c>
      <c r="AK33" s="113">
        <f>IF(ISBLANK($AE$5),-8,0)+AE12</f>
        <v>-4</v>
      </c>
      <c r="AL33" s="113">
        <f t="shared" si="44"/>
        <v>0</v>
      </c>
      <c r="AM33" s="113">
        <f t="shared" si="45"/>
        <v>0</v>
      </c>
      <c r="AN33" s="113">
        <f t="shared" si="46"/>
        <v>0</v>
      </c>
      <c r="AO33" s="113">
        <f t="shared" si="47"/>
        <v>0</v>
      </c>
      <c r="AP33" s="114">
        <f t="shared" si="48"/>
        <v>-4</v>
      </c>
      <c r="AQ33" s="55"/>
      <c r="AR33" s="1159">
        <f t="shared" si="49"/>
        <v>3.8928571428571601</v>
      </c>
      <c r="AS33" s="1160"/>
      <c r="AT33" s="117">
        <f t="shared" si="50"/>
        <v>7</v>
      </c>
      <c r="AU33" s="55"/>
      <c r="AV33" s="55"/>
      <c r="AW33" s="1134">
        <v>-16</v>
      </c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17</v>
      </c>
      <c r="E34" s="30">
        <v>1</v>
      </c>
      <c r="F34" s="31">
        <f t="shared" si="31"/>
        <v>9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1">IF(C34&gt;0,(F34+I34)+IF(K$26&gt;0,F34,-8),0)+IF(U$26&gt;0,I34,0)</f>
        <v>1</v>
      </c>
      <c r="M34" s="334"/>
      <c r="N34" s="342"/>
      <c r="O34" s="30"/>
      <c r="P34" s="31">
        <f t="shared" si="34"/>
        <v>0</v>
      </c>
      <c r="Q34" s="106"/>
      <c r="R34" s="106"/>
      <c r="S34" s="31">
        <f t="shared" si="35"/>
        <v>0</v>
      </c>
      <c r="T34" s="30"/>
      <c r="U34" s="32">
        <f t="shared" si="36"/>
        <v>0</v>
      </c>
      <c r="V34" s="20">
        <f t="shared" si="37"/>
        <v>0</v>
      </c>
      <c r="W34" s="334">
        <v>7</v>
      </c>
      <c r="X34" s="342">
        <v>17</v>
      </c>
      <c r="Y34" s="30">
        <v>1</v>
      </c>
      <c r="Z34" s="31">
        <f t="shared" si="38"/>
        <v>9</v>
      </c>
      <c r="AA34" s="342"/>
      <c r="AB34" s="116"/>
      <c r="AC34" s="31">
        <f t="shared" si="39"/>
        <v>0</v>
      </c>
      <c r="AD34" s="30"/>
      <c r="AE34" s="32">
        <f t="shared" si="40"/>
        <v>8</v>
      </c>
      <c r="AF34" s="20">
        <f t="shared" si="41"/>
        <v>1</v>
      </c>
      <c r="AG34" s="55"/>
      <c r="AH34" s="112">
        <v>0</v>
      </c>
      <c r="AI34" s="113">
        <f t="shared" si="42"/>
        <v>0</v>
      </c>
      <c r="AJ34" s="113">
        <f t="shared" si="43"/>
        <v>0</v>
      </c>
      <c r="AK34" s="113">
        <f>IF(ISBLANK($AE$5),-8,0)+AE13</f>
        <v>0</v>
      </c>
      <c r="AL34" s="113">
        <f t="shared" si="44"/>
        <v>0</v>
      </c>
      <c r="AM34" s="113">
        <f t="shared" si="45"/>
        <v>0</v>
      </c>
      <c r="AN34" s="113">
        <f t="shared" si="46"/>
        <v>-8</v>
      </c>
      <c r="AO34" s="113">
        <f t="shared" si="47"/>
        <v>0</v>
      </c>
      <c r="AP34" s="114">
        <f t="shared" si="48"/>
        <v>-8</v>
      </c>
      <c r="AQ34" s="55"/>
      <c r="AR34" s="1159">
        <f t="shared" si="49"/>
        <v>0</v>
      </c>
      <c r="AS34" s="1160"/>
      <c r="AT34" s="118">
        <f t="shared" si="50"/>
        <v>6</v>
      </c>
      <c r="AU34" s="55"/>
      <c r="AV34" s="55"/>
      <c r="AW34" s="1134">
        <v>-10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23</v>
      </c>
      <c r="E35" s="119">
        <v>1</v>
      </c>
      <c r="F35" s="120">
        <f t="shared" si="31"/>
        <v>15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1"/>
        <v>7</v>
      </c>
      <c r="M35" s="342"/>
      <c r="N35" s="342"/>
      <c r="O35" s="30"/>
      <c r="P35" s="31">
        <f t="shared" si="34"/>
        <v>0</v>
      </c>
      <c r="Q35" s="346"/>
      <c r="R35" s="346"/>
      <c r="S35" s="120">
        <f t="shared" si="35"/>
        <v>0</v>
      </c>
      <c r="T35" s="30"/>
      <c r="U35" s="32">
        <f t="shared" si="36"/>
        <v>0</v>
      </c>
      <c r="V35" s="20">
        <f t="shared" si="37"/>
        <v>0</v>
      </c>
      <c r="W35" s="334">
        <v>7</v>
      </c>
      <c r="X35" s="342">
        <v>24</v>
      </c>
      <c r="Y35" s="30">
        <v>2</v>
      </c>
      <c r="Z35" s="31">
        <f t="shared" si="38"/>
        <v>15</v>
      </c>
      <c r="AA35" s="342">
        <v>0</v>
      </c>
      <c r="AB35" s="342">
        <v>7</v>
      </c>
      <c r="AC35" s="31">
        <f t="shared" si="39"/>
        <v>7</v>
      </c>
      <c r="AD35" s="30">
        <v>8</v>
      </c>
      <c r="AE35" s="32">
        <f t="shared" si="40"/>
        <v>8</v>
      </c>
      <c r="AF35" s="20">
        <f t="shared" si="41"/>
        <v>14</v>
      </c>
      <c r="AG35" s="55"/>
      <c r="AH35" s="112">
        <v>0</v>
      </c>
      <c r="AI35" s="113">
        <f t="shared" si="42"/>
        <v>0</v>
      </c>
      <c r="AJ35" s="113">
        <f t="shared" si="43"/>
        <v>0</v>
      </c>
      <c r="AK35" s="113">
        <f>IF(ISBLANK($AE$5),-8,0)+AE14</f>
        <v>-4</v>
      </c>
      <c r="AL35" s="113">
        <f t="shared" si="44"/>
        <v>0</v>
      </c>
      <c r="AM35" s="113">
        <f t="shared" si="45"/>
        <v>0</v>
      </c>
      <c r="AN35" s="113">
        <f t="shared" si="46"/>
        <v>-8</v>
      </c>
      <c r="AO35" s="113">
        <f t="shared" si="47"/>
        <v>0</v>
      </c>
      <c r="AP35" s="114">
        <f t="shared" si="48"/>
        <v>-12</v>
      </c>
      <c r="AQ35" s="55"/>
      <c r="AR35" s="1159">
        <f t="shared" si="49"/>
        <v>34.066285714285726</v>
      </c>
      <c r="AS35" s="1160"/>
      <c r="AT35" s="118">
        <f t="shared" si="50"/>
        <v>6</v>
      </c>
      <c r="AU35" s="55"/>
      <c r="AV35" s="55"/>
      <c r="AW35" s="1195">
        <v>-16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7</v>
      </c>
      <c r="D36" s="342">
        <v>18</v>
      </c>
      <c r="E36" s="30">
        <v>1</v>
      </c>
      <c r="F36" s="31">
        <f t="shared" si="31"/>
        <v>10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1"/>
        <v>2</v>
      </c>
      <c r="M36" s="342">
        <v>8</v>
      </c>
      <c r="N36" s="342">
        <v>18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37"/>
        <v>1</v>
      </c>
      <c r="W36" s="334">
        <v>8</v>
      </c>
      <c r="X36" s="342">
        <v>18</v>
      </c>
      <c r="Y36" s="30">
        <v>1</v>
      </c>
      <c r="Z36" s="31">
        <f t="shared" si="38"/>
        <v>9</v>
      </c>
      <c r="AA36" s="342"/>
      <c r="AB36" s="342"/>
      <c r="AC36" s="31">
        <f t="shared" si="39"/>
        <v>0</v>
      </c>
      <c r="AD36" s="30"/>
      <c r="AE36" s="32">
        <f t="shared" si="40"/>
        <v>8</v>
      </c>
      <c r="AF36" s="20">
        <f t="shared" si="41"/>
        <v>1</v>
      </c>
      <c r="AG36" s="55"/>
      <c r="AH36" s="112">
        <v>0</v>
      </c>
      <c r="AI36" s="113">
        <f t="shared" si="42"/>
        <v>0</v>
      </c>
      <c r="AJ36" s="113">
        <f t="shared" si="43"/>
        <v>0</v>
      </c>
      <c r="AK36" s="113">
        <f>IF(ISBLANK($AE$5),-8,0)+AE15</f>
        <v>0</v>
      </c>
      <c r="AL36" s="113">
        <f t="shared" si="44"/>
        <v>0</v>
      </c>
      <c r="AM36" s="113">
        <f t="shared" si="45"/>
        <v>0</v>
      </c>
      <c r="AN36" s="113">
        <f t="shared" si="46"/>
        <v>0</v>
      </c>
      <c r="AO36" s="113">
        <f t="shared" si="47"/>
        <v>0</v>
      </c>
      <c r="AP36" s="114">
        <f t="shared" si="48"/>
        <v>0</v>
      </c>
      <c r="AQ36" s="55"/>
      <c r="AR36" s="1159">
        <f t="shared" si="49"/>
        <v>0</v>
      </c>
      <c r="AS36" s="1160"/>
      <c r="AT36" s="118">
        <f t="shared" si="50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/>
      <c r="D37" s="342"/>
      <c r="E37" s="30"/>
      <c r="F37" s="31">
        <f>+D37-C37-E37</f>
        <v>0</v>
      </c>
      <c r="G37" s="33"/>
      <c r="H37" s="346"/>
      <c r="I37" s="31">
        <f>+H37-G37</f>
        <v>0</v>
      </c>
      <c r="J37" s="30"/>
      <c r="K37" s="32">
        <f>+I37+F37-L37</f>
        <v>0</v>
      </c>
      <c r="L37" s="20">
        <f t="shared" si="51"/>
        <v>0</v>
      </c>
      <c r="M37" s="342"/>
      <c r="N37" s="342"/>
      <c r="O37" s="30"/>
      <c r="P37" s="31">
        <f>+N37-M37-O37</f>
        <v>0</v>
      </c>
      <c r="Q37" s="106"/>
      <c r="R37" s="106"/>
      <c r="S37" s="31">
        <f>+R37-Q37</f>
        <v>0</v>
      </c>
      <c r="T37" s="30"/>
      <c r="U37" s="32">
        <f>+S37+P37-V37</f>
        <v>0</v>
      </c>
      <c r="V37" s="20">
        <f>IF(M37&gt;0,(P37+S37)+IF(U$27&gt;0,P37,-8),0)+IF(AE$27&gt;0,S37,0)</f>
        <v>0</v>
      </c>
      <c r="W37" s="334"/>
      <c r="X37" s="342"/>
      <c r="Y37" s="30"/>
      <c r="Z37" s="31">
        <f>+X37-W37-Y37</f>
        <v>0</v>
      </c>
      <c r="AA37" s="342"/>
      <c r="AB37" s="342"/>
      <c r="AC37" s="31">
        <f>+AB37-AA37</f>
        <v>0</v>
      </c>
      <c r="AD37" s="30"/>
      <c r="AE37" s="32">
        <f>+AC37+Z37-AF37</f>
        <v>0</v>
      </c>
      <c r="AF37" s="20">
        <f t="shared" si="41"/>
        <v>0</v>
      </c>
      <c r="AG37" s="55"/>
      <c r="AH37" s="112">
        <v>0</v>
      </c>
      <c r="AI37" s="113">
        <f t="shared" si="42"/>
        <v>-8</v>
      </c>
      <c r="AJ37" s="113">
        <f t="shared" si="43"/>
        <v>-8</v>
      </c>
      <c r="AK37" s="124">
        <f>IF(ISBLANK($AE$5),-5,0)+AE16</f>
        <v>-5</v>
      </c>
      <c r="AL37" s="113">
        <f t="shared" si="44"/>
        <v>0</v>
      </c>
      <c r="AM37" s="125">
        <f>IF(ISBLANK($K$26),-8,0)+K37</f>
        <v>-8</v>
      </c>
      <c r="AN37" s="125">
        <f>IF(ISBLANK($U$26),-8,0)+U37</f>
        <v>-8</v>
      </c>
      <c r="AO37" s="125">
        <f>IF(ISBLANK($AE$26),-8,0)+AE37</f>
        <v>-8</v>
      </c>
      <c r="AP37" s="114">
        <f>SUM(AH37:AO37)</f>
        <v>-45</v>
      </c>
      <c r="AQ37" s="55"/>
      <c r="AR37" s="1159">
        <f t="shared" si="49"/>
        <v>0</v>
      </c>
      <c r="AS37" s="1160"/>
      <c r="AT37" s="118">
        <f t="shared" si="50"/>
        <v>0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1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37"/>
        <v>0</v>
      </c>
      <c r="W38" s="334"/>
      <c r="X38" s="342"/>
      <c r="Y38" s="30"/>
      <c r="Z38" s="31">
        <f t="shared" si="38"/>
        <v>0</v>
      </c>
      <c r="AA38" s="342"/>
      <c r="AB38" s="342"/>
      <c r="AC38" s="31">
        <f>+AB38-AA38</f>
        <v>0</v>
      </c>
      <c r="AD38" s="30"/>
      <c r="AE38" s="32">
        <f t="shared" si="40"/>
        <v>0</v>
      </c>
      <c r="AF38" s="20">
        <f t="shared" si="41"/>
        <v>0</v>
      </c>
      <c r="AG38" s="55"/>
      <c r="AH38" s="112">
        <v>0</v>
      </c>
      <c r="AI38" s="113">
        <f t="shared" si="42"/>
        <v>-8</v>
      </c>
      <c r="AJ38" s="113">
        <f t="shared" si="43"/>
        <v>-8</v>
      </c>
      <c r="AK38" s="113">
        <f t="shared" ref="AK38:AK45" si="52">IF(ISBLANK($AE$5),-8,0)+AE17</f>
        <v>-8</v>
      </c>
      <c r="AL38" s="113">
        <f t="shared" si="44"/>
        <v>0</v>
      </c>
      <c r="AM38" s="113">
        <f t="shared" si="45"/>
        <v>-8</v>
      </c>
      <c r="AN38" s="113">
        <f t="shared" si="46"/>
        <v>-8</v>
      </c>
      <c r="AO38" s="113">
        <f t="shared" si="47"/>
        <v>-8</v>
      </c>
      <c r="AP38" s="114">
        <f t="shared" si="48"/>
        <v>-48</v>
      </c>
      <c r="AQ38" s="55"/>
      <c r="AR38" s="1159">
        <f t="shared" si="49"/>
        <v>0</v>
      </c>
      <c r="AS38" s="1160"/>
      <c r="AT38" s="118">
        <f t="shared" si="50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17</v>
      </c>
      <c r="E39" s="119">
        <v>1</v>
      </c>
      <c r="F39" s="31">
        <f t="shared" si="31"/>
        <v>9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1"/>
        <v>1</v>
      </c>
      <c r="M39" s="342">
        <v>7</v>
      </c>
      <c r="N39" s="342">
        <v>24</v>
      </c>
      <c r="O39" s="30">
        <v>2</v>
      </c>
      <c r="P39" s="31">
        <f t="shared" si="34"/>
        <v>15</v>
      </c>
      <c r="Q39" s="346">
        <v>0</v>
      </c>
      <c r="R39" s="346">
        <v>7</v>
      </c>
      <c r="S39" s="31">
        <f t="shared" si="35"/>
        <v>7</v>
      </c>
      <c r="T39" s="30">
        <v>8</v>
      </c>
      <c r="U39" s="32">
        <f t="shared" si="36"/>
        <v>8</v>
      </c>
      <c r="V39" s="20">
        <f t="shared" si="37"/>
        <v>14</v>
      </c>
      <c r="W39" s="334">
        <v>7</v>
      </c>
      <c r="X39" s="342">
        <v>18</v>
      </c>
      <c r="Y39" s="30">
        <v>1</v>
      </c>
      <c r="Z39" s="31">
        <f t="shared" si="38"/>
        <v>10</v>
      </c>
      <c r="AA39" s="342"/>
      <c r="AB39" s="342"/>
      <c r="AC39" s="31">
        <f t="shared" si="39"/>
        <v>0</v>
      </c>
      <c r="AD39" s="30"/>
      <c r="AE39" s="32">
        <f t="shared" si="40"/>
        <v>8</v>
      </c>
      <c r="AF39" s="20">
        <f t="shared" si="41"/>
        <v>2</v>
      </c>
      <c r="AG39" s="55"/>
      <c r="AH39" s="112">
        <v>0</v>
      </c>
      <c r="AI39" s="113">
        <f t="shared" si="42"/>
        <v>0</v>
      </c>
      <c r="AJ39" s="113">
        <f t="shared" si="43"/>
        <v>0</v>
      </c>
      <c r="AK39" s="113">
        <f t="shared" si="52"/>
        <v>0</v>
      </c>
      <c r="AL39" s="113">
        <f t="shared" si="44"/>
        <v>0</v>
      </c>
      <c r="AM39" s="125">
        <f t="shared" si="45"/>
        <v>0</v>
      </c>
      <c r="AN39" s="125">
        <f t="shared" si="46"/>
        <v>0</v>
      </c>
      <c r="AO39" s="125">
        <f t="shared" si="47"/>
        <v>0</v>
      </c>
      <c r="AP39" s="114">
        <f t="shared" si="48"/>
        <v>0</v>
      </c>
      <c r="AQ39" s="55"/>
      <c r="AR39" s="1159">
        <f t="shared" ref="AR39" si="53">+X78*Q78</f>
        <v>13.516671428571428</v>
      </c>
      <c r="AS39" s="1160"/>
      <c r="AT39" s="118">
        <f t="shared" si="50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1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37"/>
        <v>0</v>
      </c>
      <c r="W40" s="334"/>
      <c r="X40" s="342"/>
      <c r="Y40" s="30"/>
      <c r="Z40" s="31">
        <f t="shared" si="38"/>
        <v>0</v>
      </c>
      <c r="AA40" s="342"/>
      <c r="AB40" s="346"/>
      <c r="AC40" s="44">
        <f t="shared" si="39"/>
        <v>0</v>
      </c>
      <c r="AD40" s="30"/>
      <c r="AE40" s="32">
        <f t="shared" si="40"/>
        <v>0</v>
      </c>
      <c r="AF40" s="20">
        <f t="shared" si="41"/>
        <v>0</v>
      </c>
      <c r="AG40" s="126"/>
      <c r="AH40" s="127">
        <v>0</v>
      </c>
      <c r="AI40" s="113">
        <f t="shared" si="42"/>
        <v>-8</v>
      </c>
      <c r="AJ40" s="113">
        <f t="shared" si="43"/>
        <v>-8</v>
      </c>
      <c r="AK40" s="128">
        <f t="shared" si="52"/>
        <v>-8</v>
      </c>
      <c r="AL40" s="113">
        <f t="shared" si="44"/>
        <v>0</v>
      </c>
      <c r="AM40" s="113">
        <f t="shared" si="45"/>
        <v>-8</v>
      </c>
      <c r="AN40" s="113">
        <f t="shared" si="46"/>
        <v>-8</v>
      </c>
      <c r="AO40" s="113">
        <f t="shared" si="47"/>
        <v>-8</v>
      </c>
      <c r="AP40" s="114">
        <f t="shared" si="48"/>
        <v>-48</v>
      </c>
      <c r="AQ40" s="55"/>
      <c r="AR40" s="1159">
        <f t="shared" ref="AR40" si="54">+X79*Q79</f>
        <v>0</v>
      </c>
      <c r="AS40" s="1160"/>
      <c r="AT40" s="118">
        <f t="shared" si="50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1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37"/>
        <v>0</v>
      </c>
      <c r="W41" s="526"/>
      <c r="X41" s="522"/>
      <c r="Y41" s="522"/>
      <c r="Z41" s="523">
        <f t="shared" si="38"/>
        <v>0</v>
      </c>
      <c r="AA41" s="522"/>
      <c r="AB41" s="522"/>
      <c r="AC41" s="523">
        <f t="shared" si="39"/>
        <v>0</v>
      </c>
      <c r="AD41" s="522"/>
      <c r="AE41" s="523">
        <f t="shared" si="40"/>
        <v>0</v>
      </c>
      <c r="AF41" s="524">
        <f t="shared" si="41"/>
        <v>0</v>
      </c>
      <c r="AG41" s="514"/>
      <c r="AH41" s="529">
        <v>0</v>
      </c>
      <c r="AI41" s="530">
        <f t="shared" si="42"/>
        <v>-8</v>
      </c>
      <c r="AJ41" s="530">
        <f t="shared" si="43"/>
        <v>-8</v>
      </c>
      <c r="AK41" s="530">
        <f t="shared" si="52"/>
        <v>-8</v>
      </c>
      <c r="AL41" s="530">
        <f t="shared" si="44"/>
        <v>0</v>
      </c>
      <c r="AM41" s="530">
        <f t="shared" si="45"/>
        <v>-8</v>
      </c>
      <c r="AN41" s="530">
        <f t="shared" si="46"/>
        <v>-8</v>
      </c>
      <c r="AO41" s="530">
        <f t="shared" si="47"/>
        <v>-8</v>
      </c>
      <c r="AP41" s="531">
        <f t="shared" si="48"/>
        <v>-48</v>
      </c>
      <c r="AQ41" s="55"/>
      <c r="AR41" s="1191"/>
      <c r="AS41" s="1192"/>
      <c r="AT41" s="532">
        <f t="shared" si="50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 xml:space="preserve">  -  .  -  </v>
      </c>
      <c r="C42" s="516"/>
      <c r="D42" s="516"/>
      <c r="E42" s="516"/>
      <c r="F42" s="517">
        <f t="shared" si="31"/>
        <v>0</v>
      </c>
      <c r="G42" s="516"/>
      <c r="H42" s="516"/>
      <c r="I42" s="517">
        <f t="shared" si="32"/>
        <v>0</v>
      </c>
      <c r="J42" s="516"/>
      <c r="K42" s="517">
        <f t="shared" si="33"/>
        <v>0</v>
      </c>
      <c r="L42" s="518">
        <f t="shared" si="51"/>
        <v>0</v>
      </c>
      <c r="M42" s="516"/>
      <c r="N42" s="516"/>
      <c r="O42" s="516"/>
      <c r="P42" s="517">
        <f t="shared" si="34"/>
        <v>0</v>
      </c>
      <c r="Q42" s="519"/>
      <c r="R42" s="519"/>
      <c r="S42" s="517">
        <f t="shared" si="35"/>
        <v>0</v>
      </c>
      <c r="T42" s="516"/>
      <c r="U42" s="517">
        <f t="shared" si="36"/>
        <v>0</v>
      </c>
      <c r="V42" s="518">
        <f t="shared" si="37"/>
        <v>0</v>
      </c>
      <c r="W42" s="520"/>
      <c r="X42" s="516"/>
      <c r="Y42" s="516"/>
      <c r="Z42" s="517">
        <f t="shared" si="38"/>
        <v>0</v>
      </c>
      <c r="AA42" s="516"/>
      <c r="AB42" s="516"/>
      <c r="AC42" s="517">
        <f t="shared" si="39"/>
        <v>0</v>
      </c>
      <c r="AD42" s="516"/>
      <c r="AE42" s="517">
        <f t="shared" si="40"/>
        <v>0</v>
      </c>
      <c r="AF42" s="518">
        <f t="shared" si="41"/>
        <v>0</v>
      </c>
      <c r="AG42" s="55"/>
      <c r="AH42" s="490">
        <v>0</v>
      </c>
      <c r="AI42" s="527">
        <f t="shared" si="42"/>
        <v>-8</v>
      </c>
      <c r="AJ42" s="527">
        <f t="shared" si="43"/>
        <v>-8</v>
      </c>
      <c r="AK42" s="527">
        <f t="shared" si="52"/>
        <v>-8</v>
      </c>
      <c r="AL42" s="527">
        <f t="shared" si="44"/>
        <v>0</v>
      </c>
      <c r="AM42" s="527">
        <f t="shared" si="45"/>
        <v>-8</v>
      </c>
      <c r="AN42" s="527">
        <f t="shared" si="46"/>
        <v>-8</v>
      </c>
      <c r="AO42" s="527">
        <f t="shared" si="47"/>
        <v>-8</v>
      </c>
      <c r="AP42" s="492">
        <f t="shared" si="48"/>
        <v>-48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0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17</v>
      </c>
      <c r="E43" s="459">
        <v>1</v>
      </c>
      <c r="F43" s="460">
        <f t="shared" si="31"/>
        <v>9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1"/>
        <v>1</v>
      </c>
      <c r="M43" s="459">
        <v>7</v>
      </c>
      <c r="N43" s="459">
        <v>18</v>
      </c>
      <c r="O43" s="459">
        <v>1</v>
      </c>
      <c r="P43" s="460">
        <f t="shared" si="34"/>
        <v>10</v>
      </c>
      <c r="Q43" s="489"/>
      <c r="R43" s="489"/>
      <c r="S43" s="460">
        <f t="shared" si="35"/>
        <v>0</v>
      </c>
      <c r="T43" s="459"/>
      <c r="U43" s="460">
        <f t="shared" si="36"/>
        <v>8</v>
      </c>
      <c r="V43" s="461">
        <f t="shared" si="37"/>
        <v>2</v>
      </c>
      <c r="W43" s="334">
        <v>7</v>
      </c>
      <c r="X43" s="342">
        <v>18</v>
      </c>
      <c r="Y43" s="30">
        <v>1</v>
      </c>
      <c r="Z43" s="31">
        <f t="shared" si="38"/>
        <v>10</v>
      </c>
      <c r="AA43" s="342"/>
      <c r="AB43" s="342"/>
      <c r="AC43" s="44">
        <f t="shared" si="39"/>
        <v>0</v>
      </c>
      <c r="AD43" s="30"/>
      <c r="AE43" s="32">
        <f t="shared" si="40"/>
        <v>8</v>
      </c>
      <c r="AF43" s="20">
        <f t="shared" si="41"/>
        <v>2</v>
      </c>
      <c r="AG43" s="55"/>
      <c r="AH43" s="143">
        <v>0</v>
      </c>
      <c r="AI43" s="144">
        <f t="shared" si="42"/>
        <v>0</v>
      </c>
      <c r="AJ43" s="144">
        <f t="shared" si="43"/>
        <v>0</v>
      </c>
      <c r="AK43" s="144">
        <f t="shared" si="52"/>
        <v>0</v>
      </c>
      <c r="AL43" s="113">
        <f t="shared" si="44"/>
        <v>0</v>
      </c>
      <c r="AM43" s="144">
        <f t="shared" si="45"/>
        <v>0</v>
      </c>
      <c r="AN43" s="144">
        <f t="shared" si="46"/>
        <v>0</v>
      </c>
      <c r="AO43" s="144">
        <f t="shared" si="47"/>
        <v>0</v>
      </c>
      <c r="AP43" s="145">
        <f t="shared" si="48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-16</v>
      </c>
      <c r="AX43" s="1186"/>
    </row>
    <row r="44" spans="1:56" ht="14.1" customHeight="1">
      <c r="B44" s="513" t="str">
        <f t="shared" si="30"/>
        <v xml:space="preserve">  -  .  -  </v>
      </c>
      <c r="C44" s="662"/>
      <c r="D44" s="662"/>
      <c r="E44" s="662"/>
      <c r="F44" s="663">
        <f t="shared" si="31"/>
        <v>0</v>
      </c>
      <c r="G44" s="662"/>
      <c r="H44" s="662"/>
      <c r="I44" s="663">
        <f t="shared" si="32"/>
        <v>0</v>
      </c>
      <c r="J44" s="662"/>
      <c r="K44" s="663">
        <f t="shared" si="33"/>
        <v>0</v>
      </c>
      <c r="L44" s="664">
        <f t="shared" si="51"/>
        <v>0</v>
      </c>
      <c r="M44" s="665"/>
      <c r="N44" s="665"/>
      <c r="O44" s="665"/>
      <c r="P44" s="666">
        <f t="shared" si="34"/>
        <v>0</v>
      </c>
      <c r="Q44" s="667"/>
      <c r="R44" s="667"/>
      <c r="S44" s="666">
        <f t="shared" si="35"/>
        <v>0</v>
      </c>
      <c r="T44" s="665"/>
      <c r="U44" s="666">
        <f t="shared" si="36"/>
        <v>0</v>
      </c>
      <c r="V44" s="668">
        <f t="shared" si="37"/>
        <v>0</v>
      </c>
      <c r="W44" s="669"/>
      <c r="X44" s="665"/>
      <c r="Y44" s="665"/>
      <c r="Z44" s="666">
        <f t="shared" si="38"/>
        <v>0</v>
      </c>
      <c r="AA44" s="665"/>
      <c r="AB44" s="670"/>
      <c r="AC44" s="666">
        <f t="shared" si="39"/>
        <v>0</v>
      </c>
      <c r="AD44" s="665"/>
      <c r="AE44" s="666">
        <f t="shared" si="40"/>
        <v>0</v>
      </c>
      <c r="AF44" s="668">
        <f t="shared" si="41"/>
        <v>0</v>
      </c>
      <c r="AG44" s="55"/>
      <c r="AH44" s="127">
        <v>0</v>
      </c>
      <c r="AI44" s="113">
        <f t="shared" si="42"/>
        <v>-8</v>
      </c>
      <c r="AJ44" s="113">
        <f t="shared" si="43"/>
        <v>-8</v>
      </c>
      <c r="AK44" s="128">
        <f t="shared" si="52"/>
        <v>-8</v>
      </c>
      <c r="AL44" s="113">
        <f t="shared" si="44"/>
        <v>0</v>
      </c>
      <c r="AM44" s="113">
        <f t="shared" si="45"/>
        <v>-8</v>
      </c>
      <c r="AN44" s="113">
        <f t="shared" si="46"/>
        <v>-8</v>
      </c>
      <c r="AO44" s="113">
        <f t="shared" si="47"/>
        <v>-8</v>
      </c>
      <c r="AP44" s="114">
        <f t="shared" si="48"/>
        <v>-48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0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1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37"/>
        <v>0</v>
      </c>
      <c r="W45" s="360"/>
      <c r="X45" s="361"/>
      <c r="Y45" s="96"/>
      <c r="Z45" s="97">
        <f t="shared" si="38"/>
        <v>0</v>
      </c>
      <c r="AA45" s="361"/>
      <c r="AB45" s="361"/>
      <c r="AC45" s="97">
        <f t="shared" si="39"/>
        <v>0</v>
      </c>
      <c r="AD45" s="96"/>
      <c r="AE45" s="98">
        <f t="shared" si="40"/>
        <v>0</v>
      </c>
      <c r="AF45" s="99">
        <f t="shared" si="41"/>
        <v>0</v>
      </c>
      <c r="AG45" s="55"/>
      <c r="AH45" s="112">
        <v>0</v>
      </c>
      <c r="AI45" s="113">
        <f t="shared" si="42"/>
        <v>-8</v>
      </c>
      <c r="AJ45" s="113">
        <f t="shared" si="43"/>
        <v>-8</v>
      </c>
      <c r="AK45" s="113">
        <f t="shared" si="52"/>
        <v>-8</v>
      </c>
      <c r="AL45" s="113">
        <f t="shared" si="44"/>
        <v>0</v>
      </c>
      <c r="AM45" s="113">
        <f t="shared" si="45"/>
        <v>-8</v>
      </c>
      <c r="AN45" s="113">
        <f t="shared" si="46"/>
        <v>-8</v>
      </c>
      <c r="AO45" s="113">
        <f t="shared" si="47"/>
        <v>-8</v>
      </c>
      <c r="AP45" s="114">
        <f t="shared" si="48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180</v>
      </c>
      <c r="AS46" s="1162"/>
      <c r="AT46" s="167">
        <f>SUM(AT32:AT45)</f>
        <v>44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58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43209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43210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43211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43212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8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43213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43214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43215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2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-116.5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693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69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693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693"/>
      <c r="AB68" s="693"/>
      <c r="AC68" s="693"/>
      <c r="AD68" s="693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693"/>
      <c r="AB69" s="693"/>
      <c r="AC69" s="693"/>
      <c r="AD69" s="693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693"/>
      <c r="AB70" s="693"/>
      <c r="AC70" s="693"/>
      <c r="AD70" s="693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5">+C71/7</f>
        <v>36.371428571428567</v>
      </c>
      <c r="F71" s="1049"/>
      <c r="G71" s="388"/>
      <c r="H71" s="388"/>
      <c r="I71" s="1052">
        <f t="shared" ref="I71:I78" si="56">+E71/8</f>
        <v>4.5464285714285708</v>
      </c>
      <c r="J71" s="1058"/>
      <c r="K71" s="1059">
        <f t="shared" ref="K71:K79" si="57">+E71*30</f>
        <v>1091.1428571428569</v>
      </c>
      <c r="L71" s="1059"/>
      <c r="M71" s="5"/>
      <c r="N71" s="1020">
        <f t="shared" ref="N71:N85" si="58">+I71/6*7</f>
        <v>5.3041666666666654</v>
      </c>
      <c r="O71" s="1020"/>
      <c r="P71" s="5"/>
      <c r="Q71" s="1056">
        <f t="shared" ref="Q71:Q85" si="59">+$I$69-I71</f>
        <v>0.68482142857142936</v>
      </c>
      <c r="R71" s="1057"/>
      <c r="U71" s="238">
        <f t="shared" ref="U71:U77" si="60">+AE32+U32+K32+AO11+AE11+U11+K11</f>
        <v>48.5</v>
      </c>
      <c r="V71" s="239">
        <v>48</v>
      </c>
      <c r="W71" s="240">
        <f t="shared" ref="W71:W85" si="61">+V71-U71</f>
        <v>-0.5</v>
      </c>
      <c r="X71" s="241">
        <f t="shared" ref="X71:X77" si="62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5"/>
        <v>41.071428571428569</v>
      </c>
      <c r="F72" s="1049"/>
      <c r="G72" s="388"/>
      <c r="H72" s="388"/>
      <c r="I72" s="1052">
        <f t="shared" si="56"/>
        <v>5.1339285714285712</v>
      </c>
      <c r="J72" s="1058"/>
      <c r="K72" s="1059">
        <f t="shared" si="57"/>
        <v>1232.1428571428571</v>
      </c>
      <c r="L72" s="1059"/>
      <c r="M72" s="5"/>
      <c r="N72" s="1020">
        <f t="shared" si="58"/>
        <v>5.989583333333333</v>
      </c>
      <c r="O72" s="1020"/>
      <c r="P72" s="5"/>
      <c r="Q72" s="1056">
        <f t="shared" si="59"/>
        <v>9.7321428571429003E-2</v>
      </c>
      <c r="R72" s="1057"/>
      <c r="U72" s="238">
        <f t="shared" si="60"/>
        <v>60</v>
      </c>
      <c r="V72" s="239">
        <v>48</v>
      </c>
      <c r="W72" s="240">
        <f t="shared" si="61"/>
        <v>-12</v>
      </c>
      <c r="X72" s="241">
        <f t="shared" si="62"/>
        <v>40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5"/>
        <v>41.071428571428569</v>
      </c>
      <c r="F73" s="1049"/>
      <c r="G73" s="388"/>
      <c r="H73" s="388"/>
      <c r="I73" s="1052">
        <f t="shared" si="56"/>
        <v>5.1339285714285712</v>
      </c>
      <c r="J73" s="1058"/>
      <c r="K73" s="1059">
        <f t="shared" si="57"/>
        <v>1232.1428571428571</v>
      </c>
      <c r="L73" s="1059"/>
      <c r="M73" s="5"/>
      <c r="N73" s="1020">
        <f t="shared" si="58"/>
        <v>5.989583333333333</v>
      </c>
      <c r="O73" s="1020"/>
      <c r="P73" s="5"/>
      <c r="Q73" s="1056">
        <f t="shared" si="59"/>
        <v>9.7321428571429003E-2</v>
      </c>
      <c r="R73" s="1057"/>
      <c r="U73" s="238">
        <f t="shared" si="60"/>
        <v>50</v>
      </c>
      <c r="V73" s="239">
        <v>48</v>
      </c>
      <c r="W73" s="240">
        <f t="shared" si="61"/>
        <v>-2</v>
      </c>
      <c r="X73" s="241">
        <f t="shared" si="62"/>
        <v>0</v>
      </c>
      <c r="Z73" s="389"/>
      <c r="AA73" s="690"/>
      <c r="AB73" s="690"/>
      <c r="AC73" s="690"/>
      <c r="AD73" s="690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5"/>
        <v>33.33342857142857</v>
      </c>
      <c r="F74" s="1049"/>
      <c r="G74" s="388"/>
      <c r="H74" s="388"/>
      <c r="I74" s="1052">
        <f t="shared" si="56"/>
        <v>4.1666785714285712</v>
      </c>
      <c r="J74" s="1058"/>
      <c r="K74" s="1059">
        <f t="shared" si="57"/>
        <v>1000.0028571428571</v>
      </c>
      <c r="L74" s="1059"/>
      <c r="M74" s="5"/>
      <c r="N74" s="1020">
        <f t="shared" si="58"/>
        <v>4.8611250000000004</v>
      </c>
      <c r="O74" s="1020"/>
      <c r="P74" s="5"/>
      <c r="Q74" s="1056">
        <f t="shared" si="59"/>
        <v>1.0645714285714289</v>
      </c>
      <c r="R74" s="1057"/>
      <c r="S74" s="1066">
        <f>20*30/180*117</f>
        <v>390</v>
      </c>
      <c r="T74" s="1067"/>
      <c r="U74" s="238">
        <f t="shared" si="60"/>
        <v>52</v>
      </c>
      <c r="V74" s="239">
        <v>48</v>
      </c>
      <c r="W74" s="240">
        <f t="shared" si="61"/>
        <v>-4</v>
      </c>
      <c r="X74" s="241">
        <f t="shared" si="62"/>
        <v>32</v>
      </c>
      <c r="Z74" s="1045" t="s">
        <v>53</v>
      </c>
      <c r="AA74" s="1045"/>
      <c r="AB74" s="1045"/>
      <c r="AC74" s="1045"/>
      <c r="AD74" s="389" t="s">
        <v>54</v>
      </c>
      <c r="AE74" s="690"/>
      <c r="AF74" s="386"/>
      <c r="AG74" s="691"/>
      <c r="AH74" s="691"/>
      <c r="AI74" s="386"/>
      <c r="AJ74" s="386"/>
      <c r="AK74" s="689"/>
      <c r="AL74" s="689"/>
      <c r="AM74" s="689"/>
      <c r="AN74" s="689"/>
      <c r="AO74" s="689"/>
      <c r="AP74" s="689"/>
      <c r="AQ74" s="689"/>
      <c r="AR74" s="689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5"/>
        <v>41.071428571428569</v>
      </c>
      <c r="F75" s="1049"/>
      <c r="G75" s="388"/>
      <c r="H75" s="388"/>
      <c r="I75" s="1052">
        <f t="shared" si="56"/>
        <v>5.1339285714285712</v>
      </c>
      <c r="J75" s="1058"/>
      <c r="K75" s="1059">
        <f t="shared" si="57"/>
        <v>1232.1428571428571</v>
      </c>
      <c r="L75" s="1059"/>
      <c r="M75" s="5"/>
      <c r="N75" s="1020">
        <f t="shared" si="58"/>
        <v>5.989583333333333</v>
      </c>
      <c r="O75" s="1020"/>
      <c r="P75" s="5"/>
      <c r="Q75" s="1056">
        <f t="shared" si="59"/>
        <v>9.7321428571429003E-2</v>
      </c>
      <c r="R75" s="1057"/>
      <c r="U75" s="238">
        <f t="shared" si="60"/>
        <v>48</v>
      </c>
      <c r="V75" s="239">
        <v>48</v>
      </c>
      <c r="W75" s="240">
        <f t="shared" si="61"/>
        <v>0</v>
      </c>
      <c r="X75" s="241">
        <f t="shared" si="62"/>
        <v>0</v>
      </c>
      <c r="Z75" s="690"/>
      <c r="AA75" s="690"/>
      <c r="AB75" s="690"/>
      <c r="AC75" s="690"/>
      <c r="AD75" s="690"/>
      <c r="AE75" s="386"/>
      <c r="AF75" s="386"/>
      <c r="AG75" s="244"/>
      <c r="AH75" s="244"/>
      <c r="AI75" s="691"/>
      <c r="AJ75" s="691"/>
      <c r="AK75" s="691"/>
      <c r="AL75" s="691"/>
      <c r="AM75" s="691"/>
      <c r="AN75" s="691"/>
      <c r="AO75" s="691"/>
      <c r="AP75" s="691"/>
      <c r="AQ75" s="691"/>
      <c r="AR75" s="691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5"/>
        <v>41.071428571428569</v>
      </c>
      <c r="F76" s="1049"/>
      <c r="G76" s="1068"/>
      <c r="H76" s="1069"/>
      <c r="I76" s="1052">
        <f t="shared" si="56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0"/>
        <v>0</v>
      </c>
      <c r="V76" s="239">
        <v>48</v>
      </c>
      <c r="W76" s="240">
        <f>+V76-U76</f>
        <v>48</v>
      </c>
      <c r="X76" s="241">
        <f t="shared" si="62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691"/>
      <c r="AN76" s="691"/>
      <c r="AO76" s="691"/>
      <c r="AP76" s="691"/>
      <c r="AQ76" s="691"/>
      <c r="AR76" s="691"/>
      <c r="AS76" s="386"/>
      <c r="AT76" s="38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5"/>
        <v>29.571428571428573</v>
      </c>
      <c r="F77" s="1049"/>
      <c r="G77" s="1062"/>
      <c r="H77" s="1063"/>
      <c r="I77" s="1052">
        <f t="shared" si="56"/>
        <v>3.6964285714285716</v>
      </c>
      <c r="J77" s="1058"/>
      <c r="K77" s="1059">
        <f>+E77*30</f>
        <v>887.14285714285722</v>
      </c>
      <c r="L77" s="1059"/>
      <c r="M77" s="5"/>
      <c r="N77" s="1020">
        <f t="shared" si="58"/>
        <v>4.3125</v>
      </c>
      <c r="O77" s="1020"/>
      <c r="P77" s="5"/>
      <c r="Q77" s="1056">
        <f t="shared" si="59"/>
        <v>1.5348214285714286</v>
      </c>
      <c r="R77" s="1057"/>
      <c r="S77" s="1066">
        <f>20*30/180*117</f>
        <v>390</v>
      </c>
      <c r="T77" s="1067"/>
      <c r="U77" s="238">
        <f t="shared" si="60"/>
        <v>0</v>
      </c>
      <c r="V77" s="239">
        <v>48</v>
      </c>
      <c r="W77" s="240">
        <f t="shared" si="61"/>
        <v>48</v>
      </c>
      <c r="X77" s="241">
        <f t="shared" si="62"/>
        <v>0</v>
      </c>
      <c r="Y77" s="248"/>
      <c r="Z77" s="690"/>
      <c r="AA77" s="690"/>
      <c r="AB77" s="690"/>
      <c r="AC77" s="690"/>
      <c r="AD77" s="690"/>
      <c r="AE77" s="386"/>
      <c r="AF77" s="386"/>
      <c r="AG77" s="691"/>
      <c r="AH77" s="691"/>
      <c r="AI77" s="393"/>
      <c r="AJ77" s="393"/>
      <c r="AK77" s="393"/>
      <c r="AL77" s="393"/>
      <c r="AM77" s="691"/>
      <c r="AN77" s="691"/>
      <c r="AO77" s="691"/>
      <c r="AP77" s="691"/>
      <c r="AQ77" s="691"/>
      <c r="AR77" s="691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5"/>
        <v>28.333328571428574</v>
      </c>
      <c r="F78" s="1049"/>
      <c r="G78" s="1050">
        <v>25.761900000000001</v>
      </c>
      <c r="H78" s="1051"/>
      <c r="I78" s="1052">
        <f t="shared" si="56"/>
        <v>3.5416660714285717</v>
      </c>
      <c r="J78" s="1058"/>
      <c r="K78" s="1059">
        <f>+E78*30</f>
        <v>849.99985714285719</v>
      </c>
      <c r="L78" s="1059"/>
      <c r="M78" s="5"/>
      <c r="N78" s="1020">
        <f t="shared" si="58"/>
        <v>4.1319437500000005</v>
      </c>
      <c r="O78" s="1020"/>
      <c r="P78" s="5"/>
      <c r="Q78" s="1056">
        <f t="shared" si="59"/>
        <v>1.6895839285714285</v>
      </c>
      <c r="R78" s="1057"/>
      <c r="S78" s="693"/>
      <c r="T78" s="693"/>
      <c r="U78" s="238">
        <f>+AE40+U40+K40+AO19+AE19+U19+K19</f>
        <v>0</v>
      </c>
      <c r="V78" s="239">
        <v>48</v>
      </c>
      <c r="W78" s="240">
        <f t="shared" si="61"/>
        <v>48</v>
      </c>
      <c r="X78" s="241">
        <f t="shared" ref="X78:X83" si="63">+J18+T18+AD18+J39+T39+AD39</f>
        <v>8</v>
      </c>
      <c r="Y78" s="693"/>
      <c r="Z78" s="690"/>
      <c r="AA78" s="690"/>
      <c r="AB78" s="690"/>
      <c r="AC78" s="690"/>
      <c r="AD78" s="690"/>
      <c r="AE78" s="386"/>
      <c r="AF78" s="386"/>
      <c r="AG78" s="691"/>
      <c r="AH78" s="691"/>
      <c r="AI78" s="393"/>
      <c r="AJ78" s="393"/>
      <c r="AK78" s="393"/>
      <c r="AL78" s="393"/>
      <c r="AM78" s="691"/>
      <c r="AN78" s="691"/>
      <c r="AO78" s="691"/>
      <c r="AP78" s="691"/>
      <c r="AQ78" s="691"/>
      <c r="AR78" s="691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7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0</v>
      </c>
      <c r="V79" s="239">
        <v>48</v>
      </c>
      <c r="W79" s="240">
        <f>+V79-U79</f>
        <v>48</v>
      </c>
      <c r="X79" s="241">
        <f t="shared" si="63"/>
        <v>0</v>
      </c>
      <c r="Z79" s="246"/>
      <c r="AA79" s="246"/>
      <c r="AB79" s="690"/>
      <c r="AC79" s="690"/>
      <c r="AD79" s="690"/>
      <c r="AE79" s="386"/>
      <c r="AF79" s="386"/>
      <c r="AG79" s="691"/>
      <c r="AH79" s="691"/>
      <c r="AI79" s="691"/>
      <c r="AJ79" s="691"/>
      <c r="AK79" s="691"/>
      <c r="AL79" s="691"/>
      <c r="AM79" s="691"/>
      <c r="AN79" s="691"/>
      <c r="AO79" s="691"/>
      <c r="AP79" s="691"/>
      <c r="AQ79" s="691"/>
      <c r="AR79" s="691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4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3"/>
        <v>0</v>
      </c>
      <c r="Z80" s="1045">
        <f>+K80/E80</f>
        <v>30</v>
      </c>
      <c r="AA80" s="1045"/>
      <c r="AB80" s="1045"/>
      <c r="AC80" s="1045"/>
      <c r="AD80" s="690"/>
      <c r="AE80" s="386"/>
      <c r="AF80" s="386"/>
      <c r="AG80" s="244"/>
      <c r="AH80" s="244"/>
      <c r="AI80" s="691"/>
      <c r="AJ80" s="691"/>
      <c r="AK80" s="691"/>
      <c r="AL80" s="691"/>
      <c r="AM80" s="691"/>
      <c r="AN80" s="691"/>
      <c r="AO80" s="691"/>
      <c r="AP80" s="691"/>
      <c r="AQ80" s="691"/>
      <c r="AR80" s="691"/>
      <c r="AS80" s="386"/>
      <c r="AT80" s="386"/>
    </row>
    <row r="81" spans="1:46" ht="16.5">
      <c r="A81" s="1">
        <v>3</v>
      </c>
      <c r="B81" s="245" t="s">
        <v>121</v>
      </c>
      <c r="C81" s="1046">
        <f>6*3+7*34.0952</f>
        <v>256.66639999999995</v>
      </c>
      <c r="D81" s="1047"/>
      <c r="E81" s="1048">
        <f t="shared" si="64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0</v>
      </c>
      <c r="V81" s="239">
        <v>48</v>
      </c>
      <c r="W81" s="240">
        <f>+V81-U81</f>
        <v>48</v>
      </c>
      <c r="X81" s="241">
        <f t="shared" si="63"/>
        <v>0</v>
      </c>
      <c r="Z81" s="252"/>
      <c r="AA81" s="394"/>
      <c r="AB81" s="389"/>
      <c r="AC81" s="690"/>
      <c r="AD81" s="690"/>
      <c r="AE81" s="386"/>
      <c r="AF81" s="386"/>
      <c r="AG81" s="691"/>
      <c r="AH81" s="691"/>
      <c r="AI81" s="393"/>
      <c r="AJ81" s="393"/>
      <c r="AK81" s="393"/>
      <c r="AL81" s="393"/>
      <c r="AM81" s="691"/>
      <c r="AN81" s="691"/>
      <c r="AO81" s="691"/>
      <c r="AP81" s="691"/>
      <c r="AQ81" s="691"/>
      <c r="AR81" s="691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8"/>
        <v>4.1319395833333337</v>
      </c>
      <c r="O82" s="1044"/>
      <c r="P82" s="5"/>
      <c r="Q82" s="1004">
        <f t="shared" si="59"/>
        <v>1.6895875</v>
      </c>
      <c r="R82" s="1005"/>
      <c r="U82" s="238">
        <f>+AE44+U44+K44+AO23+AE23+U23+K23</f>
        <v>0</v>
      </c>
      <c r="V82" s="239">
        <v>48</v>
      </c>
      <c r="W82" s="240">
        <f t="shared" si="61"/>
        <v>48</v>
      </c>
      <c r="X82" s="241">
        <f t="shared" si="63"/>
        <v>0</v>
      </c>
      <c r="Z82" s="252"/>
      <c r="AA82" s="394"/>
      <c r="AB82" s="389"/>
      <c r="AC82" s="690"/>
      <c r="AD82" s="690"/>
      <c r="AE82" s="386"/>
      <c r="AF82" s="386"/>
      <c r="AG82" s="393"/>
      <c r="AH82" s="393"/>
      <c r="AI82" s="691"/>
      <c r="AJ82" s="691"/>
      <c r="AK82" s="691"/>
      <c r="AL82" s="691"/>
      <c r="AM82" s="691"/>
      <c r="AN82" s="691"/>
      <c r="AO82" s="691"/>
      <c r="AP82" s="691"/>
      <c r="AQ82" s="691"/>
      <c r="AR82" s="691"/>
      <c r="AS82" s="386"/>
      <c r="AT82" s="386"/>
    </row>
    <row r="83" spans="1:46" ht="16.5">
      <c r="B83" s="250" t="s">
        <v>121</v>
      </c>
      <c r="C83" s="1035">
        <f>+G83*6</f>
        <v>199.99979999999999</v>
      </c>
      <c r="D83" s="1036"/>
      <c r="E83" s="1037">
        <f t="shared" si="64"/>
        <v>28.571400000000001</v>
      </c>
      <c r="F83" s="1038"/>
      <c r="G83" s="1039">
        <v>33.333300000000001</v>
      </c>
      <c r="H83" s="1040"/>
      <c r="I83" s="1037">
        <f>+G83/8</f>
        <v>4.1666625000000002</v>
      </c>
      <c r="J83" s="1038"/>
      <c r="K83" s="1041">
        <f>+G83*30</f>
        <v>999.99900000000002</v>
      </c>
      <c r="L83" s="1042"/>
      <c r="M83" s="5"/>
      <c r="N83" s="1043">
        <f>+I83/6*7</f>
        <v>4.8611062500000006</v>
      </c>
      <c r="O83" s="1044"/>
      <c r="P83" s="5"/>
      <c r="Q83" s="1004">
        <f>+$I$69-I83</f>
        <v>1.0645875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3"/>
        <v>0</v>
      </c>
      <c r="Z83" s="246"/>
      <c r="AA83" s="246"/>
      <c r="AB83" s="690"/>
      <c r="AC83" s="690"/>
      <c r="AD83" s="690">
        <v>200</v>
      </c>
      <c r="AE83" s="386"/>
      <c r="AF83" s="1023">
        <f>+AD83/6</f>
        <v>33.333333333333336</v>
      </c>
      <c r="AG83" s="1023"/>
      <c r="AH83" s="1023"/>
      <c r="AI83" s="691"/>
      <c r="AJ83" s="691"/>
      <c r="AK83" s="691"/>
      <c r="AL83" s="691"/>
      <c r="AM83" s="691"/>
      <c r="AN83" s="691"/>
      <c r="AO83" s="691"/>
      <c r="AP83" s="691"/>
      <c r="AQ83" s="691"/>
      <c r="AR83" s="691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4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0</v>
      </c>
      <c r="V84" s="239">
        <v>48</v>
      </c>
      <c r="W84" s="240">
        <f t="shared" si="61"/>
        <v>48</v>
      </c>
      <c r="X84" s="241">
        <f>+J23+T23+AD23+J44+T44+AD44</f>
        <v>0</v>
      </c>
      <c r="Y84" s="248"/>
      <c r="Z84" s="690"/>
      <c r="AA84" s="690"/>
      <c r="AB84" s="690"/>
      <c r="AC84" s="690"/>
      <c r="AG84" s="691"/>
      <c r="AH84" s="691"/>
      <c r="AI84" s="386"/>
      <c r="AJ84" s="386"/>
      <c r="AK84" s="689"/>
      <c r="AL84" s="689"/>
      <c r="AM84" s="689"/>
      <c r="AN84" s="689"/>
      <c r="AO84" s="689"/>
      <c r="AP84" s="689"/>
      <c r="AQ84" s="689"/>
      <c r="AR84" s="689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4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8"/>
        <v>11.423610416666666</v>
      </c>
      <c r="O85" s="1020"/>
      <c r="P85" s="5"/>
      <c r="Q85" s="1004">
        <f t="shared" si="59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61"/>
        <v>48</v>
      </c>
      <c r="X85" s="241">
        <f>+J27+T27+AD27+J48+T48+AD48</f>
        <v>0</v>
      </c>
      <c r="Z85" s="246"/>
      <c r="AA85" s="246"/>
      <c r="AB85" s="690"/>
      <c r="AC85" s="690"/>
      <c r="AD85" s="690"/>
      <c r="AE85" s="386"/>
      <c r="AF85" s="386"/>
      <c r="AG85" s="691"/>
      <c r="AH85" s="691"/>
      <c r="AI85" s="691"/>
      <c r="AJ85" s="691"/>
      <c r="AK85" s="691"/>
      <c r="AL85" s="691"/>
      <c r="AM85" s="691"/>
      <c r="AN85" s="691"/>
      <c r="AO85" s="691"/>
      <c r="AP85" s="691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691"/>
      <c r="AF89" s="691"/>
      <c r="AG89" s="386"/>
      <c r="AH89" s="386"/>
      <c r="AI89" s="386"/>
      <c r="AJ89" s="691"/>
      <c r="AK89" s="691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691"/>
      <c r="AF90" s="691"/>
      <c r="AG90" s="386"/>
      <c r="AH90" s="386"/>
      <c r="AI90" s="386"/>
      <c r="AJ90" s="691"/>
      <c r="AK90" s="691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691"/>
      <c r="AF92" s="691"/>
      <c r="AG92" s="386"/>
      <c r="AH92" s="386"/>
      <c r="AI92" s="386"/>
      <c r="AJ92" s="691"/>
      <c r="AK92" s="691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691"/>
      <c r="AF95" s="691"/>
      <c r="AG95" s="386"/>
      <c r="AH95" s="386"/>
      <c r="AI95" s="386"/>
      <c r="AJ95" s="691"/>
      <c r="AK95" s="691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689"/>
      <c r="AM97" s="691"/>
      <c r="AN97" s="689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691"/>
      <c r="AF107" s="691"/>
      <c r="AG107" s="386"/>
      <c r="AH107" s="386"/>
      <c r="AI107" s="386"/>
      <c r="AJ107" s="691"/>
      <c r="AK107" s="691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689"/>
      <c r="AM115" s="691"/>
      <c r="AN115" s="689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691"/>
      <c r="AF126" s="691"/>
      <c r="AG126" s="386"/>
      <c r="AH126" s="386"/>
      <c r="AI126" s="386"/>
      <c r="AJ126" s="691"/>
      <c r="AK126" s="691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691"/>
      <c r="AF127" s="691"/>
      <c r="AG127" s="386"/>
      <c r="AH127" s="386"/>
      <c r="AI127" s="386"/>
      <c r="AJ127" s="691"/>
      <c r="AK127" s="691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691"/>
      <c r="AF129" s="691"/>
      <c r="AG129" s="386"/>
      <c r="AH129" s="386"/>
      <c r="AI129" s="386"/>
      <c r="AJ129" s="691"/>
      <c r="AK129" s="691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691"/>
      <c r="AF132" s="691"/>
      <c r="AG132" s="386"/>
      <c r="AH132" s="386"/>
      <c r="AI132" s="386"/>
      <c r="AJ132" s="691"/>
      <c r="AK132" s="691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689"/>
      <c r="AM134" s="691"/>
      <c r="AN134" s="689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691"/>
      <c r="AF144" s="691"/>
      <c r="AG144" s="386"/>
      <c r="AH144" s="386"/>
      <c r="AI144" s="386"/>
      <c r="AJ144" s="691"/>
      <c r="AK144" s="691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691"/>
      <c r="AF145" s="691"/>
      <c r="AG145" s="386"/>
      <c r="AH145" s="386"/>
      <c r="AI145" s="386"/>
      <c r="AJ145" s="691"/>
      <c r="AK145" s="691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691"/>
      <c r="AF147" s="691"/>
      <c r="AG147" s="386"/>
      <c r="AH147" s="386"/>
      <c r="AI147" s="386"/>
      <c r="AJ147" s="691"/>
      <c r="AK147" s="691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691"/>
      <c r="AF150" s="691"/>
      <c r="AG150" s="386"/>
      <c r="AH150" s="386"/>
      <c r="AI150" s="386"/>
      <c r="AJ150" s="691"/>
      <c r="AK150" s="691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689"/>
      <c r="AM152" s="691"/>
      <c r="AN152" s="689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691"/>
      <c r="AF164" s="691"/>
      <c r="AG164" s="386"/>
      <c r="AH164" s="386"/>
      <c r="AI164" s="386"/>
      <c r="AJ164" s="691"/>
      <c r="AK164" s="691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689"/>
      <c r="AM172" s="691"/>
      <c r="AN172" s="689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691"/>
      <c r="AF183" s="691"/>
      <c r="AG183" s="386"/>
      <c r="AH183" s="386"/>
      <c r="AI183" s="386"/>
      <c r="AJ183" s="691"/>
      <c r="AK183" s="691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691"/>
      <c r="AF184" s="691"/>
      <c r="AG184" s="386"/>
      <c r="AH184" s="386"/>
      <c r="AI184" s="386"/>
      <c r="AJ184" s="691"/>
      <c r="AK184" s="691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691"/>
      <c r="AF186" s="691"/>
      <c r="AG186" s="386"/>
      <c r="AH186" s="386"/>
      <c r="AI186" s="386"/>
      <c r="AJ186" s="691"/>
      <c r="AK186" s="691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691"/>
      <c r="AF189" s="691"/>
      <c r="AG189" s="386"/>
      <c r="AH189" s="386"/>
      <c r="AI189" s="386"/>
      <c r="AJ189" s="691"/>
      <c r="AK189" s="691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689"/>
      <c r="AM191" s="691"/>
      <c r="AN191" s="689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693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693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693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693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693"/>
      <c r="AB203" s="693"/>
      <c r="AC203" s="693"/>
      <c r="AD203" s="693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690"/>
      <c r="AB204" s="690"/>
      <c r="AC204" s="690"/>
      <c r="AD204" s="690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690"/>
      <c r="AB205" s="690"/>
      <c r="AC205" s="690"/>
      <c r="AD205" s="690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5">+C206/7</f>
        <v>36.371428571428567</v>
      </c>
      <c r="F206" s="1049"/>
      <c r="G206" s="388"/>
      <c r="H206" s="388"/>
      <c r="I206" s="1052">
        <f t="shared" ref="I206:I213" si="66">+E206/8</f>
        <v>4.5464285714285708</v>
      </c>
      <c r="J206" s="1058"/>
      <c r="K206" s="1059">
        <f t="shared" ref="K206:K210" si="67">+E206*30</f>
        <v>1091.1428571428569</v>
      </c>
      <c r="L206" s="1059"/>
      <c r="M206" s="5"/>
      <c r="N206" s="1020">
        <f t="shared" ref="N206:N210" si="68">+I206/6*7</f>
        <v>5.3041666666666654</v>
      </c>
      <c r="O206" s="1020"/>
      <c r="P206" s="5"/>
      <c r="Q206" s="1056">
        <f t="shared" ref="Q206:Q210" si="69">+$I$69-I206</f>
        <v>0.68482142857142936</v>
      </c>
      <c r="R206" s="1057"/>
      <c r="U206" s="238">
        <f t="shared" ref="U206:U212" si="70">+AE167+U167+K167+AO146+AE146+U146+K146</f>
        <v>0</v>
      </c>
      <c r="V206" s="239">
        <v>48</v>
      </c>
      <c r="W206" s="240">
        <f t="shared" ref="W206:W210" si="71">+V206-U206</f>
        <v>48</v>
      </c>
      <c r="X206" s="241" t="e">
        <f t="shared" ref="X206:X212" si="72">+J146+T146+AD146+J167+T167+AD167</f>
        <v>#VALUE!</v>
      </c>
      <c r="Z206" s="389"/>
      <c r="AA206" s="690"/>
      <c r="AB206" s="690"/>
      <c r="AC206" s="690"/>
      <c r="AD206" s="690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5"/>
        <v>41.071428571428569</v>
      </c>
      <c r="F207" s="1049"/>
      <c r="G207" s="388"/>
      <c r="H207" s="388"/>
      <c r="I207" s="1052">
        <f t="shared" si="66"/>
        <v>5.1339285714285712</v>
      </c>
      <c r="J207" s="1058"/>
      <c r="K207" s="1059">
        <f t="shared" si="67"/>
        <v>1232.1428571428571</v>
      </c>
      <c r="L207" s="1059"/>
      <c r="M207" s="5"/>
      <c r="N207" s="1020">
        <f t="shared" si="68"/>
        <v>5.989583333333333</v>
      </c>
      <c r="O207" s="1020"/>
      <c r="P207" s="5"/>
      <c r="Q207" s="1056">
        <f t="shared" si="69"/>
        <v>9.7321428571429003E-2</v>
      </c>
      <c r="R207" s="1057"/>
      <c r="U207" s="238">
        <f t="shared" si="70"/>
        <v>0</v>
      </c>
      <c r="V207" s="239">
        <v>48</v>
      </c>
      <c r="W207" s="240">
        <f t="shared" si="71"/>
        <v>48</v>
      </c>
      <c r="X207" s="241" t="e">
        <f t="shared" si="72"/>
        <v>#VALUE!</v>
      </c>
      <c r="Z207" s="389"/>
      <c r="AA207" s="690"/>
      <c r="AB207" s="690"/>
      <c r="AC207" s="690"/>
      <c r="AD207" s="690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5"/>
        <v>41.071428571428569</v>
      </c>
      <c r="F208" s="1049"/>
      <c r="G208" s="388"/>
      <c r="H208" s="388"/>
      <c r="I208" s="1052">
        <f t="shared" si="66"/>
        <v>5.1339285714285712</v>
      </c>
      <c r="J208" s="1058"/>
      <c r="K208" s="1059">
        <f t="shared" si="67"/>
        <v>1232.1428571428571</v>
      </c>
      <c r="L208" s="1059"/>
      <c r="M208" s="5"/>
      <c r="N208" s="1020">
        <f t="shared" si="68"/>
        <v>5.989583333333333</v>
      </c>
      <c r="O208" s="1020"/>
      <c r="P208" s="5"/>
      <c r="Q208" s="1056">
        <f t="shared" si="69"/>
        <v>9.7321428571429003E-2</v>
      </c>
      <c r="R208" s="1057"/>
      <c r="U208" s="238">
        <f t="shared" si="70"/>
        <v>0</v>
      </c>
      <c r="V208" s="239">
        <v>48</v>
      </c>
      <c r="W208" s="240">
        <f t="shared" si="71"/>
        <v>48</v>
      </c>
      <c r="X208" s="241" t="e">
        <f t="shared" si="72"/>
        <v>#VALUE!</v>
      </c>
      <c r="Z208" s="389"/>
      <c r="AA208" s="690"/>
      <c r="AB208" s="690"/>
      <c r="AC208" s="690"/>
      <c r="AD208" s="690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5"/>
        <v>33.33342857142857</v>
      </c>
      <c r="F209" s="1049"/>
      <c r="G209" s="388"/>
      <c r="H209" s="388"/>
      <c r="I209" s="1052">
        <f t="shared" si="66"/>
        <v>4.1666785714285712</v>
      </c>
      <c r="J209" s="1058"/>
      <c r="K209" s="1059">
        <f t="shared" si="67"/>
        <v>1000.0028571428571</v>
      </c>
      <c r="L209" s="1059"/>
      <c r="M209" s="5"/>
      <c r="N209" s="1020">
        <f t="shared" si="68"/>
        <v>4.8611250000000004</v>
      </c>
      <c r="O209" s="1020"/>
      <c r="P209" s="5"/>
      <c r="Q209" s="1056">
        <f t="shared" si="69"/>
        <v>1.0645714285714289</v>
      </c>
      <c r="R209" s="1057"/>
      <c r="S209" s="1066">
        <f>20*30/180*117</f>
        <v>390</v>
      </c>
      <c r="T209" s="1067"/>
      <c r="U209" s="238">
        <f t="shared" si="70"/>
        <v>0</v>
      </c>
      <c r="V209" s="239">
        <v>48</v>
      </c>
      <c r="W209" s="240">
        <f t="shared" si="71"/>
        <v>48</v>
      </c>
      <c r="X209" s="241">
        <f t="shared" si="72"/>
        <v>0</v>
      </c>
      <c r="Z209" s="1045" t="s">
        <v>53</v>
      </c>
      <c r="AA209" s="1045"/>
      <c r="AB209" s="1045"/>
      <c r="AC209" s="1045"/>
      <c r="AD209" s="389" t="s">
        <v>54</v>
      </c>
      <c r="AE209" s="690"/>
      <c r="AF209" s="386"/>
      <c r="AG209" s="691"/>
      <c r="AH209" s="691"/>
      <c r="AI209" s="386"/>
      <c r="AJ209" s="386"/>
      <c r="AK209" s="689"/>
      <c r="AL209" s="689"/>
      <c r="AM209" s="689"/>
      <c r="AN209" s="689"/>
      <c r="AO209" s="689"/>
      <c r="AP209" s="689"/>
      <c r="AQ209" s="689"/>
      <c r="AR209" s="689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5"/>
        <v>41.071428571428569</v>
      </c>
      <c r="F210" s="1049"/>
      <c r="G210" s="388"/>
      <c r="H210" s="388"/>
      <c r="I210" s="1052">
        <f t="shared" si="66"/>
        <v>5.1339285714285712</v>
      </c>
      <c r="J210" s="1058"/>
      <c r="K210" s="1059">
        <f t="shared" si="67"/>
        <v>1232.1428571428571</v>
      </c>
      <c r="L210" s="1059"/>
      <c r="M210" s="5"/>
      <c r="N210" s="1020">
        <f t="shared" si="68"/>
        <v>5.989583333333333</v>
      </c>
      <c r="O210" s="1020"/>
      <c r="P210" s="5"/>
      <c r="Q210" s="1056">
        <f t="shared" si="69"/>
        <v>9.7321428571429003E-2</v>
      </c>
      <c r="R210" s="1057"/>
      <c r="U210" s="238">
        <f t="shared" si="70"/>
        <v>0</v>
      </c>
      <c r="V210" s="239">
        <v>48</v>
      </c>
      <c r="W210" s="240">
        <f t="shared" si="71"/>
        <v>48</v>
      </c>
      <c r="X210" s="241">
        <f t="shared" si="72"/>
        <v>0</v>
      </c>
      <c r="Z210" s="690"/>
      <c r="AA210" s="690"/>
      <c r="AB210" s="690"/>
      <c r="AC210" s="690"/>
      <c r="AD210" s="690"/>
      <c r="AE210" s="386"/>
      <c r="AF210" s="386"/>
      <c r="AG210" s="244"/>
      <c r="AH210" s="244"/>
      <c r="AI210" s="691"/>
      <c r="AJ210" s="691"/>
      <c r="AK210" s="691"/>
      <c r="AL210" s="691"/>
      <c r="AM210" s="691"/>
      <c r="AN210" s="691"/>
      <c r="AO210" s="691"/>
      <c r="AP210" s="691"/>
      <c r="AQ210" s="691"/>
      <c r="AR210" s="691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5"/>
        <v>41.071428571428569</v>
      </c>
      <c r="F211" s="1049"/>
      <c r="G211" s="1068"/>
      <c r="H211" s="1069"/>
      <c r="I211" s="1052">
        <f t="shared" si="66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70"/>
        <v>0</v>
      </c>
      <c r="V211" s="239">
        <v>48</v>
      </c>
      <c r="W211" s="240">
        <f>+V211-U211</f>
        <v>48</v>
      </c>
      <c r="X211" s="241">
        <f t="shared" si="72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691"/>
      <c r="AN211" s="691"/>
      <c r="AO211" s="691"/>
      <c r="AP211" s="691"/>
      <c r="AQ211" s="691"/>
      <c r="AR211" s="691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5"/>
        <v>29.571428571428573</v>
      </c>
      <c r="F212" s="1049"/>
      <c r="G212" s="1062"/>
      <c r="H212" s="1063"/>
      <c r="I212" s="1052">
        <f t="shared" si="66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3">+I212/6*7</f>
        <v>4.3125</v>
      </c>
      <c r="O212" s="1020"/>
      <c r="P212" s="5"/>
      <c r="Q212" s="1056">
        <f t="shared" ref="Q212:Q213" si="74">+$I$69-I212</f>
        <v>1.5348214285714286</v>
      </c>
      <c r="R212" s="1057"/>
      <c r="S212" s="1066">
        <f>20*30/180*117</f>
        <v>390</v>
      </c>
      <c r="T212" s="1067"/>
      <c r="U212" s="238">
        <f t="shared" si="70"/>
        <v>0</v>
      </c>
      <c r="V212" s="239">
        <v>48</v>
      </c>
      <c r="W212" s="240">
        <f t="shared" ref="W212:W213" si="75">+V212-U212</f>
        <v>48</v>
      </c>
      <c r="X212" s="241">
        <f t="shared" si="72"/>
        <v>0</v>
      </c>
      <c r="Y212" s="248"/>
      <c r="Z212" s="690"/>
      <c r="AA212" s="690"/>
      <c r="AB212" s="690"/>
      <c r="AC212" s="690"/>
      <c r="AD212" s="690"/>
      <c r="AE212" s="386"/>
      <c r="AF212" s="386"/>
      <c r="AG212" s="691"/>
      <c r="AH212" s="691"/>
      <c r="AI212" s="393"/>
      <c r="AJ212" s="393"/>
      <c r="AK212" s="393"/>
      <c r="AL212" s="393"/>
      <c r="AM212" s="691"/>
      <c r="AN212" s="691"/>
      <c r="AO212" s="691"/>
      <c r="AP212" s="691"/>
      <c r="AQ212" s="691"/>
      <c r="AR212" s="691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5"/>
        <v>28.333328571428574</v>
      </c>
      <c r="F213" s="1049"/>
      <c r="G213" s="1050">
        <v>25.761900000000001</v>
      </c>
      <c r="H213" s="1051"/>
      <c r="I213" s="1052">
        <f t="shared" si="66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3"/>
        <v>4.1319437500000005</v>
      </c>
      <c r="O213" s="1020"/>
      <c r="P213" s="5"/>
      <c r="Q213" s="1056">
        <f t="shared" si="74"/>
        <v>1.6895839285714285</v>
      </c>
      <c r="R213" s="1057"/>
      <c r="S213" s="693"/>
      <c r="T213" s="693"/>
      <c r="U213" s="238">
        <f>+AE175+U175+K175+AO154+AE154+U154+K154</f>
        <v>0</v>
      </c>
      <c r="V213" s="239">
        <v>48</v>
      </c>
      <c r="W213" s="240">
        <f t="shared" si="75"/>
        <v>48</v>
      </c>
      <c r="X213" s="241">
        <f>+J154+T154+AD154+J175+T175+AD175</f>
        <v>0</v>
      </c>
      <c r="Y213" s="693"/>
      <c r="Z213" s="690"/>
      <c r="AA213" s="690"/>
      <c r="AB213" s="690"/>
      <c r="AC213" s="690"/>
      <c r="AD213" s="690"/>
      <c r="AE213" s="386"/>
      <c r="AF213" s="386"/>
      <c r="AG213" s="691"/>
      <c r="AH213" s="691"/>
      <c r="AI213" s="393"/>
      <c r="AJ213" s="393"/>
      <c r="AK213" s="393"/>
      <c r="AL213" s="393"/>
      <c r="AM213" s="691"/>
      <c r="AN213" s="691"/>
      <c r="AO213" s="691"/>
      <c r="AP213" s="691"/>
      <c r="AQ213" s="691"/>
      <c r="AR213" s="691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6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690"/>
      <c r="AC214" s="690"/>
      <c r="AD214" s="690"/>
      <c r="AE214" s="386"/>
      <c r="AF214" s="386"/>
      <c r="AG214" s="691"/>
      <c r="AH214" s="691"/>
      <c r="AI214" s="691"/>
      <c r="AJ214" s="691"/>
      <c r="AK214" s="691"/>
      <c r="AL214" s="691"/>
      <c r="AM214" s="691"/>
      <c r="AN214" s="691"/>
      <c r="AO214" s="691"/>
      <c r="AP214" s="691"/>
      <c r="AQ214" s="691"/>
      <c r="AR214" s="691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7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690"/>
      <c r="AE215" s="386"/>
      <c r="AF215" s="386"/>
      <c r="AG215" s="244"/>
      <c r="AH215" s="244"/>
      <c r="AI215" s="691"/>
      <c r="AJ215" s="691"/>
      <c r="AK215" s="691"/>
      <c r="AL215" s="691"/>
      <c r="AM215" s="691"/>
      <c r="AN215" s="691"/>
      <c r="AO215" s="691"/>
      <c r="AP215" s="691"/>
      <c r="AQ215" s="691"/>
      <c r="AR215" s="691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7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690"/>
      <c r="AD216" s="690"/>
      <c r="AE216" s="386"/>
      <c r="AF216" s="386"/>
      <c r="AG216" s="691"/>
      <c r="AH216" s="691"/>
      <c r="AI216" s="393"/>
      <c r="AJ216" s="393"/>
      <c r="AK216" s="393"/>
      <c r="AL216" s="393"/>
      <c r="AM216" s="691"/>
      <c r="AN216" s="691"/>
      <c r="AO216" s="691"/>
      <c r="AP216" s="691"/>
      <c r="AQ216" s="691"/>
      <c r="AR216" s="691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7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8">+I217/6*7</f>
        <v>4.1319395833333337</v>
      </c>
      <c r="O217" s="1044"/>
      <c r="P217" s="5"/>
      <c r="Q217" s="1004">
        <f t="shared" ref="Q217" si="79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80">+V217-U217</f>
        <v>48</v>
      </c>
      <c r="X217" s="241">
        <f>+J157+T157+AD157+J178+T178+AD178</f>
        <v>0</v>
      </c>
      <c r="Z217" s="252"/>
      <c r="AA217" s="394"/>
      <c r="AB217" s="389"/>
      <c r="AC217" s="690"/>
      <c r="AD217" s="690"/>
      <c r="AE217" s="386"/>
      <c r="AF217" s="386"/>
      <c r="AG217" s="393"/>
      <c r="AH217" s="393"/>
      <c r="AI217" s="691"/>
      <c r="AJ217" s="691"/>
      <c r="AK217" s="691"/>
      <c r="AL217" s="691"/>
      <c r="AM217" s="691"/>
      <c r="AN217" s="691"/>
      <c r="AO217" s="691"/>
      <c r="AP217" s="691"/>
      <c r="AQ217" s="691"/>
      <c r="AR217" s="691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7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690"/>
      <c r="AC218" s="690"/>
      <c r="AD218" s="690">
        <v>200</v>
      </c>
      <c r="AE218" s="386"/>
      <c r="AF218" s="1023">
        <f>+AD218/6</f>
        <v>33.333333333333336</v>
      </c>
      <c r="AG218" s="1023"/>
      <c r="AH218" s="1023"/>
      <c r="AI218" s="691"/>
      <c r="AJ218" s="691"/>
      <c r="AK218" s="691"/>
      <c r="AL218" s="691"/>
      <c r="AM218" s="691"/>
      <c r="AN218" s="691"/>
      <c r="AO218" s="691"/>
      <c r="AP218" s="691"/>
      <c r="AQ218" s="691"/>
      <c r="AR218" s="691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7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81">+V219-U219</f>
        <v>48</v>
      </c>
      <c r="X219" s="241">
        <f>+J158+T158+AD158+J179+T179+AD179</f>
        <v>0</v>
      </c>
      <c r="Y219" s="248"/>
      <c r="Z219" s="690"/>
      <c r="AA219" s="690"/>
      <c r="AB219" s="690"/>
      <c r="AC219" s="690"/>
      <c r="AG219" s="691"/>
      <c r="AH219" s="691"/>
      <c r="AI219" s="386"/>
      <c r="AJ219" s="386"/>
      <c r="AK219" s="689"/>
      <c r="AL219" s="689"/>
      <c r="AM219" s="689"/>
      <c r="AN219" s="689"/>
      <c r="AO219" s="689"/>
      <c r="AP219" s="689"/>
      <c r="AQ219" s="689"/>
      <c r="AR219" s="689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7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2">+I220/6*7</f>
        <v>11.423610416666666</v>
      </c>
      <c r="O220" s="1020"/>
      <c r="P220" s="5"/>
      <c r="Q220" s="1004">
        <f t="shared" ref="Q220" si="83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81"/>
        <v>48</v>
      </c>
      <c r="X220" s="241">
        <f>+J162+T162+AD162+J183+T183+AD183</f>
        <v>0</v>
      </c>
      <c r="Z220" s="246"/>
      <c r="AA220" s="246"/>
      <c r="AB220" s="690"/>
      <c r="AC220" s="690"/>
      <c r="AD220" s="690"/>
      <c r="AE220" s="386"/>
      <c r="AF220" s="386"/>
      <c r="AG220" s="691"/>
      <c r="AH220" s="691"/>
      <c r="AI220" s="691"/>
      <c r="AJ220" s="691"/>
      <c r="AK220" s="691"/>
      <c r="AL220" s="691"/>
      <c r="AM220" s="691"/>
      <c r="AN220" s="691"/>
      <c r="AO220" s="691"/>
      <c r="AP220" s="691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692"/>
      <c r="E223" s="304"/>
      <c r="F223" s="305"/>
      <c r="G223" s="692"/>
      <c r="H223" s="692"/>
      <c r="I223" s="305"/>
      <c r="J223" s="692"/>
      <c r="K223" s="306"/>
      <c r="L223" s="306"/>
      <c r="M223" s="692"/>
      <c r="N223" s="692"/>
      <c r="O223" s="692"/>
      <c r="P223" s="692"/>
      <c r="Q223" s="692"/>
      <c r="R223" s="692"/>
      <c r="S223" s="692"/>
      <c r="T223" s="692"/>
      <c r="U223" s="692"/>
      <c r="V223" s="692"/>
      <c r="W223" s="692"/>
      <c r="X223" s="692"/>
      <c r="Y223" s="692"/>
      <c r="Z223" s="692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4">+I227+L227+O227</f>
        <v>33.762</v>
      </c>
      <c r="S227" s="1001"/>
      <c r="T227" s="1001"/>
      <c r="U227" s="961">
        <f t="shared" ref="U227:U234" si="85">+I227*7+(L227+O227)*6</f>
        <v>233.334</v>
      </c>
      <c r="V227" s="961"/>
      <c r="W227" s="962"/>
      <c r="X227" s="963">
        <f t="shared" ref="X227:X234" si="86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4"/>
        <v>28.762</v>
      </c>
      <c r="S228" s="998"/>
      <c r="T228" s="998"/>
      <c r="U228" s="953">
        <f t="shared" si="85"/>
        <v>198.334</v>
      </c>
      <c r="V228" s="953"/>
      <c r="W228" s="954"/>
      <c r="X228" s="947">
        <f t="shared" si="86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7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4"/>
        <v>41.5</v>
      </c>
      <c r="S229" s="998"/>
      <c r="T229" s="998"/>
      <c r="U229" s="953">
        <f t="shared" si="85"/>
        <v>287.5</v>
      </c>
      <c r="V229" s="953"/>
      <c r="W229" s="954"/>
      <c r="X229" s="947">
        <f t="shared" si="86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4"/>
        <v>41.5</v>
      </c>
      <c r="S230" s="998"/>
      <c r="T230" s="998"/>
      <c r="U230" s="953">
        <f t="shared" si="85"/>
        <v>287.5</v>
      </c>
      <c r="V230" s="953"/>
      <c r="W230" s="954"/>
      <c r="X230" s="947">
        <f t="shared" si="86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4"/>
        <v>41.5</v>
      </c>
      <c r="S231" s="998"/>
      <c r="T231" s="998"/>
      <c r="U231" s="953">
        <f t="shared" si="85"/>
        <v>287.5</v>
      </c>
      <c r="V231" s="953"/>
      <c r="W231" s="954"/>
      <c r="X231" s="947">
        <f t="shared" si="86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4"/>
        <v>36.799999999999997</v>
      </c>
      <c r="S232" s="998"/>
      <c r="T232" s="998"/>
      <c r="U232" s="953">
        <f t="shared" si="85"/>
        <v>254.59999999999997</v>
      </c>
      <c r="V232" s="953"/>
      <c r="W232" s="954"/>
      <c r="X232" s="947">
        <f t="shared" si="86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4"/>
        <v>41.5</v>
      </c>
      <c r="S233" s="998"/>
      <c r="T233" s="998"/>
      <c r="U233" s="953">
        <f t="shared" si="85"/>
        <v>287.5</v>
      </c>
      <c r="V233" s="953"/>
      <c r="W233" s="954"/>
      <c r="X233" s="947">
        <f t="shared" si="86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4"/>
        <v>37.095199999999998</v>
      </c>
      <c r="S234" s="998"/>
      <c r="T234" s="998"/>
      <c r="U234" s="953">
        <f t="shared" si="85"/>
        <v>256.66639999999995</v>
      </c>
      <c r="V234" s="953"/>
      <c r="W234" s="954"/>
      <c r="X234" s="947">
        <f t="shared" si="86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691"/>
      <c r="AF243" s="691"/>
      <c r="AG243" s="386"/>
      <c r="AH243" s="386"/>
      <c r="AI243" s="386"/>
      <c r="AJ243" s="691"/>
      <c r="AK243" s="691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691"/>
      <c r="AF244" s="691"/>
      <c r="AG244" s="386"/>
      <c r="AH244" s="386"/>
      <c r="AI244" s="386"/>
      <c r="AJ244" s="691"/>
      <c r="AK244" s="691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691"/>
      <c r="AF246" s="691"/>
      <c r="AG246" s="386"/>
      <c r="AH246" s="386"/>
      <c r="AI246" s="386"/>
      <c r="AJ246" s="691"/>
      <c r="AK246" s="691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691"/>
      <c r="AF249" s="691"/>
      <c r="AG249" s="386"/>
      <c r="AH249" s="386"/>
      <c r="AI249" s="386"/>
      <c r="AJ249" s="691"/>
      <c r="AK249" s="691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689"/>
      <c r="AM251" s="691"/>
      <c r="AN251" s="689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692"/>
      <c r="E260" s="304"/>
      <c r="F260" s="305"/>
      <c r="G260" s="692"/>
      <c r="H260" s="692"/>
      <c r="I260" s="305"/>
      <c r="J260" s="692"/>
      <c r="K260" s="306"/>
      <c r="L260" s="306"/>
      <c r="M260" s="692"/>
      <c r="N260" s="692"/>
      <c r="O260" s="692"/>
      <c r="P260" s="692"/>
      <c r="Q260" s="692"/>
      <c r="R260" s="692"/>
      <c r="S260" s="692"/>
      <c r="T260" s="692"/>
      <c r="U260" s="692"/>
      <c r="V260" s="692"/>
      <c r="W260" s="692"/>
      <c r="X260" s="692"/>
      <c r="Y260" s="692"/>
      <c r="Z260" s="692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8">+I264+L264+O264</f>
        <v>41.5</v>
      </c>
      <c r="S264" s="960"/>
      <c r="T264" s="960"/>
      <c r="U264" s="961">
        <f t="shared" ref="U264:U270" si="89">+I264*7+(L264+O264)*6</f>
        <v>287.5</v>
      </c>
      <c r="V264" s="961"/>
      <c r="W264" s="962"/>
      <c r="X264" s="963">
        <f t="shared" ref="X264:X270" si="90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1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8"/>
        <v>41.5</v>
      </c>
      <c r="S265" s="938"/>
      <c r="T265" s="938"/>
      <c r="U265" s="953">
        <f t="shared" si="89"/>
        <v>287.5</v>
      </c>
      <c r="V265" s="953"/>
      <c r="W265" s="954"/>
      <c r="X265" s="947">
        <f t="shared" si="90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1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8"/>
        <v>41.5</v>
      </c>
      <c r="S266" s="938"/>
      <c r="T266" s="938"/>
      <c r="U266" s="953">
        <f t="shared" si="89"/>
        <v>287.5</v>
      </c>
      <c r="V266" s="953"/>
      <c r="W266" s="954"/>
      <c r="X266" s="947">
        <f t="shared" si="90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1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8"/>
        <v>38</v>
      </c>
      <c r="S267" s="938"/>
      <c r="T267" s="938"/>
      <c r="U267" s="953">
        <f t="shared" si="89"/>
        <v>263</v>
      </c>
      <c r="V267" s="953"/>
      <c r="W267" s="954"/>
      <c r="X267" s="947">
        <f t="shared" si="90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1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8"/>
        <v>36.799999999999997</v>
      </c>
      <c r="S268" s="938"/>
      <c r="T268" s="938"/>
      <c r="U268" s="953">
        <f t="shared" si="89"/>
        <v>254.59999999999997</v>
      </c>
      <c r="V268" s="953"/>
      <c r="W268" s="954"/>
      <c r="X268" s="947">
        <f t="shared" si="90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1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8"/>
        <v>36.799999999999997</v>
      </c>
      <c r="S269" s="938"/>
      <c r="T269" s="938"/>
      <c r="U269" s="953">
        <f t="shared" si="89"/>
        <v>254.59999999999997</v>
      </c>
      <c r="V269" s="953"/>
      <c r="W269" s="954"/>
      <c r="X269" s="947">
        <f t="shared" si="90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1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8"/>
        <v>29</v>
      </c>
      <c r="S270" s="938"/>
      <c r="T270" s="938"/>
      <c r="U270" s="953">
        <f t="shared" si="89"/>
        <v>200</v>
      </c>
      <c r="V270" s="953"/>
      <c r="W270" s="954"/>
      <c r="X270" s="947">
        <f t="shared" si="90"/>
        <v>857.14285714285722</v>
      </c>
      <c r="Y270" s="948"/>
      <c r="Z270" s="949"/>
      <c r="AA270" s="935">
        <v>25</v>
      </c>
      <c r="AB270" s="936"/>
      <c r="AC270" s="936"/>
      <c r="AD270" s="937">
        <f t="shared" si="91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401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400" priority="27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399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398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397" priority="24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AE42:AE43 U42:U45 V43:V44 U32:V32 U25:V26 K25:L26 AE32:AF32 AE25:AF26 U24 K22:L23 K24 K32:L32 U22:V23 U33:U40 AE33:AE40 K33:K43 AE14:AF14 K11:L11 AE11:AE13 U11:V11 K17:L17 V17 K12:K16 U12:U21 K18:K21 AO11:AO26 AE15:AE24">
    <cfRule type="cellIs" dxfId="396" priority="23" stopIfTrue="1" operator="lessThanOrEqual">
      <formula>0</formula>
    </cfRule>
  </conditionalFormatting>
  <conditionalFormatting sqref="Z49:AA53 Z61:AA66 W85:X85 W74:X83">
    <cfRule type="cellIs" dxfId="395" priority="22" stopIfTrue="1" operator="lessThan">
      <formula>0</formula>
    </cfRule>
  </conditionalFormatting>
  <conditionalFormatting sqref="X49:X53 X61:X66 U85 U74:U83">
    <cfRule type="cellIs" dxfId="394" priority="21" stopIfTrue="1" operator="greaterThan">
      <formula>48</formula>
    </cfRule>
  </conditionalFormatting>
  <conditionalFormatting sqref="C275:C279 C287:D290 C158:D158 D275:D286 C86:D141">
    <cfRule type="cellIs" dxfId="393" priority="20" stopIfTrue="1" operator="lessThan">
      <formula>$C$71</formula>
    </cfRule>
  </conditionalFormatting>
  <conditionalFormatting sqref="AI60:AO60 AI32:AO48">
    <cfRule type="cellIs" dxfId="392" priority="18" stopIfTrue="1" operator="equal">
      <formula>0</formula>
    </cfRule>
    <cfRule type="cellIs" dxfId="391" priority="19" stopIfTrue="1" operator="lessThan">
      <formula>0</formula>
    </cfRule>
  </conditionalFormatting>
  <conditionalFormatting sqref="AT60 AT32:AT45">
    <cfRule type="cellIs" dxfId="390" priority="16" stopIfTrue="1" operator="greaterThan">
      <formula>0</formula>
    </cfRule>
    <cfRule type="cellIs" dxfId="389" priority="17" stopIfTrue="1" operator="lessThan">
      <formula>1</formula>
    </cfRule>
  </conditionalFormatting>
  <conditionalFormatting sqref="K84:L84 K71:L81">
    <cfRule type="cellIs" dxfId="388" priority="15" stopIfTrue="1" operator="greaterThanOrEqual">
      <formula>$K$69</formula>
    </cfRule>
  </conditionalFormatting>
  <conditionalFormatting sqref="AF56:AF57 AF33:AF45 V32:V45 L32:L45 L12:L24 V12:V24 AF11:AF24">
    <cfRule type="cellIs" dxfId="387" priority="13" stopIfTrue="1" operator="equal">
      <formula>0</formula>
    </cfRule>
    <cfRule type="cellIs" dxfId="386" priority="14" stopIfTrue="1" operator="lessThan">
      <formula>0</formula>
    </cfRule>
  </conditionalFormatting>
  <conditionalFormatting sqref="K198:L240">
    <cfRule type="cellIs" dxfId="385" priority="12" stopIfTrue="1" operator="greaterThanOrEqual">
      <formula>$K$72</formula>
    </cfRule>
  </conditionalFormatting>
  <conditionalFormatting sqref="K240:L240">
    <cfRule type="cellIs" dxfId="384" priority="11" stopIfTrue="1" operator="greaterThanOrEqual">
      <formula>$K$72</formula>
    </cfRule>
  </conditionalFormatting>
  <conditionalFormatting sqref="C240:D240">
    <cfRule type="cellIs" dxfId="383" priority="10" stopIfTrue="1" operator="lessThan">
      <formula>$C$71</formula>
    </cfRule>
  </conditionalFormatting>
  <conditionalFormatting sqref="AP199:AP202">
    <cfRule type="cellIs" dxfId="382" priority="9" stopIfTrue="1" operator="lessThanOrEqual">
      <formula>0</formula>
    </cfRule>
  </conditionalFormatting>
  <conditionalFormatting sqref="K220:L221 L214:L216 K214:K218">
    <cfRule type="cellIs" dxfId="381" priority="8" stopIfTrue="1" operator="greaterThanOrEqual">
      <formula>$K$72</formula>
    </cfRule>
  </conditionalFormatting>
  <conditionalFormatting sqref="P199:P201">
    <cfRule type="cellIs" dxfId="380" priority="7" stopIfTrue="1" operator="lessThanOrEqual">
      <formula>0</formula>
    </cfRule>
  </conditionalFormatting>
  <conditionalFormatting sqref="S199:S201">
    <cfRule type="cellIs" dxfId="379" priority="6" stopIfTrue="1" operator="lessThanOrEqual">
      <formula>0</formula>
    </cfRule>
  </conditionalFormatting>
  <conditionalFormatting sqref="U199:V201">
    <cfRule type="cellIs" dxfId="378" priority="5" stopIfTrue="1" operator="lessThanOrEqual">
      <formula>0</formula>
    </cfRule>
  </conditionalFormatting>
  <conditionalFormatting sqref="Z199:AA201 W220:X220 W209:X218">
    <cfRule type="cellIs" dxfId="377" priority="4" stopIfTrue="1" operator="lessThan">
      <formula>0</formula>
    </cfRule>
  </conditionalFormatting>
  <conditionalFormatting sqref="X199:X201 U220 U209:U218">
    <cfRule type="cellIs" dxfId="376" priority="3" stopIfTrue="1" operator="greaterThan">
      <formula>48</formula>
    </cfRule>
  </conditionalFormatting>
  <conditionalFormatting sqref="C221:D221">
    <cfRule type="cellIs" dxfId="375" priority="2" stopIfTrue="1" operator="lessThan">
      <formula>$C$71</formula>
    </cfRule>
  </conditionalFormatting>
  <conditionalFormatting sqref="K219:L219 K206:L216">
    <cfRule type="cellIs" dxfId="374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K37" formula="1"/>
  </ignoredErrors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F5" activePane="bottomRight" state="frozen"/>
      <selection activeCell="C5" sqref="C5:J6"/>
      <selection pane="topRight" activeCell="C5" sqref="C5:J6"/>
      <selection pane="bottomLeft" activeCell="C5" sqref="C5:J6"/>
      <selection pane="bottomRight" activeCell="X19" sqref="X19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684" customWidth="1"/>
    <col min="5" max="5" width="4.28515625" style="3" customWidth="1"/>
    <col min="6" max="6" width="4.28515625" style="4" customWidth="1"/>
    <col min="7" max="8" width="4.28515625" style="684" customWidth="1"/>
    <col min="9" max="9" width="4.28515625" style="4" customWidth="1"/>
    <col min="10" max="10" width="4.28515625" style="684" customWidth="1"/>
    <col min="11" max="12" width="4.28515625" style="5" customWidth="1"/>
    <col min="13" max="26" width="4.28515625" style="684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43208</v>
      </c>
      <c r="C1" s="684" t="s">
        <v>0</v>
      </c>
      <c r="AN1" s="7"/>
      <c r="AO1" s="7"/>
      <c r="AR1" s="1340">
        <f>+AR46+AT46</f>
        <v>186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43209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684">
        <v>0</v>
      </c>
    </row>
    <row r="5" spans="1:58" ht="10.9" customHeight="1">
      <c r="B5" s="1244" t="s">
        <v>1</v>
      </c>
      <c r="C5" s="1140">
        <v>43202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43203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43204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43205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43202</v>
      </c>
      <c r="AW7" s="1296">
        <f>+M5</f>
        <v>43203</v>
      </c>
      <c r="AX7" s="1296">
        <f>+W5</f>
        <v>43204</v>
      </c>
      <c r="AY7" s="1309">
        <f>+AG5</f>
        <v>43205</v>
      </c>
      <c r="AZ7" s="1296">
        <f>+C26</f>
        <v>43206</v>
      </c>
      <c r="BA7" s="1296">
        <f>+M26</f>
        <v>43207</v>
      </c>
      <c r="BB7" s="1296">
        <f>+W26</f>
        <v>43208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/>
      <c r="X11" s="337"/>
      <c r="Y11" s="23"/>
      <c r="Z11" s="17">
        <f t="shared" ref="Z11:Z20" si="9">+X11-W11-Y11</f>
        <v>0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0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-2</v>
      </c>
      <c r="AQ11" s="1298"/>
      <c r="AR11" s="1299">
        <f t="shared" ref="AR11:AR20" si="16">ROUND(BD11*AP11,1)</f>
        <v>-9.1</v>
      </c>
      <c r="AS11" s="1300"/>
      <c r="AT11" s="338">
        <f t="shared" ref="AT11:AT24" si="17">IF(AT32&gt;0,AT32*$AT$10,0)</f>
        <v>20</v>
      </c>
      <c r="AV11" s="26">
        <f t="shared" ref="AV11:AV20" si="18">+L11</f>
        <v>0</v>
      </c>
      <c r="AW11" s="26">
        <f t="shared" ref="AW11:AW20" si="19">+V11</f>
        <v>-1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-9.0928571428571416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17</v>
      </c>
      <c r="E12" s="30">
        <v>1</v>
      </c>
      <c r="F12" s="31">
        <f t="shared" si="1"/>
        <v>9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1</v>
      </c>
      <c r="M12" s="688">
        <v>7</v>
      </c>
      <c r="N12" s="342">
        <v>17</v>
      </c>
      <c r="O12" s="30">
        <v>1</v>
      </c>
      <c r="P12" s="31">
        <f t="shared" si="5"/>
        <v>9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1</v>
      </c>
      <c r="W12" s="342">
        <v>7</v>
      </c>
      <c r="X12" s="342">
        <v>15</v>
      </c>
      <c r="Y12" s="30">
        <v>1</v>
      </c>
      <c r="Z12" s="31">
        <f t="shared" si="9"/>
        <v>7</v>
      </c>
      <c r="AA12" s="344"/>
      <c r="AB12" s="348"/>
      <c r="AC12" s="36">
        <f t="shared" si="10"/>
        <v>0</v>
      </c>
      <c r="AD12" s="30"/>
      <c r="AE12" s="32">
        <f t="shared" si="11"/>
        <v>9</v>
      </c>
      <c r="AF12" s="20">
        <f>IF(W12&gt;0,IF(AE$5&gt;0,(Z12+AC12)*2,(Z12+AC12-8)),0)*IF(Z12&lt;9,IF(AE$5&gt;0,1,2),1)+IF(Z12&gt;8,AC12,0)</f>
        <v>-2</v>
      </c>
      <c r="AG12" s="37">
        <v>20</v>
      </c>
      <c r="AH12" s="342">
        <v>24</v>
      </c>
      <c r="AI12" s="30">
        <v>1</v>
      </c>
      <c r="AJ12" s="38">
        <f>+AH12-AG12-AI12</f>
        <v>3</v>
      </c>
      <c r="AK12" s="342">
        <v>0</v>
      </c>
      <c r="AL12" s="342">
        <v>8</v>
      </c>
      <c r="AM12" s="31">
        <f t="shared" si="13"/>
        <v>8</v>
      </c>
      <c r="AN12" s="39"/>
      <c r="AO12" s="40">
        <f t="shared" si="14"/>
        <v>14</v>
      </c>
      <c r="AP12" s="1282">
        <f t="shared" si="15"/>
        <v>34</v>
      </c>
      <c r="AQ12" s="1283"/>
      <c r="AR12" s="1284">
        <f t="shared" si="16"/>
        <v>174.6</v>
      </c>
      <c r="AS12" s="1285"/>
      <c r="AT12" s="345">
        <f t="shared" si="17"/>
        <v>28</v>
      </c>
      <c r="AV12" s="26">
        <f t="shared" si="18"/>
        <v>1</v>
      </c>
      <c r="AW12" s="26">
        <f t="shared" si="19"/>
        <v>1</v>
      </c>
      <c r="AX12" s="26">
        <f t="shared" si="20"/>
        <v>-2</v>
      </c>
      <c r="AY12" s="27">
        <f t="shared" si="21"/>
        <v>14</v>
      </c>
      <c r="AZ12" s="26">
        <f t="shared" si="22"/>
        <v>3</v>
      </c>
      <c r="BA12" s="26">
        <f t="shared" si="23"/>
        <v>13</v>
      </c>
      <c r="BB12" s="26">
        <f t="shared" si="24"/>
        <v>4</v>
      </c>
      <c r="BC12" s="28"/>
      <c r="BD12" s="339">
        <f t="shared" si="25"/>
        <v>5.1339285714285712</v>
      </c>
      <c r="BE12" s="340">
        <f t="shared" si="26"/>
        <v>174.55357142857142</v>
      </c>
      <c r="BF12" s="341">
        <f t="shared" si="27"/>
        <v>71.875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17</v>
      </c>
      <c r="E13" s="30">
        <v>1</v>
      </c>
      <c r="F13" s="31">
        <f t="shared" si="1"/>
        <v>9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1</v>
      </c>
      <c r="M13" s="688">
        <v>7</v>
      </c>
      <c r="N13" s="342">
        <v>17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>
        <v>7</v>
      </c>
      <c r="AH13" s="346">
        <v>17</v>
      </c>
      <c r="AI13" s="42">
        <v>1</v>
      </c>
      <c r="AJ13" s="38">
        <f>+AH13-AG13-AI13</f>
        <v>9</v>
      </c>
      <c r="AK13" s="342"/>
      <c r="AL13" s="346"/>
      <c r="AM13" s="31">
        <f t="shared" si="13"/>
        <v>0</v>
      </c>
      <c r="AN13" s="43"/>
      <c r="AO13" s="40">
        <f t="shared" si="14"/>
        <v>18</v>
      </c>
      <c r="AP13" s="1282">
        <f t="shared" si="15"/>
        <v>26</v>
      </c>
      <c r="AQ13" s="1283"/>
      <c r="AR13" s="1284">
        <f t="shared" si="16"/>
        <v>133.5</v>
      </c>
      <c r="AS13" s="1285"/>
      <c r="AT13" s="345">
        <f t="shared" si="17"/>
        <v>28</v>
      </c>
      <c r="AV13" s="26">
        <f t="shared" si="18"/>
        <v>1</v>
      </c>
      <c r="AW13" s="26">
        <f t="shared" si="19"/>
        <v>1</v>
      </c>
      <c r="AX13" s="26">
        <f t="shared" si="20"/>
        <v>1</v>
      </c>
      <c r="AY13" s="27">
        <f t="shared" si="21"/>
        <v>18</v>
      </c>
      <c r="AZ13" s="26">
        <f t="shared" si="22"/>
        <v>2</v>
      </c>
      <c r="BA13" s="26">
        <f t="shared" si="23"/>
        <v>1</v>
      </c>
      <c r="BB13" s="26">
        <f t="shared" si="24"/>
        <v>2</v>
      </c>
      <c r="BC13" s="28"/>
      <c r="BD13" s="339">
        <f t="shared" si="25"/>
        <v>5.1339285714285712</v>
      </c>
      <c r="BE13" s="340">
        <f t="shared" si="26"/>
        <v>133.48214285714286</v>
      </c>
      <c r="BF13" s="341">
        <f t="shared" si="27"/>
        <v>92.410714285714278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20</v>
      </c>
      <c r="E14" s="42">
        <v>1</v>
      </c>
      <c r="F14" s="44">
        <f t="shared" si="1"/>
        <v>12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4</v>
      </c>
      <c r="M14" s="347">
        <v>7</v>
      </c>
      <c r="N14" s="346">
        <v>16</v>
      </c>
      <c r="O14" s="42">
        <v>1</v>
      </c>
      <c r="P14" s="44">
        <f t="shared" si="5"/>
        <v>8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0</v>
      </c>
      <c r="W14" s="347">
        <v>7</v>
      </c>
      <c r="X14" s="346">
        <v>19</v>
      </c>
      <c r="Y14" s="42">
        <v>1</v>
      </c>
      <c r="Z14" s="44">
        <f t="shared" si="9"/>
        <v>11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3</v>
      </c>
      <c r="AG14" s="37">
        <v>7</v>
      </c>
      <c r="AH14" s="342">
        <v>24</v>
      </c>
      <c r="AI14" s="30">
        <v>3</v>
      </c>
      <c r="AJ14" s="38">
        <f t="shared" si="12"/>
        <v>14</v>
      </c>
      <c r="AK14" s="342">
        <v>0</v>
      </c>
      <c r="AL14" s="342">
        <v>8</v>
      </c>
      <c r="AM14" s="31">
        <f t="shared" si="13"/>
        <v>8</v>
      </c>
      <c r="AN14" s="47"/>
      <c r="AO14" s="40">
        <f t="shared" si="14"/>
        <v>36</v>
      </c>
      <c r="AP14" s="1282">
        <f t="shared" si="15"/>
        <v>55</v>
      </c>
      <c r="AQ14" s="1283"/>
      <c r="AR14" s="1284">
        <f t="shared" si="16"/>
        <v>229.2</v>
      </c>
      <c r="AS14" s="1285"/>
      <c r="AT14" s="345">
        <f t="shared" si="17"/>
        <v>28</v>
      </c>
      <c r="AV14" s="26">
        <f t="shared" si="18"/>
        <v>4</v>
      </c>
      <c r="AW14" s="26">
        <f t="shared" si="19"/>
        <v>0</v>
      </c>
      <c r="AX14" s="26">
        <f t="shared" si="20"/>
        <v>3</v>
      </c>
      <c r="AY14" s="27">
        <f t="shared" si="21"/>
        <v>36</v>
      </c>
      <c r="AZ14" s="26">
        <f t="shared" si="22"/>
        <v>4</v>
      </c>
      <c r="BA14" s="26">
        <f t="shared" si="23"/>
        <v>4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229.16732142857143</v>
      </c>
      <c r="BF14" s="341">
        <f t="shared" si="27"/>
        <v>150.00042857142856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18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688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/>
      <c r="AC15" s="31">
        <f t="shared" si="10"/>
        <v>0</v>
      </c>
      <c r="AD15" s="30"/>
      <c r="AE15" s="32">
        <f t="shared" si="11"/>
        <v>9</v>
      </c>
      <c r="AF15" s="20">
        <f>IF(W15&gt;0,IF(AE$5&gt;0,(Z15+AC15)*2,(Z15+AC15-8)),0)*IF(Z15&lt;9,IF(AE$5&gt;0,1,2),1)+IF(Z15&gt;8,AC15,0)</f>
        <v>-2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3</v>
      </c>
      <c r="AQ15" s="1295"/>
      <c r="AR15" s="1284">
        <f t="shared" si="16"/>
        <v>15.4</v>
      </c>
      <c r="AS15" s="1285"/>
      <c r="AT15" s="345">
        <f t="shared" si="17"/>
        <v>24</v>
      </c>
      <c r="AV15" s="26">
        <f t="shared" si="18"/>
        <v>2</v>
      </c>
      <c r="AW15" s="26">
        <f t="shared" si="19"/>
        <v>0</v>
      </c>
      <c r="AX15" s="26">
        <f t="shared" si="20"/>
        <v>-2</v>
      </c>
      <c r="AY15" s="27">
        <f t="shared" si="21"/>
        <v>0</v>
      </c>
      <c r="AZ15" s="26">
        <f t="shared" si="22"/>
        <v>1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15.401785714285714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/>
      <c r="D16" s="342"/>
      <c r="E16" s="30"/>
      <c r="F16" s="31">
        <f>+D16-C16-E16</f>
        <v>0</v>
      </c>
      <c r="G16" s="342"/>
      <c r="H16" s="342"/>
      <c r="I16" s="31">
        <f>+H16-G16</f>
        <v>0</v>
      </c>
      <c r="J16" s="30"/>
      <c r="K16" s="32">
        <f>+I16+F16-L16</f>
        <v>0</v>
      </c>
      <c r="L16" s="20">
        <f>IF(C16&gt;0,(F16+I16)+IF(K$5&gt;0,F16,-8),0)+IF(U$5&gt;0,I16,0)</f>
        <v>0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/>
      <c r="X16" s="346"/>
      <c r="Y16" s="42"/>
      <c r="Z16" s="44">
        <f>+X16-W16-Y16</f>
        <v>0</v>
      </c>
      <c r="AA16" s="47"/>
      <c r="AB16" s="53"/>
      <c r="AC16" s="31">
        <f>+AB16-AA16</f>
        <v>0</v>
      </c>
      <c r="AD16" s="30"/>
      <c r="AE16" s="32">
        <f>+AC16+Z16-IF(AE$5&gt;0,AF16/2,AF16)</f>
        <v>0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20</v>
      </c>
      <c r="E18" s="30">
        <v>1</v>
      </c>
      <c r="F18" s="31">
        <f>+D18-C18-E18</f>
        <v>12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4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14</v>
      </c>
      <c r="AQ18" s="1283"/>
      <c r="AR18" s="1284">
        <f t="shared" si="16"/>
        <v>49.6</v>
      </c>
      <c r="AS18" s="1285"/>
      <c r="AT18" s="345">
        <f t="shared" si="17"/>
        <v>24</v>
      </c>
      <c r="AV18" s="26">
        <f t="shared" si="18"/>
        <v>4</v>
      </c>
      <c r="AW18" s="26">
        <f t="shared" si="19"/>
        <v>2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49.583325000000002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686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>Eddie Uchupe C.</v>
      </c>
      <c r="C21" s="520"/>
      <c r="D21" s="516"/>
      <c r="E21" s="516"/>
      <c r="F21" s="517">
        <f>+D21-C21-E21</f>
        <v>0</v>
      </c>
      <c r="G21" s="516"/>
      <c r="H21" s="516"/>
      <c r="I21" s="517">
        <f>+H21-G21</f>
        <v>0</v>
      </c>
      <c r="J21" s="516"/>
      <c r="K21" s="517">
        <f>+I21+F21-L21</f>
        <v>0</v>
      </c>
      <c r="L21" s="518">
        <f t="shared" si="4"/>
        <v>0</v>
      </c>
      <c r="M21" s="687"/>
      <c r="N21" s="516"/>
      <c r="O21" s="516"/>
      <c r="P21" s="517">
        <f>+N21-M21-O21</f>
        <v>0</v>
      </c>
      <c r="Q21" s="516"/>
      <c r="R21" s="516"/>
      <c r="S21" s="517">
        <f>+R21-Q21</f>
        <v>0</v>
      </c>
      <c r="T21" s="516"/>
      <c r="U21" s="517">
        <f>+S21+P21-V21</f>
        <v>0</v>
      </c>
      <c r="V21" s="518">
        <f>IF(M21&gt;0,(P21+S21)+IF(U$5&gt;0,P21,-8),0)+IF(AE$5&gt;0,S21,0)</f>
        <v>0</v>
      </c>
      <c r="W21" s="516"/>
      <c r="X21" s="516"/>
      <c r="Y21" s="516"/>
      <c r="Z21" s="517">
        <f>+X21-W21-Y21</f>
        <v>0</v>
      </c>
      <c r="AA21" s="516"/>
      <c r="AB21" s="534"/>
      <c r="AC21" s="517">
        <f>+AB21-AA21</f>
        <v>0</v>
      </c>
      <c r="AD21" s="516"/>
      <c r="AE21" s="517">
        <f>+AC21+Z21-IF(AE$5&gt;0,AF21/2,AF21)</f>
        <v>0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0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4.583328571428571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460">
        <f>+I22+F22-L22</f>
        <v>8</v>
      </c>
      <c r="L22" s="461">
        <f t="shared" si="4"/>
        <v>2</v>
      </c>
      <c r="M22" s="685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460">
        <f>+S22+P22-V22</f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2</v>
      </c>
      <c r="AG22" s="459"/>
      <c r="AH22" s="459"/>
      <c r="AI22" s="459"/>
      <c r="AJ22" s="464">
        <f t="shared" si="12"/>
        <v>0</v>
      </c>
      <c r="AK22" s="459"/>
      <c r="AL22" s="459"/>
      <c r="AM22" s="460">
        <f>+AL22-AK22</f>
        <v>0</v>
      </c>
      <c r="AN22" s="459"/>
      <c r="AO22" s="465">
        <f>(AJ22*2+AM22)</f>
        <v>0</v>
      </c>
      <c r="AP22" s="1290">
        <f t="shared" si="15"/>
        <v>12</v>
      </c>
      <c r="AQ22" s="1291"/>
      <c r="AR22" s="1292">
        <f>ROUND(BD22*AP22,1)</f>
        <v>42.5</v>
      </c>
      <c r="AS22" s="1293"/>
      <c r="AT22" s="488">
        <f t="shared" si="17"/>
        <v>24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3.5416625000000002</v>
      </c>
      <c r="BE22" s="351">
        <f>+BD22*AP22</f>
        <v>42.499949999999998</v>
      </c>
      <c r="BF22" s="352">
        <f>+BD22*AY22</f>
        <v>0</v>
      </c>
    </row>
    <row r="23" spans="1:58" s="55" customFormat="1" ht="14.1" customHeight="1">
      <c r="A23" s="50"/>
      <c r="B23" s="513" t="str">
        <f t="shared" si="0"/>
        <v xml:space="preserve">  -  .  -  </v>
      </c>
      <c r="C23" s="671"/>
      <c r="D23" s="672"/>
      <c r="E23" s="672"/>
      <c r="F23" s="673">
        <f>+D23-C23-E23</f>
        <v>0</v>
      </c>
      <c r="G23" s="672"/>
      <c r="H23" s="672"/>
      <c r="I23" s="673">
        <f>+H23-G23</f>
        <v>0</v>
      </c>
      <c r="J23" s="672"/>
      <c r="K23" s="673">
        <f>+I23+F23-L23</f>
        <v>0</v>
      </c>
      <c r="L23" s="674">
        <f t="shared" si="4"/>
        <v>0</v>
      </c>
      <c r="M23" s="675"/>
      <c r="N23" s="672"/>
      <c r="O23" s="672"/>
      <c r="P23" s="673">
        <f>+N23-M23-O23</f>
        <v>0</v>
      </c>
      <c r="Q23" s="672"/>
      <c r="R23" s="672"/>
      <c r="S23" s="673">
        <f>+R23-Q23</f>
        <v>0</v>
      </c>
      <c r="T23" s="672"/>
      <c r="U23" s="673">
        <f>+S23+P23-V23</f>
        <v>0</v>
      </c>
      <c r="V23" s="674">
        <f>IF(M23&gt;0,(P23+S23)+IF(U$5&gt;0,P23,-8),0)+IF(AE$5&gt;0,S23,0)</f>
        <v>0</v>
      </c>
      <c r="W23" s="672"/>
      <c r="X23" s="672"/>
      <c r="Y23" s="672"/>
      <c r="Z23" s="673">
        <f>+X23-W23-Y23</f>
        <v>0</v>
      </c>
      <c r="AA23" s="672"/>
      <c r="AB23" s="676"/>
      <c r="AC23" s="673">
        <f>+AB23-AA23</f>
        <v>0</v>
      </c>
      <c r="AD23" s="672"/>
      <c r="AE23" s="673">
        <f>+AC23+Z23-IF(AE$5&gt;0,AF23/2,AF23)</f>
        <v>0</v>
      </c>
      <c r="AF23" s="674">
        <f t="shared" si="28"/>
        <v>0</v>
      </c>
      <c r="AG23" s="672"/>
      <c r="AH23" s="672"/>
      <c r="AI23" s="672"/>
      <c r="AJ23" s="677">
        <f t="shared" si="12"/>
        <v>0</v>
      </c>
      <c r="AK23" s="672"/>
      <c r="AL23" s="672"/>
      <c r="AM23" s="673">
        <f>+AL23-AK23</f>
        <v>0</v>
      </c>
      <c r="AN23" s="678"/>
      <c r="AO23" s="679">
        <f>(AJ23*2+AM23)</f>
        <v>0</v>
      </c>
      <c r="AP23" s="1282">
        <f t="shared" si="15"/>
        <v>0</v>
      </c>
      <c r="AQ23" s="1283"/>
      <c r="AR23" s="1272">
        <f>ROUND(BD23*AP23,1)</f>
        <v>0</v>
      </c>
      <c r="AS23" s="1273"/>
      <c r="AT23" s="359">
        <f t="shared" si="17"/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0</v>
      </c>
      <c r="BA23" s="69">
        <f>+V44</f>
        <v>0</v>
      </c>
      <c r="BB23" s="69">
        <f>+AF44</f>
        <v>0</v>
      </c>
      <c r="BC23" s="54"/>
      <c r="BD23" s="339">
        <f>+I83</f>
        <v>4.1666625000000002</v>
      </c>
      <c r="BE23" s="351">
        <f>+BD23*AP23</f>
        <v>0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635.59523928571423</v>
      </c>
      <c r="BF25" s="1242">
        <f>SUM(BF11:BF24)</f>
        <v>314.28614285714286</v>
      </c>
    </row>
    <row r="26" spans="1:58" ht="10.9" customHeight="1">
      <c r="B26" s="1244" t="s">
        <v>1</v>
      </c>
      <c r="C26" s="1140">
        <f>1+AG5</f>
        <v>43206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43207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43208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43202</v>
      </c>
      <c r="AJ26" s="1218">
        <f t="shared" ref="AJ26:AO26" si="29">1+AI26</f>
        <v>43203</v>
      </c>
      <c r="AK26" s="1218">
        <f t="shared" si="29"/>
        <v>43204</v>
      </c>
      <c r="AL26" s="1219">
        <f t="shared" si="29"/>
        <v>43205</v>
      </c>
      <c r="AM26" s="1219">
        <f t="shared" si="29"/>
        <v>43206</v>
      </c>
      <c r="AN26" s="1220">
        <f t="shared" si="29"/>
        <v>43207</v>
      </c>
      <c r="AO26" s="1220">
        <f t="shared" si="29"/>
        <v>43208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43205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142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74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 t="shared" ref="V32:V45" si="37">IF(M32&gt;0,(P32+S32)+IF(U$27&gt;0,P32,-8),0)+IF(AE$27&gt;0,S32,0)</f>
        <v>0</v>
      </c>
      <c r="W32" s="369">
        <v>8</v>
      </c>
      <c r="X32" s="370">
        <v>16</v>
      </c>
      <c r="Y32" s="108">
        <v>1</v>
      </c>
      <c r="Z32" s="109">
        <f t="shared" ref="Z32:Z45" si="38">+X32-W32-Y32</f>
        <v>7</v>
      </c>
      <c r="AA32" s="370"/>
      <c r="AB32" s="18"/>
      <c r="AC32" s="109">
        <f t="shared" ref="AC32:AC45" si="39">+AB32-AA32</f>
        <v>0</v>
      </c>
      <c r="AD32" s="108"/>
      <c r="AE32" s="110">
        <f t="shared" ref="AE32:AE45" si="40">+AC32+Z32-AF32</f>
        <v>8</v>
      </c>
      <c r="AF32" s="111">
        <f t="shared" ref="AF32:AF45" si="41">IF(W32&gt;0,(Z32+AC32)+IF(AE$26&gt;0,0+Z32,-8),0)</f>
        <v>-1</v>
      </c>
      <c r="AG32" s="55"/>
      <c r="AH32" s="112">
        <v>0</v>
      </c>
      <c r="AI32" s="113">
        <f t="shared" ref="AI32:AI45" si="42">+K11+(IF(ISBLANK($K$5),-8,0))</f>
        <v>0</v>
      </c>
      <c r="AJ32" s="113">
        <f t="shared" ref="AJ32:AJ45" si="43">IF(ISBLANK($U$5),-8,0)+U11</f>
        <v>0</v>
      </c>
      <c r="AK32" s="113">
        <f>IF(ISBLANK($AE$5),-8,0)+AE11</f>
        <v>-8</v>
      </c>
      <c r="AL32" s="113">
        <f t="shared" ref="AL32:AL45" si="44">IF(ISBLANK($AO$5),-8,0)+AO11+AW32</f>
        <v>0</v>
      </c>
      <c r="AM32" s="113">
        <f t="shared" ref="AM32:AM45" si="45">IF(ISBLANK($K$26),-8,0)+K32</f>
        <v>0</v>
      </c>
      <c r="AN32" s="113">
        <f t="shared" ref="AN32:AN45" si="46">IF(ISBLANK($U$26),-8,0)+U32</f>
        <v>0</v>
      </c>
      <c r="AO32" s="113">
        <f t="shared" ref="AO32:AO45" si="47">IF(ISBLANK($AE$26),-8,0)+AE32</f>
        <v>0</v>
      </c>
      <c r="AP32" s="114">
        <f t="shared" ref="AP32:AP45" si="48">SUM(AH32:AO32)</f>
        <v>-8</v>
      </c>
      <c r="AQ32" s="55"/>
      <c r="AR32" s="1159">
        <f t="shared" ref="AR32:AR38" si="49">+X71*Q71</f>
        <v>0</v>
      </c>
      <c r="AS32" s="1197"/>
      <c r="AT32" s="117">
        <f t="shared" ref="AT32:AT41" si="50">IF(K11+L11&gt;0,1,0)+IF(U11+V11&gt;0,1,0)+IF(AE11+AF11&gt;0,1,0)+IF(AO11&gt;3,1,0)+IF(K32+L32&gt;0,1,0)+IF(U32+V32&gt;0,1,0)+IF(AE32+AF32&gt;0,1,0)</f>
        <v>5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19</v>
      </c>
      <c r="D33" s="342">
        <v>24</v>
      </c>
      <c r="E33" s="30">
        <v>1</v>
      </c>
      <c r="F33" s="31">
        <f t="shared" si="31"/>
        <v>4</v>
      </c>
      <c r="G33" s="33">
        <v>0</v>
      </c>
      <c r="H33" s="346">
        <v>7</v>
      </c>
      <c r="I33" s="31">
        <f t="shared" si="32"/>
        <v>7</v>
      </c>
      <c r="J33" s="30">
        <v>8</v>
      </c>
      <c r="K33" s="32">
        <f t="shared" si="33"/>
        <v>8</v>
      </c>
      <c r="L33" s="20">
        <f>IF(C33&gt;0,(F33+I33)+IF(K$26&gt;0,F33,-8),0)+IF(U$26&gt;0,I33,0)</f>
        <v>3</v>
      </c>
      <c r="M33" s="342">
        <v>7</v>
      </c>
      <c r="N33" s="342">
        <v>24</v>
      </c>
      <c r="O33" s="30">
        <v>3</v>
      </c>
      <c r="P33" s="31">
        <f t="shared" si="34"/>
        <v>14</v>
      </c>
      <c r="Q33" s="346">
        <v>0</v>
      </c>
      <c r="R33" s="346">
        <v>7</v>
      </c>
      <c r="S33" s="31">
        <f t="shared" si="35"/>
        <v>7</v>
      </c>
      <c r="T33" s="30">
        <v>8</v>
      </c>
      <c r="U33" s="32">
        <f t="shared" si="36"/>
        <v>8</v>
      </c>
      <c r="V33" s="20">
        <f t="shared" si="37"/>
        <v>13</v>
      </c>
      <c r="W33" s="334">
        <v>18</v>
      </c>
      <c r="X33" s="342">
        <v>24</v>
      </c>
      <c r="Y33" s="30">
        <v>1</v>
      </c>
      <c r="Z33" s="31">
        <f t="shared" si="38"/>
        <v>5</v>
      </c>
      <c r="AA33" s="342">
        <v>0</v>
      </c>
      <c r="AB33" s="346">
        <v>7</v>
      </c>
      <c r="AC33" s="31">
        <f t="shared" si="39"/>
        <v>7</v>
      </c>
      <c r="AD33" s="30">
        <v>8</v>
      </c>
      <c r="AE33" s="32">
        <f t="shared" si="40"/>
        <v>8</v>
      </c>
      <c r="AF33" s="20">
        <f t="shared" si="41"/>
        <v>4</v>
      </c>
      <c r="AG33" s="55"/>
      <c r="AH33" s="112">
        <v>0</v>
      </c>
      <c r="AI33" s="113">
        <f t="shared" si="42"/>
        <v>0</v>
      </c>
      <c r="AJ33" s="113">
        <f t="shared" si="43"/>
        <v>0</v>
      </c>
      <c r="AK33" s="113">
        <f>IF(ISBLANK($AE$5),-8,0)+AE12</f>
        <v>1</v>
      </c>
      <c r="AL33" s="113">
        <f t="shared" si="44"/>
        <v>0</v>
      </c>
      <c r="AM33" s="113">
        <f t="shared" si="45"/>
        <v>0</v>
      </c>
      <c r="AN33" s="113">
        <f t="shared" si="46"/>
        <v>0</v>
      </c>
      <c r="AO33" s="113">
        <f t="shared" si="47"/>
        <v>0</v>
      </c>
      <c r="AP33" s="114">
        <f t="shared" si="48"/>
        <v>1</v>
      </c>
      <c r="AQ33" s="55"/>
      <c r="AR33" s="1159">
        <f t="shared" si="49"/>
        <v>2.3357142857142961</v>
      </c>
      <c r="AS33" s="1160"/>
      <c r="AT33" s="117">
        <f t="shared" si="50"/>
        <v>7</v>
      </c>
      <c r="AU33" s="55"/>
      <c r="AV33" s="55"/>
      <c r="AW33" s="1134">
        <v>-14</v>
      </c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18</v>
      </c>
      <c r="E34" s="30">
        <v>1</v>
      </c>
      <c r="F34" s="31">
        <f t="shared" si="31"/>
        <v>10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1">IF(C34&gt;0,(F34+I34)+IF(K$26&gt;0,F34,-8),0)+IF(U$26&gt;0,I34,0)</f>
        <v>2</v>
      </c>
      <c r="M34" s="334">
        <v>8</v>
      </c>
      <c r="N34" s="342">
        <v>18</v>
      </c>
      <c r="O34" s="30">
        <v>1</v>
      </c>
      <c r="P34" s="31">
        <f t="shared" si="34"/>
        <v>9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si="37"/>
        <v>1</v>
      </c>
      <c r="W34" s="334">
        <v>7</v>
      </c>
      <c r="X34" s="342">
        <v>18</v>
      </c>
      <c r="Y34" s="30">
        <v>1</v>
      </c>
      <c r="Z34" s="31">
        <f t="shared" si="38"/>
        <v>10</v>
      </c>
      <c r="AA34" s="342"/>
      <c r="AB34" s="116"/>
      <c r="AC34" s="31">
        <f t="shared" si="39"/>
        <v>0</v>
      </c>
      <c r="AD34" s="30"/>
      <c r="AE34" s="32">
        <f t="shared" si="40"/>
        <v>8</v>
      </c>
      <c r="AF34" s="20">
        <f t="shared" si="41"/>
        <v>2</v>
      </c>
      <c r="AG34" s="55"/>
      <c r="AH34" s="112">
        <v>0</v>
      </c>
      <c r="AI34" s="113">
        <f t="shared" si="42"/>
        <v>0</v>
      </c>
      <c r="AJ34" s="113">
        <f t="shared" si="43"/>
        <v>0</v>
      </c>
      <c r="AK34" s="113">
        <f>IF(ISBLANK($AE$5),-8,0)+AE13</f>
        <v>0</v>
      </c>
      <c r="AL34" s="113">
        <f t="shared" si="44"/>
        <v>0</v>
      </c>
      <c r="AM34" s="113">
        <f t="shared" si="45"/>
        <v>0</v>
      </c>
      <c r="AN34" s="113">
        <f t="shared" si="46"/>
        <v>0</v>
      </c>
      <c r="AO34" s="113">
        <f t="shared" si="47"/>
        <v>0</v>
      </c>
      <c r="AP34" s="114">
        <f t="shared" si="48"/>
        <v>0</v>
      </c>
      <c r="AQ34" s="55"/>
      <c r="AR34" s="1159">
        <f t="shared" si="49"/>
        <v>0</v>
      </c>
      <c r="AS34" s="1160"/>
      <c r="AT34" s="118">
        <f t="shared" si="50"/>
        <v>7</v>
      </c>
      <c r="AU34" s="55"/>
      <c r="AV34" s="55"/>
      <c r="AW34" s="1134">
        <v>-18</v>
      </c>
      <c r="AX34" s="1135"/>
    </row>
    <row r="35" spans="1:56" ht="14.1" customHeight="1">
      <c r="B35" s="29" t="str">
        <f t="shared" si="30"/>
        <v>Alejandro Dueñas</v>
      </c>
      <c r="C35" s="372">
        <v>18</v>
      </c>
      <c r="D35" s="348">
        <v>24</v>
      </c>
      <c r="E35" s="119">
        <v>1</v>
      </c>
      <c r="F35" s="120">
        <f t="shared" si="31"/>
        <v>5</v>
      </c>
      <c r="G35" s="346">
        <v>0</v>
      </c>
      <c r="H35" s="346">
        <v>7</v>
      </c>
      <c r="I35" s="120">
        <f t="shared" si="32"/>
        <v>7</v>
      </c>
      <c r="J35" s="119">
        <v>8</v>
      </c>
      <c r="K35" s="121">
        <f t="shared" si="33"/>
        <v>8</v>
      </c>
      <c r="L35" s="20">
        <f t="shared" si="51"/>
        <v>4</v>
      </c>
      <c r="M35" s="342">
        <v>18</v>
      </c>
      <c r="N35" s="342">
        <v>24</v>
      </c>
      <c r="O35" s="30">
        <v>1</v>
      </c>
      <c r="P35" s="31">
        <f t="shared" si="34"/>
        <v>5</v>
      </c>
      <c r="Q35" s="346">
        <v>0</v>
      </c>
      <c r="R35" s="346">
        <v>7</v>
      </c>
      <c r="S35" s="120">
        <f t="shared" si="35"/>
        <v>7</v>
      </c>
      <c r="T35" s="30">
        <v>8</v>
      </c>
      <c r="U35" s="32">
        <f t="shared" si="36"/>
        <v>8</v>
      </c>
      <c r="V35" s="20">
        <f t="shared" si="37"/>
        <v>4</v>
      </c>
      <c r="W35" s="334">
        <v>18</v>
      </c>
      <c r="X35" s="342">
        <v>24</v>
      </c>
      <c r="Y35" s="30">
        <v>1</v>
      </c>
      <c r="Z35" s="31">
        <f t="shared" si="38"/>
        <v>5</v>
      </c>
      <c r="AA35" s="342">
        <v>0</v>
      </c>
      <c r="AB35" s="342">
        <v>7</v>
      </c>
      <c r="AC35" s="31">
        <f t="shared" si="39"/>
        <v>7</v>
      </c>
      <c r="AD35" s="30">
        <v>8</v>
      </c>
      <c r="AE35" s="32">
        <f t="shared" si="40"/>
        <v>8</v>
      </c>
      <c r="AF35" s="20">
        <f t="shared" si="41"/>
        <v>4</v>
      </c>
      <c r="AG35" s="55"/>
      <c r="AH35" s="112">
        <v>0</v>
      </c>
      <c r="AI35" s="113">
        <f t="shared" si="42"/>
        <v>0</v>
      </c>
      <c r="AJ35" s="113">
        <f t="shared" si="43"/>
        <v>0</v>
      </c>
      <c r="AK35" s="113">
        <f>IF(ISBLANK($AE$5),-8,0)+AE14</f>
        <v>0</v>
      </c>
      <c r="AL35" s="113">
        <f t="shared" si="44"/>
        <v>0</v>
      </c>
      <c r="AM35" s="113">
        <f t="shared" si="45"/>
        <v>0</v>
      </c>
      <c r="AN35" s="113">
        <f t="shared" si="46"/>
        <v>0</v>
      </c>
      <c r="AO35" s="113">
        <f t="shared" si="47"/>
        <v>0</v>
      </c>
      <c r="AP35" s="114">
        <f t="shared" si="48"/>
        <v>0</v>
      </c>
      <c r="AQ35" s="55"/>
      <c r="AR35" s="1159">
        <f t="shared" si="49"/>
        <v>25.549714285714295</v>
      </c>
      <c r="AS35" s="1160"/>
      <c r="AT35" s="118">
        <f t="shared" si="50"/>
        <v>7</v>
      </c>
      <c r="AU35" s="55"/>
      <c r="AV35" s="55"/>
      <c r="AW35" s="1195">
        <v>-36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18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1"/>
        <v>1</v>
      </c>
      <c r="M36" s="342">
        <v>8</v>
      </c>
      <c r="N36" s="342">
        <v>18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37"/>
        <v>1</v>
      </c>
      <c r="W36" s="334">
        <v>8</v>
      </c>
      <c r="X36" s="342">
        <v>18</v>
      </c>
      <c r="Y36" s="30">
        <v>1</v>
      </c>
      <c r="Z36" s="31">
        <f t="shared" si="38"/>
        <v>9</v>
      </c>
      <c r="AA36" s="342"/>
      <c r="AB36" s="342"/>
      <c r="AC36" s="31">
        <f t="shared" si="39"/>
        <v>0</v>
      </c>
      <c r="AD36" s="30"/>
      <c r="AE36" s="32">
        <f t="shared" si="40"/>
        <v>8</v>
      </c>
      <c r="AF36" s="20">
        <f t="shared" si="41"/>
        <v>1</v>
      </c>
      <c r="AG36" s="55"/>
      <c r="AH36" s="112">
        <v>0</v>
      </c>
      <c r="AI36" s="113">
        <f t="shared" si="42"/>
        <v>0</v>
      </c>
      <c r="AJ36" s="113">
        <f t="shared" si="43"/>
        <v>0</v>
      </c>
      <c r="AK36" s="113">
        <f>IF(ISBLANK($AE$5),-8,0)+AE15</f>
        <v>1</v>
      </c>
      <c r="AL36" s="113">
        <f t="shared" si="44"/>
        <v>0</v>
      </c>
      <c r="AM36" s="113">
        <f t="shared" si="45"/>
        <v>0</v>
      </c>
      <c r="AN36" s="113">
        <f t="shared" si="46"/>
        <v>0</v>
      </c>
      <c r="AO36" s="113">
        <f t="shared" si="47"/>
        <v>0</v>
      </c>
      <c r="AP36" s="114">
        <f t="shared" si="48"/>
        <v>1</v>
      </c>
      <c r="AQ36" s="55"/>
      <c r="AR36" s="1159">
        <f t="shared" si="49"/>
        <v>0</v>
      </c>
      <c r="AS36" s="1160"/>
      <c r="AT36" s="118">
        <f t="shared" si="50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/>
      <c r="D37" s="342"/>
      <c r="E37" s="30"/>
      <c r="F37" s="31">
        <f>+D37-C37-E37</f>
        <v>0</v>
      </c>
      <c r="G37" s="33"/>
      <c r="H37" s="346"/>
      <c r="I37" s="31">
        <f>+H37-G37</f>
        <v>0</v>
      </c>
      <c r="J37" s="30"/>
      <c r="K37" s="32">
        <f>+I37+F37-L37</f>
        <v>0</v>
      </c>
      <c r="L37" s="20">
        <f t="shared" si="51"/>
        <v>0</v>
      </c>
      <c r="M37" s="342"/>
      <c r="N37" s="342"/>
      <c r="O37" s="30"/>
      <c r="P37" s="31">
        <f>+N37-M37-O37</f>
        <v>0</v>
      </c>
      <c r="Q37" s="106"/>
      <c r="R37" s="106"/>
      <c r="S37" s="31">
        <f>+R37-Q37</f>
        <v>0</v>
      </c>
      <c r="T37" s="30"/>
      <c r="U37" s="32">
        <f>+S37+P37-V37</f>
        <v>0</v>
      </c>
      <c r="V37" s="20">
        <f>IF(M37&gt;0,(P37+S37)+IF(U$27&gt;0,P37,-8),0)+IF(AE$27&gt;0,S37,0)</f>
        <v>0</v>
      </c>
      <c r="W37" s="334"/>
      <c r="X37" s="342"/>
      <c r="Y37" s="30"/>
      <c r="Z37" s="31">
        <f>+X37-W37-Y37</f>
        <v>0</v>
      </c>
      <c r="AA37" s="342"/>
      <c r="AB37" s="342"/>
      <c r="AC37" s="31">
        <f>+AB37-AA37</f>
        <v>0</v>
      </c>
      <c r="AD37" s="30"/>
      <c r="AE37" s="32">
        <f>+AC37+Z37-AF37</f>
        <v>0</v>
      </c>
      <c r="AF37" s="20">
        <f t="shared" si="41"/>
        <v>0</v>
      </c>
      <c r="AG37" s="55"/>
      <c r="AH37" s="112">
        <v>0</v>
      </c>
      <c r="AI37" s="113">
        <f t="shared" si="42"/>
        <v>-8</v>
      </c>
      <c r="AJ37" s="113">
        <f t="shared" si="43"/>
        <v>-8</v>
      </c>
      <c r="AK37" s="124">
        <f>IF(ISBLANK($AE$5),-5,0)+AE16</f>
        <v>-5</v>
      </c>
      <c r="AL37" s="113">
        <f t="shared" si="44"/>
        <v>0</v>
      </c>
      <c r="AM37" s="125">
        <f>IF(ISBLANK($K$26),-8,0)+K37</f>
        <v>-8</v>
      </c>
      <c r="AN37" s="125">
        <f>IF(ISBLANK($U$26),-8,0)+U37</f>
        <v>-8</v>
      </c>
      <c r="AO37" s="125">
        <f>IF(ISBLANK($AE$26),-8,0)+AE37</f>
        <v>-8</v>
      </c>
      <c r="AP37" s="114">
        <f>SUM(AH37:AO37)</f>
        <v>-45</v>
      </c>
      <c r="AQ37" s="55"/>
      <c r="AR37" s="1159">
        <f t="shared" si="49"/>
        <v>0</v>
      </c>
      <c r="AS37" s="1160"/>
      <c r="AT37" s="118">
        <f t="shared" si="50"/>
        <v>0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1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37"/>
        <v>0</v>
      </c>
      <c r="W38" s="334"/>
      <c r="X38" s="342"/>
      <c r="Y38" s="30"/>
      <c r="Z38" s="31">
        <f t="shared" si="38"/>
        <v>0</v>
      </c>
      <c r="AA38" s="342"/>
      <c r="AB38" s="342"/>
      <c r="AC38" s="31">
        <f>+AB38-AA38</f>
        <v>0</v>
      </c>
      <c r="AD38" s="30"/>
      <c r="AE38" s="32">
        <f t="shared" si="40"/>
        <v>0</v>
      </c>
      <c r="AF38" s="20">
        <f t="shared" si="41"/>
        <v>0</v>
      </c>
      <c r="AG38" s="55"/>
      <c r="AH38" s="112">
        <v>0</v>
      </c>
      <c r="AI38" s="113">
        <f t="shared" si="42"/>
        <v>-8</v>
      </c>
      <c r="AJ38" s="113">
        <f t="shared" si="43"/>
        <v>-8</v>
      </c>
      <c r="AK38" s="113">
        <f t="shared" ref="AK38:AK45" si="52">IF(ISBLANK($AE$5),-8,0)+AE17</f>
        <v>-8</v>
      </c>
      <c r="AL38" s="113">
        <f t="shared" si="44"/>
        <v>0</v>
      </c>
      <c r="AM38" s="113">
        <f t="shared" si="45"/>
        <v>-8</v>
      </c>
      <c r="AN38" s="113">
        <f t="shared" si="46"/>
        <v>-8</v>
      </c>
      <c r="AO38" s="113">
        <f t="shared" si="47"/>
        <v>-8</v>
      </c>
      <c r="AP38" s="114">
        <f t="shared" si="48"/>
        <v>-48</v>
      </c>
      <c r="AQ38" s="55"/>
      <c r="AR38" s="1159">
        <f t="shared" si="49"/>
        <v>0</v>
      </c>
      <c r="AS38" s="1160"/>
      <c r="AT38" s="118">
        <f t="shared" si="50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>
        <v>8</v>
      </c>
      <c r="K39" s="32">
        <f t="shared" si="33"/>
        <v>8</v>
      </c>
      <c r="L39" s="20">
        <f t="shared" si="51"/>
        <v>2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106"/>
      <c r="R39" s="106"/>
      <c r="S39" s="31">
        <f t="shared" si="35"/>
        <v>0</v>
      </c>
      <c r="T39" s="30"/>
      <c r="U39" s="32">
        <f t="shared" si="36"/>
        <v>8</v>
      </c>
      <c r="V39" s="20">
        <f t="shared" si="37"/>
        <v>2</v>
      </c>
      <c r="W39" s="334">
        <v>7</v>
      </c>
      <c r="X39" s="342">
        <v>18</v>
      </c>
      <c r="Y39" s="30">
        <v>1</v>
      </c>
      <c r="Z39" s="31">
        <f t="shared" si="38"/>
        <v>10</v>
      </c>
      <c r="AA39" s="342"/>
      <c r="AB39" s="342"/>
      <c r="AC39" s="31">
        <f t="shared" si="39"/>
        <v>0</v>
      </c>
      <c r="AD39" s="30"/>
      <c r="AE39" s="32">
        <f t="shared" si="40"/>
        <v>8</v>
      </c>
      <c r="AF39" s="20">
        <f t="shared" si="41"/>
        <v>2</v>
      </c>
      <c r="AG39" s="55"/>
      <c r="AH39" s="112">
        <v>0</v>
      </c>
      <c r="AI39" s="113">
        <f t="shared" si="42"/>
        <v>0</v>
      </c>
      <c r="AJ39" s="113">
        <f t="shared" si="43"/>
        <v>0</v>
      </c>
      <c r="AK39" s="113">
        <f t="shared" si="52"/>
        <v>0</v>
      </c>
      <c r="AL39" s="113">
        <f t="shared" si="44"/>
        <v>0</v>
      </c>
      <c r="AM39" s="125">
        <f t="shared" si="45"/>
        <v>0</v>
      </c>
      <c r="AN39" s="125">
        <f t="shared" si="46"/>
        <v>0</v>
      </c>
      <c r="AO39" s="125">
        <f t="shared" si="47"/>
        <v>0</v>
      </c>
      <c r="AP39" s="114">
        <f t="shared" si="48"/>
        <v>0</v>
      </c>
      <c r="AQ39" s="55"/>
      <c r="AR39" s="1159">
        <f>+X76*Q76</f>
        <v>0</v>
      </c>
      <c r="AS39" s="1160"/>
      <c r="AT39" s="118">
        <f t="shared" si="50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1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37"/>
        <v>0</v>
      </c>
      <c r="W40" s="334"/>
      <c r="X40" s="342"/>
      <c r="Y40" s="30"/>
      <c r="Z40" s="31">
        <f t="shared" si="38"/>
        <v>0</v>
      </c>
      <c r="AA40" s="342"/>
      <c r="AB40" s="346"/>
      <c r="AC40" s="44">
        <f t="shared" si="39"/>
        <v>0</v>
      </c>
      <c r="AD40" s="30"/>
      <c r="AE40" s="32">
        <f t="shared" si="40"/>
        <v>0</v>
      </c>
      <c r="AF40" s="20">
        <f t="shared" si="41"/>
        <v>0</v>
      </c>
      <c r="AG40" s="126"/>
      <c r="AH40" s="127">
        <v>0</v>
      </c>
      <c r="AI40" s="113">
        <f t="shared" si="42"/>
        <v>-8</v>
      </c>
      <c r="AJ40" s="113">
        <f t="shared" si="43"/>
        <v>-8</v>
      </c>
      <c r="AK40" s="128">
        <f t="shared" si="52"/>
        <v>-8</v>
      </c>
      <c r="AL40" s="113">
        <f t="shared" si="44"/>
        <v>0</v>
      </c>
      <c r="AM40" s="113">
        <f t="shared" si="45"/>
        <v>-8</v>
      </c>
      <c r="AN40" s="113">
        <f t="shared" si="46"/>
        <v>-8</v>
      </c>
      <c r="AO40" s="113">
        <f t="shared" si="47"/>
        <v>-8</v>
      </c>
      <c r="AP40" s="114">
        <f t="shared" si="48"/>
        <v>-48</v>
      </c>
      <c r="AQ40" s="55"/>
      <c r="AR40" s="1159">
        <f>+X78*Q78</f>
        <v>0</v>
      </c>
      <c r="AS40" s="1160"/>
      <c r="AT40" s="118">
        <f t="shared" si="50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1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37"/>
        <v>0</v>
      </c>
      <c r="W41" s="526"/>
      <c r="X41" s="522"/>
      <c r="Y41" s="522"/>
      <c r="Z41" s="523">
        <f t="shared" si="38"/>
        <v>0</v>
      </c>
      <c r="AA41" s="522"/>
      <c r="AB41" s="522"/>
      <c r="AC41" s="523">
        <f t="shared" si="39"/>
        <v>0</v>
      </c>
      <c r="AD41" s="522"/>
      <c r="AE41" s="523">
        <f t="shared" si="40"/>
        <v>0</v>
      </c>
      <c r="AF41" s="524">
        <f t="shared" si="41"/>
        <v>0</v>
      </c>
      <c r="AG41" s="514"/>
      <c r="AH41" s="529">
        <v>0</v>
      </c>
      <c r="AI41" s="530">
        <f t="shared" si="42"/>
        <v>-8</v>
      </c>
      <c r="AJ41" s="530">
        <f t="shared" si="43"/>
        <v>-8</v>
      </c>
      <c r="AK41" s="530">
        <f t="shared" si="52"/>
        <v>-8</v>
      </c>
      <c r="AL41" s="530">
        <f t="shared" si="44"/>
        <v>0</v>
      </c>
      <c r="AM41" s="530">
        <f t="shared" si="45"/>
        <v>-8</v>
      </c>
      <c r="AN41" s="530">
        <f t="shared" si="46"/>
        <v>-8</v>
      </c>
      <c r="AO41" s="530">
        <f t="shared" si="47"/>
        <v>-8</v>
      </c>
      <c r="AP41" s="531">
        <f t="shared" si="48"/>
        <v>-48</v>
      </c>
      <c r="AQ41" s="55"/>
      <c r="AR41" s="1191"/>
      <c r="AS41" s="1192"/>
      <c r="AT41" s="532">
        <f t="shared" si="50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>Eddie Uchupe C.</v>
      </c>
      <c r="C42" s="516"/>
      <c r="D42" s="516"/>
      <c r="E42" s="516"/>
      <c r="F42" s="517">
        <f t="shared" si="31"/>
        <v>0</v>
      </c>
      <c r="G42" s="516"/>
      <c r="H42" s="516"/>
      <c r="I42" s="517">
        <f t="shared" si="32"/>
        <v>0</v>
      </c>
      <c r="J42" s="516"/>
      <c r="K42" s="517">
        <f t="shared" si="33"/>
        <v>0</v>
      </c>
      <c r="L42" s="518">
        <f t="shared" si="51"/>
        <v>0</v>
      </c>
      <c r="M42" s="516"/>
      <c r="N42" s="516"/>
      <c r="O42" s="516"/>
      <c r="P42" s="517">
        <f t="shared" si="34"/>
        <v>0</v>
      </c>
      <c r="Q42" s="519"/>
      <c r="R42" s="519"/>
      <c r="S42" s="517">
        <f t="shared" si="35"/>
        <v>0</v>
      </c>
      <c r="T42" s="516"/>
      <c r="U42" s="517">
        <f t="shared" si="36"/>
        <v>0</v>
      </c>
      <c r="V42" s="518">
        <f t="shared" si="37"/>
        <v>0</v>
      </c>
      <c r="W42" s="520"/>
      <c r="X42" s="516"/>
      <c r="Y42" s="516"/>
      <c r="Z42" s="517">
        <f t="shared" si="38"/>
        <v>0</v>
      </c>
      <c r="AA42" s="516"/>
      <c r="AB42" s="516"/>
      <c r="AC42" s="517">
        <f t="shared" si="39"/>
        <v>0</v>
      </c>
      <c r="AD42" s="516"/>
      <c r="AE42" s="517">
        <f t="shared" si="40"/>
        <v>0</v>
      </c>
      <c r="AF42" s="518">
        <f t="shared" si="41"/>
        <v>0</v>
      </c>
      <c r="AG42" s="55"/>
      <c r="AH42" s="490">
        <v>0</v>
      </c>
      <c r="AI42" s="527">
        <f t="shared" si="42"/>
        <v>-8</v>
      </c>
      <c r="AJ42" s="527">
        <f t="shared" si="43"/>
        <v>-8</v>
      </c>
      <c r="AK42" s="527">
        <f t="shared" si="52"/>
        <v>-8</v>
      </c>
      <c r="AL42" s="527">
        <f t="shared" si="44"/>
        <v>0</v>
      </c>
      <c r="AM42" s="527">
        <f t="shared" si="45"/>
        <v>-8</v>
      </c>
      <c r="AN42" s="527">
        <f t="shared" si="46"/>
        <v>-8</v>
      </c>
      <c r="AO42" s="527">
        <f t="shared" si="47"/>
        <v>-8</v>
      </c>
      <c r="AP42" s="492">
        <f t="shared" si="48"/>
        <v>-48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0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18</v>
      </c>
      <c r="E43" s="459">
        <v>1</v>
      </c>
      <c r="F43" s="460">
        <f t="shared" si="31"/>
        <v>10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1"/>
        <v>2</v>
      </c>
      <c r="M43" s="459">
        <v>7</v>
      </c>
      <c r="N43" s="459">
        <v>18</v>
      </c>
      <c r="O43" s="459">
        <v>1</v>
      </c>
      <c r="P43" s="460">
        <f t="shared" si="34"/>
        <v>10</v>
      </c>
      <c r="Q43" s="489"/>
      <c r="R43" s="489"/>
      <c r="S43" s="460">
        <f t="shared" si="35"/>
        <v>0</v>
      </c>
      <c r="T43" s="459"/>
      <c r="U43" s="460">
        <f t="shared" si="36"/>
        <v>8</v>
      </c>
      <c r="V43" s="461">
        <f t="shared" si="37"/>
        <v>2</v>
      </c>
      <c r="W43" s="334">
        <v>7</v>
      </c>
      <c r="X43" s="342">
        <v>18</v>
      </c>
      <c r="Y43" s="30">
        <v>1</v>
      </c>
      <c r="Z43" s="31">
        <f t="shared" si="38"/>
        <v>10</v>
      </c>
      <c r="AA43" s="342"/>
      <c r="AB43" s="342"/>
      <c r="AC43" s="44">
        <f t="shared" si="39"/>
        <v>0</v>
      </c>
      <c r="AD43" s="30"/>
      <c r="AE43" s="32">
        <f t="shared" si="40"/>
        <v>8</v>
      </c>
      <c r="AF43" s="20">
        <f t="shared" si="41"/>
        <v>2</v>
      </c>
      <c r="AG43" s="55"/>
      <c r="AH43" s="143">
        <v>0</v>
      </c>
      <c r="AI43" s="144">
        <f t="shared" si="42"/>
        <v>0</v>
      </c>
      <c r="AJ43" s="144">
        <f t="shared" si="43"/>
        <v>0</v>
      </c>
      <c r="AK43" s="144">
        <f t="shared" si="52"/>
        <v>0</v>
      </c>
      <c r="AL43" s="113">
        <f t="shared" si="44"/>
        <v>0</v>
      </c>
      <c r="AM43" s="144">
        <f t="shared" si="45"/>
        <v>0</v>
      </c>
      <c r="AN43" s="144">
        <f t="shared" si="46"/>
        <v>0</v>
      </c>
      <c r="AO43" s="144">
        <f t="shared" si="47"/>
        <v>0</v>
      </c>
      <c r="AP43" s="145">
        <f t="shared" si="48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6</v>
      </c>
      <c r="AU43" s="55"/>
      <c r="AV43" s="55"/>
      <c r="AW43" s="1185"/>
      <c r="AX43" s="1186"/>
    </row>
    <row r="44" spans="1:56" ht="14.1" customHeight="1">
      <c r="B44" s="513" t="str">
        <f t="shared" si="30"/>
        <v xml:space="preserve">  -  .  -  </v>
      </c>
      <c r="C44" s="662"/>
      <c r="D44" s="662"/>
      <c r="E44" s="662"/>
      <c r="F44" s="663">
        <f t="shared" si="31"/>
        <v>0</v>
      </c>
      <c r="G44" s="662"/>
      <c r="H44" s="662"/>
      <c r="I44" s="663">
        <f t="shared" si="32"/>
        <v>0</v>
      </c>
      <c r="J44" s="662"/>
      <c r="K44" s="663">
        <f t="shared" si="33"/>
        <v>0</v>
      </c>
      <c r="L44" s="664">
        <f t="shared" si="51"/>
        <v>0</v>
      </c>
      <c r="M44" s="665"/>
      <c r="N44" s="665"/>
      <c r="O44" s="665"/>
      <c r="P44" s="666">
        <f t="shared" si="34"/>
        <v>0</v>
      </c>
      <c r="Q44" s="667"/>
      <c r="R44" s="667"/>
      <c r="S44" s="666">
        <f t="shared" si="35"/>
        <v>0</v>
      </c>
      <c r="T44" s="665"/>
      <c r="U44" s="666">
        <f t="shared" si="36"/>
        <v>0</v>
      </c>
      <c r="V44" s="668">
        <f t="shared" si="37"/>
        <v>0</v>
      </c>
      <c r="W44" s="669"/>
      <c r="X44" s="665"/>
      <c r="Y44" s="665"/>
      <c r="Z44" s="666">
        <f t="shared" si="38"/>
        <v>0</v>
      </c>
      <c r="AA44" s="665"/>
      <c r="AB44" s="670"/>
      <c r="AC44" s="666">
        <f t="shared" si="39"/>
        <v>0</v>
      </c>
      <c r="AD44" s="665"/>
      <c r="AE44" s="666">
        <f t="shared" si="40"/>
        <v>0</v>
      </c>
      <c r="AF44" s="668">
        <f t="shared" si="41"/>
        <v>0</v>
      </c>
      <c r="AG44" s="55"/>
      <c r="AH44" s="127">
        <v>0</v>
      </c>
      <c r="AI44" s="113">
        <f t="shared" si="42"/>
        <v>-8</v>
      </c>
      <c r="AJ44" s="113">
        <f t="shared" si="43"/>
        <v>-8</v>
      </c>
      <c r="AK44" s="128">
        <f t="shared" si="52"/>
        <v>-8</v>
      </c>
      <c r="AL44" s="113">
        <f t="shared" si="44"/>
        <v>0</v>
      </c>
      <c r="AM44" s="113">
        <f t="shared" si="45"/>
        <v>-8</v>
      </c>
      <c r="AN44" s="113">
        <f t="shared" si="46"/>
        <v>-8</v>
      </c>
      <c r="AO44" s="113">
        <f t="shared" si="47"/>
        <v>-8</v>
      </c>
      <c r="AP44" s="114">
        <f t="shared" si="48"/>
        <v>-48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0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1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37"/>
        <v>0</v>
      </c>
      <c r="W45" s="360"/>
      <c r="X45" s="361"/>
      <c r="Y45" s="96"/>
      <c r="Z45" s="97">
        <f t="shared" si="38"/>
        <v>0</v>
      </c>
      <c r="AA45" s="361"/>
      <c r="AB45" s="361"/>
      <c r="AC45" s="97">
        <f t="shared" si="39"/>
        <v>0</v>
      </c>
      <c r="AD45" s="96"/>
      <c r="AE45" s="98">
        <f t="shared" si="40"/>
        <v>0</v>
      </c>
      <c r="AF45" s="99">
        <f t="shared" si="41"/>
        <v>0</v>
      </c>
      <c r="AG45" s="55"/>
      <c r="AH45" s="112">
        <v>0</v>
      </c>
      <c r="AI45" s="113">
        <f t="shared" si="42"/>
        <v>-8</v>
      </c>
      <c r="AJ45" s="113">
        <f t="shared" si="43"/>
        <v>-8</v>
      </c>
      <c r="AK45" s="113">
        <f t="shared" si="52"/>
        <v>-8</v>
      </c>
      <c r="AL45" s="113">
        <f t="shared" si="44"/>
        <v>0</v>
      </c>
      <c r="AM45" s="113">
        <f t="shared" si="45"/>
        <v>-8</v>
      </c>
      <c r="AN45" s="113">
        <f t="shared" si="46"/>
        <v>-8</v>
      </c>
      <c r="AO45" s="113">
        <f t="shared" si="47"/>
        <v>-8</v>
      </c>
      <c r="AP45" s="114">
        <f t="shared" si="48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142</v>
      </c>
      <c r="AS46" s="1162"/>
      <c r="AT46" s="167">
        <f>SUM(AT32:AT45)</f>
        <v>44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68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43202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43203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43204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43205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43206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43207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43208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-99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684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684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684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684"/>
      <c r="AB68" s="684"/>
      <c r="AC68" s="684"/>
      <c r="AD68" s="684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684"/>
      <c r="AB69" s="684"/>
      <c r="AC69" s="684"/>
      <c r="AD69" s="684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684"/>
      <c r="AB70" s="684"/>
      <c r="AC70" s="684"/>
      <c r="AD70" s="684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5" si="56">+I71/6*7</f>
        <v>5.3041666666666654</v>
      </c>
      <c r="O71" s="1020"/>
      <c r="P71" s="5"/>
      <c r="Q71" s="1056">
        <f t="shared" ref="Q71:Q85" si="57">+$I$69-I71</f>
        <v>0.68482142857142936</v>
      </c>
      <c r="R71" s="1057"/>
      <c r="U71" s="238">
        <f t="shared" ref="U71:U77" si="58">+AE32+U32+K32+AO11+AE11+U11+K11</f>
        <v>40</v>
      </c>
      <c r="V71" s="239">
        <v>48</v>
      </c>
      <c r="W71" s="240">
        <f t="shared" ref="W71:W85" si="59">+V71-U71</f>
        <v>8</v>
      </c>
      <c r="X71" s="241">
        <f t="shared" ref="X71:X77" si="60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63</v>
      </c>
      <c r="V72" s="239">
        <v>48</v>
      </c>
      <c r="W72" s="240">
        <f t="shared" si="59"/>
        <v>-15</v>
      </c>
      <c r="X72" s="241">
        <f t="shared" si="60"/>
        <v>24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66</v>
      </c>
      <c r="V73" s="239">
        <v>48</v>
      </c>
      <c r="W73" s="240">
        <f t="shared" si="59"/>
        <v>-18</v>
      </c>
      <c r="X73" s="241">
        <f t="shared" si="60"/>
        <v>0</v>
      </c>
      <c r="Z73" s="389"/>
      <c r="AA73" s="681"/>
      <c r="AB73" s="681"/>
      <c r="AC73" s="681"/>
      <c r="AD73" s="681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84</v>
      </c>
      <c r="V74" s="239">
        <v>48</v>
      </c>
      <c r="W74" s="240">
        <f t="shared" si="59"/>
        <v>-36</v>
      </c>
      <c r="X74" s="241">
        <f t="shared" si="60"/>
        <v>24</v>
      </c>
      <c r="Z74" s="1045" t="s">
        <v>53</v>
      </c>
      <c r="AA74" s="1045"/>
      <c r="AB74" s="1045"/>
      <c r="AC74" s="1045"/>
      <c r="AD74" s="389" t="s">
        <v>54</v>
      </c>
      <c r="AE74" s="681"/>
      <c r="AF74" s="386"/>
      <c r="AG74" s="682"/>
      <c r="AH74" s="682"/>
      <c r="AI74" s="386"/>
      <c r="AJ74" s="386"/>
      <c r="AK74" s="680"/>
      <c r="AL74" s="680"/>
      <c r="AM74" s="680"/>
      <c r="AN74" s="680"/>
      <c r="AO74" s="680"/>
      <c r="AP74" s="680"/>
      <c r="AQ74" s="680"/>
      <c r="AR74" s="680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49</v>
      </c>
      <c r="V75" s="239">
        <v>48</v>
      </c>
      <c r="W75" s="240">
        <f t="shared" si="59"/>
        <v>-1</v>
      </c>
      <c r="X75" s="241">
        <f t="shared" si="60"/>
        <v>0</v>
      </c>
      <c r="Z75" s="681"/>
      <c r="AA75" s="681"/>
      <c r="AB75" s="681"/>
      <c r="AC75" s="681"/>
      <c r="AD75" s="681"/>
      <c r="AE75" s="386"/>
      <c r="AF75" s="386"/>
      <c r="AG75" s="244"/>
      <c r="AH75" s="244"/>
      <c r="AI75" s="682"/>
      <c r="AJ75" s="682"/>
      <c r="AK75" s="682"/>
      <c r="AL75" s="682"/>
      <c r="AM75" s="682"/>
      <c r="AN75" s="682"/>
      <c r="AO75" s="682"/>
      <c r="AP75" s="682"/>
      <c r="AQ75" s="682"/>
      <c r="AR75" s="682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0</v>
      </c>
      <c r="V76" s="239">
        <v>48</v>
      </c>
      <c r="W76" s="240">
        <f>+V76-U76</f>
        <v>48</v>
      </c>
      <c r="X76" s="241">
        <f t="shared" si="60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682"/>
      <c r="AN76" s="682"/>
      <c r="AO76" s="682"/>
      <c r="AP76" s="682"/>
      <c r="AQ76" s="682"/>
      <c r="AR76" s="682"/>
      <c r="AS76" s="386"/>
      <c r="AT76" s="38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681"/>
      <c r="AA77" s="681"/>
      <c r="AB77" s="681"/>
      <c r="AC77" s="681"/>
      <c r="AD77" s="681"/>
      <c r="AE77" s="386"/>
      <c r="AF77" s="386"/>
      <c r="AG77" s="682"/>
      <c r="AH77" s="682"/>
      <c r="AI77" s="393"/>
      <c r="AJ77" s="393"/>
      <c r="AK77" s="393"/>
      <c r="AL77" s="393"/>
      <c r="AM77" s="682"/>
      <c r="AN77" s="682"/>
      <c r="AO77" s="682"/>
      <c r="AP77" s="682"/>
      <c r="AQ77" s="682"/>
      <c r="AR77" s="682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3"/>
        <v>28.333328571428574</v>
      </c>
      <c r="F78" s="1049"/>
      <c r="G78" s="1050">
        <v>25.761900000000001</v>
      </c>
      <c r="H78" s="1051"/>
      <c r="I78" s="1052">
        <f t="shared" si="54"/>
        <v>3.5416660714285717</v>
      </c>
      <c r="J78" s="1058"/>
      <c r="K78" s="1059">
        <f>+E78*30</f>
        <v>849.99985714285719</v>
      </c>
      <c r="L78" s="1059"/>
      <c r="M78" s="5"/>
      <c r="N78" s="1020">
        <f t="shared" si="56"/>
        <v>4.1319437500000005</v>
      </c>
      <c r="O78" s="1020"/>
      <c r="P78" s="5"/>
      <c r="Q78" s="1056">
        <f t="shared" si="57"/>
        <v>1.6895839285714285</v>
      </c>
      <c r="R78" s="1057"/>
      <c r="S78" s="684"/>
      <c r="T78" s="684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>+J19+T19+AD19+J40+T40+AD40</f>
        <v>0</v>
      </c>
      <c r="Y78" s="684"/>
      <c r="Z78" s="681"/>
      <c r="AA78" s="681"/>
      <c r="AB78" s="681"/>
      <c r="AC78" s="681"/>
      <c r="AD78" s="681"/>
      <c r="AE78" s="386"/>
      <c r="AF78" s="386"/>
      <c r="AG78" s="682"/>
      <c r="AH78" s="682"/>
      <c r="AI78" s="393"/>
      <c r="AJ78" s="393"/>
      <c r="AK78" s="393"/>
      <c r="AL78" s="393"/>
      <c r="AM78" s="682"/>
      <c r="AN78" s="682"/>
      <c r="AO78" s="682"/>
      <c r="AP78" s="682"/>
      <c r="AQ78" s="682"/>
      <c r="AR78" s="682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0</v>
      </c>
      <c r="V79" s="239">
        <v>48</v>
      </c>
      <c r="W79" s="240">
        <f>+V79-U79</f>
        <v>48</v>
      </c>
      <c r="X79" s="241" t="e">
        <f>+#REF!+#REF!+#REF!+#REF!+#REF!+#REF!</f>
        <v>#REF!</v>
      </c>
      <c r="Z79" s="246"/>
      <c r="AA79" s="246"/>
      <c r="AB79" s="681"/>
      <c r="AC79" s="681"/>
      <c r="AD79" s="681"/>
      <c r="AE79" s="386"/>
      <c r="AF79" s="386"/>
      <c r="AG79" s="682"/>
      <c r="AH79" s="682"/>
      <c r="AI79" s="682"/>
      <c r="AJ79" s="682"/>
      <c r="AK79" s="682"/>
      <c r="AL79" s="682"/>
      <c r="AM79" s="682"/>
      <c r="AN79" s="682"/>
      <c r="AO79" s="682"/>
      <c r="AP79" s="682"/>
      <c r="AQ79" s="682"/>
      <c r="AR79" s="682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>+J20+T20+AD20+J41+T41+AD41</f>
        <v>0</v>
      </c>
      <c r="Z80" s="1045">
        <f>+K80/E80</f>
        <v>30</v>
      </c>
      <c r="AA80" s="1045"/>
      <c r="AB80" s="1045"/>
      <c r="AC80" s="1045"/>
      <c r="AD80" s="681"/>
      <c r="AE80" s="386"/>
      <c r="AF80" s="386"/>
      <c r="AG80" s="244"/>
      <c r="AH80" s="244"/>
      <c r="AI80" s="682"/>
      <c r="AJ80" s="682"/>
      <c r="AK80" s="682"/>
      <c r="AL80" s="682"/>
      <c r="AM80" s="682"/>
      <c r="AN80" s="682"/>
      <c r="AO80" s="682"/>
      <c r="AP80" s="682"/>
      <c r="AQ80" s="682"/>
      <c r="AR80" s="682"/>
      <c r="AS80" s="386"/>
      <c r="AT80" s="386"/>
    </row>
    <row r="81" spans="1:46" ht="16.5">
      <c r="A81" s="1">
        <v>3</v>
      </c>
      <c r="B81" s="237" t="s">
        <v>118</v>
      </c>
      <c r="C81" s="1046">
        <f>6*3+7*34.0952</f>
        <v>256.66639999999995</v>
      </c>
      <c r="D81" s="1047"/>
      <c r="E81" s="1048">
        <f t="shared" si="61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0</v>
      </c>
      <c r="V81" s="239">
        <v>48</v>
      </c>
      <c r="W81" s="240">
        <f>+V81-U81</f>
        <v>48</v>
      </c>
      <c r="X81" s="241">
        <f>+J21+T21+AD21+J42+T42+AD42</f>
        <v>0</v>
      </c>
      <c r="Z81" s="252"/>
      <c r="AA81" s="394"/>
      <c r="AB81" s="389"/>
      <c r="AC81" s="681"/>
      <c r="AD81" s="681"/>
      <c r="AE81" s="386"/>
      <c r="AF81" s="386"/>
      <c r="AG81" s="682"/>
      <c r="AH81" s="682"/>
      <c r="AI81" s="393"/>
      <c r="AJ81" s="393"/>
      <c r="AK81" s="393"/>
      <c r="AL81" s="393"/>
      <c r="AM81" s="682"/>
      <c r="AN81" s="682"/>
      <c r="AO81" s="682"/>
      <c r="AP81" s="682"/>
      <c r="AQ81" s="682"/>
      <c r="AR81" s="682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1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6"/>
        <v>4.1319395833333337</v>
      </c>
      <c r="O82" s="1044"/>
      <c r="P82" s="5"/>
      <c r="Q82" s="1004">
        <f t="shared" si="57"/>
        <v>1.6895875</v>
      </c>
      <c r="R82" s="1005"/>
      <c r="U82" s="238">
        <f>+AE44+U44+K44+AO23+AE23+U23+K23</f>
        <v>0</v>
      </c>
      <c r="V82" s="239">
        <v>48</v>
      </c>
      <c r="W82" s="240">
        <f t="shared" si="59"/>
        <v>48</v>
      </c>
      <c r="X82" s="241">
        <f>+J22+T22+AD22+J43+T43+AD43</f>
        <v>0</v>
      </c>
      <c r="Z82" s="252"/>
      <c r="AA82" s="394"/>
      <c r="AB82" s="389"/>
      <c r="AC82" s="681"/>
      <c r="AD82" s="681"/>
      <c r="AE82" s="386"/>
      <c r="AF82" s="386"/>
      <c r="AG82" s="393"/>
      <c r="AH82" s="393"/>
      <c r="AI82" s="682"/>
      <c r="AJ82" s="682"/>
      <c r="AK82" s="682"/>
      <c r="AL82" s="682"/>
      <c r="AM82" s="682"/>
      <c r="AN82" s="682"/>
      <c r="AO82" s="682"/>
      <c r="AP82" s="682"/>
      <c r="AQ82" s="682"/>
      <c r="AR82" s="682"/>
      <c r="AS82" s="386"/>
      <c r="AT82" s="386"/>
    </row>
    <row r="83" spans="1:46" ht="16.5">
      <c r="B83" s="250" t="s">
        <v>121</v>
      </c>
      <c r="C83" s="1035">
        <f>+G83*6</f>
        <v>199.99979999999999</v>
      </c>
      <c r="D83" s="1036"/>
      <c r="E83" s="1037">
        <f t="shared" si="61"/>
        <v>28.571400000000001</v>
      </c>
      <c r="F83" s="1038"/>
      <c r="G83" s="1039">
        <v>33.333300000000001</v>
      </c>
      <c r="H83" s="1040"/>
      <c r="I83" s="1037">
        <f>+G83/8</f>
        <v>4.1666625000000002</v>
      </c>
      <c r="J83" s="1038"/>
      <c r="K83" s="1041">
        <f>+G83*30</f>
        <v>999.99900000000002</v>
      </c>
      <c r="L83" s="1042"/>
      <c r="M83" s="5"/>
      <c r="N83" s="1043">
        <f>+I83/6*7</f>
        <v>4.8611062500000006</v>
      </c>
      <c r="O83" s="1044"/>
      <c r="P83" s="5"/>
      <c r="Q83" s="1004">
        <f>+$I$69-I83</f>
        <v>1.0645875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+J23+T23+AD23+J44+T44+AD44</f>
        <v>0</v>
      </c>
      <c r="Z83" s="246"/>
      <c r="AA83" s="246"/>
      <c r="AB83" s="681"/>
      <c r="AC83" s="681"/>
      <c r="AD83" s="681">
        <v>200</v>
      </c>
      <c r="AE83" s="386"/>
      <c r="AF83" s="1023">
        <f>+AD83/6</f>
        <v>33.333333333333336</v>
      </c>
      <c r="AG83" s="1023"/>
      <c r="AH83" s="1023"/>
      <c r="AI83" s="682"/>
      <c r="AJ83" s="682"/>
      <c r="AK83" s="682"/>
      <c r="AL83" s="682"/>
      <c r="AM83" s="682"/>
      <c r="AN83" s="682"/>
      <c r="AO83" s="682"/>
      <c r="AP83" s="682"/>
      <c r="AQ83" s="682"/>
      <c r="AR83" s="682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1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0</v>
      </c>
      <c r="V84" s="239">
        <v>48</v>
      </c>
      <c r="W84" s="240">
        <f t="shared" si="59"/>
        <v>48</v>
      </c>
      <c r="X84" s="241">
        <f>+J23+T23+AD23+J44+T44+AD44</f>
        <v>0</v>
      </c>
      <c r="Y84" s="248"/>
      <c r="Z84" s="681"/>
      <c r="AA84" s="681"/>
      <c r="AB84" s="681"/>
      <c r="AC84" s="681"/>
      <c r="AG84" s="682"/>
      <c r="AH84" s="682"/>
      <c r="AI84" s="386"/>
      <c r="AJ84" s="386"/>
      <c r="AK84" s="680"/>
      <c r="AL84" s="680"/>
      <c r="AM84" s="680"/>
      <c r="AN84" s="680"/>
      <c r="AO84" s="680"/>
      <c r="AP84" s="680"/>
      <c r="AQ84" s="680"/>
      <c r="AR84" s="680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1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6"/>
        <v>11.423610416666666</v>
      </c>
      <c r="O85" s="1020"/>
      <c r="P85" s="5"/>
      <c r="Q85" s="1004">
        <f t="shared" si="57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59"/>
        <v>48</v>
      </c>
      <c r="X85" s="241">
        <f>+J27+T27+AD27+J48+T48+AD48</f>
        <v>0</v>
      </c>
      <c r="Z85" s="246"/>
      <c r="AA85" s="246"/>
      <c r="AB85" s="681"/>
      <c r="AC85" s="681"/>
      <c r="AD85" s="681"/>
      <c r="AE85" s="386"/>
      <c r="AF85" s="386"/>
      <c r="AG85" s="682"/>
      <c r="AH85" s="682"/>
      <c r="AI85" s="682"/>
      <c r="AJ85" s="682"/>
      <c r="AK85" s="682"/>
      <c r="AL85" s="682"/>
      <c r="AM85" s="682"/>
      <c r="AN85" s="682"/>
      <c r="AO85" s="682"/>
      <c r="AP85" s="682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682"/>
      <c r="AF89" s="682"/>
      <c r="AG89" s="386"/>
      <c r="AH89" s="386"/>
      <c r="AI89" s="386"/>
      <c r="AJ89" s="682"/>
      <c r="AK89" s="682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682"/>
      <c r="AF90" s="682"/>
      <c r="AG90" s="386"/>
      <c r="AH90" s="386"/>
      <c r="AI90" s="386"/>
      <c r="AJ90" s="682"/>
      <c r="AK90" s="682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682"/>
      <c r="AF92" s="682"/>
      <c r="AG92" s="386"/>
      <c r="AH92" s="386"/>
      <c r="AI92" s="386"/>
      <c r="AJ92" s="682"/>
      <c r="AK92" s="682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682"/>
      <c r="AF95" s="682"/>
      <c r="AG95" s="386"/>
      <c r="AH95" s="386"/>
      <c r="AI95" s="386"/>
      <c r="AJ95" s="682"/>
      <c r="AK95" s="682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680"/>
      <c r="AM97" s="682"/>
      <c r="AN97" s="680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682"/>
      <c r="AF107" s="682"/>
      <c r="AG107" s="386"/>
      <c r="AH107" s="386"/>
      <c r="AI107" s="386"/>
      <c r="AJ107" s="682"/>
      <c r="AK107" s="682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680"/>
      <c r="AM115" s="682"/>
      <c r="AN115" s="680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682"/>
      <c r="AF126" s="682"/>
      <c r="AG126" s="386"/>
      <c r="AH126" s="386"/>
      <c r="AI126" s="386"/>
      <c r="AJ126" s="682"/>
      <c r="AK126" s="682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682"/>
      <c r="AF127" s="682"/>
      <c r="AG127" s="386"/>
      <c r="AH127" s="386"/>
      <c r="AI127" s="386"/>
      <c r="AJ127" s="682"/>
      <c r="AK127" s="682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682"/>
      <c r="AF129" s="682"/>
      <c r="AG129" s="386"/>
      <c r="AH129" s="386"/>
      <c r="AI129" s="386"/>
      <c r="AJ129" s="682"/>
      <c r="AK129" s="682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682"/>
      <c r="AF132" s="682"/>
      <c r="AG132" s="386"/>
      <c r="AH132" s="386"/>
      <c r="AI132" s="386"/>
      <c r="AJ132" s="682"/>
      <c r="AK132" s="682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680"/>
      <c r="AM134" s="682"/>
      <c r="AN134" s="680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682"/>
      <c r="AF144" s="682"/>
      <c r="AG144" s="386"/>
      <c r="AH144" s="386"/>
      <c r="AI144" s="386"/>
      <c r="AJ144" s="682"/>
      <c r="AK144" s="682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682"/>
      <c r="AF145" s="682"/>
      <c r="AG145" s="386"/>
      <c r="AH145" s="386"/>
      <c r="AI145" s="386"/>
      <c r="AJ145" s="682"/>
      <c r="AK145" s="682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682"/>
      <c r="AF147" s="682"/>
      <c r="AG147" s="386"/>
      <c r="AH147" s="386"/>
      <c r="AI147" s="386"/>
      <c r="AJ147" s="682"/>
      <c r="AK147" s="682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682"/>
      <c r="AF150" s="682"/>
      <c r="AG150" s="386"/>
      <c r="AH150" s="386"/>
      <c r="AI150" s="386"/>
      <c r="AJ150" s="682"/>
      <c r="AK150" s="682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680"/>
      <c r="AM152" s="682"/>
      <c r="AN152" s="680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682"/>
      <c r="AF164" s="682"/>
      <c r="AG164" s="386"/>
      <c r="AH164" s="386"/>
      <c r="AI164" s="386"/>
      <c r="AJ164" s="682"/>
      <c r="AK164" s="682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680"/>
      <c r="AM172" s="682"/>
      <c r="AN172" s="680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682"/>
      <c r="AF183" s="682"/>
      <c r="AG183" s="386"/>
      <c r="AH183" s="386"/>
      <c r="AI183" s="386"/>
      <c r="AJ183" s="682"/>
      <c r="AK183" s="682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682"/>
      <c r="AF184" s="682"/>
      <c r="AG184" s="386"/>
      <c r="AH184" s="386"/>
      <c r="AI184" s="386"/>
      <c r="AJ184" s="682"/>
      <c r="AK184" s="682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682"/>
      <c r="AF186" s="682"/>
      <c r="AG186" s="386"/>
      <c r="AH186" s="386"/>
      <c r="AI186" s="386"/>
      <c r="AJ186" s="682"/>
      <c r="AK186" s="682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682"/>
      <c r="AF189" s="682"/>
      <c r="AG189" s="386"/>
      <c r="AH189" s="386"/>
      <c r="AI189" s="386"/>
      <c r="AJ189" s="682"/>
      <c r="AK189" s="682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680"/>
      <c r="AM191" s="682"/>
      <c r="AN191" s="680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684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684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684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684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684"/>
      <c r="AB203" s="684"/>
      <c r="AC203" s="684"/>
      <c r="AD203" s="684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681"/>
      <c r="AB204" s="681"/>
      <c r="AC204" s="681"/>
      <c r="AD204" s="681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681"/>
      <c r="AB205" s="681"/>
      <c r="AC205" s="681"/>
      <c r="AD205" s="681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2">+C206/7</f>
        <v>36.371428571428567</v>
      </c>
      <c r="F206" s="1049"/>
      <c r="G206" s="388"/>
      <c r="H206" s="388"/>
      <c r="I206" s="1052">
        <f t="shared" ref="I206:I213" si="63">+E206/8</f>
        <v>4.5464285714285708</v>
      </c>
      <c r="J206" s="1058"/>
      <c r="K206" s="1059">
        <f t="shared" ref="K206:K210" si="64">+E206*30</f>
        <v>1091.1428571428569</v>
      </c>
      <c r="L206" s="1059"/>
      <c r="M206" s="5"/>
      <c r="N206" s="1020">
        <f t="shared" ref="N206:N210" si="65">+I206/6*7</f>
        <v>5.3041666666666654</v>
      </c>
      <c r="O206" s="1020"/>
      <c r="P206" s="5"/>
      <c r="Q206" s="1056">
        <f t="shared" ref="Q206:Q210" si="66">+$I$69-I206</f>
        <v>0.68482142857142936</v>
      </c>
      <c r="R206" s="1057"/>
      <c r="U206" s="238">
        <f t="shared" ref="U206:U212" si="67">+AE167+U167+K167+AO146+AE146+U146+K146</f>
        <v>0</v>
      </c>
      <c r="V206" s="239">
        <v>48</v>
      </c>
      <c r="W206" s="240">
        <f t="shared" ref="W206:W210" si="68">+V206-U206</f>
        <v>48</v>
      </c>
      <c r="X206" s="241" t="e">
        <f t="shared" ref="X206:X212" si="69">+J146+T146+AD146+J167+T167+AD167</f>
        <v>#VALUE!</v>
      </c>
      <c r="Z206" s="389"/>
      <c r="AA206" s="681"/>
      <c r="AB206" s="681"/>
      <c r="AC206" s="681"/>
      <c r="AD206" s="681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2"/>
        <v>41.071428571428569</v>
      </c>
      <c r="F207" s="1049"/>
      <c r="G207" s="388"/>
      <c r="H207" s="388"/>
      <c r="I207" s="1052">
        <f t="shared" si="63"/>
        <v>5.1339285714285712</v>
      </c>
      <c r="J207" s="1058"/>
      <c r="K207" s="1059">
        <f t="shared" si="64"/>
        <v>1232.1428571428571</v>
      </c>
      <c r="L207" s="1059"/>
      <c r="M207" s="5"/>
      <c r="N207" s="1020">
        <f t="shared" si="65"/>
        <v>5.989583333333333</v>
      </c>
      <c r="O207" s="1020"/>
      <c r="P207" s="5"/>
      <c r="Q207" s="1056">
        <f t="shared" si="66"/>
        <v>9.7321428571429003E-2</v>
      </c>
      <c r="R207" s="1057"/>
      <c r="U207" s="238">
        <f t="shared" si="67"/>
        <v>0</v>
      </c>
      <c r="V207" s="239">
        <v>48</v>
      </c>
      <c r="W207" s="240">
        <f t="shared" si="68"/>
        <v>48</v>
      </c>
      <c r="X207" s="241" t="e">
        <f t="shared" si="69"/>
        <v>#VALUE!</v>
      </c>
      <c r="Z207" s="389"/>
      <c r="AA207" s="681"/>
      <c r="AB207" s="681"/>
      <c r="AC207" s="681"/>
      <c r="AD207" s="681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681"/>
      <c r="AB208" s="681"/>
      <c r="AC208" s="681"/>
      <c r="AD208" s="681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2"/>
        <v>33.33342857142857</v>
      </c>
      <c r="F209" s="1049"/>
      <c r="G209" s="388"/>
      <c r="H209" s="388"/>
      <c r="I209" s="1052">
        <f t="shared" si="63"/>
        <v>4.1666785714285712</v>
      </c>
      <c r="J209" s="1058"/>
      <c r="K209" s="1059">
        <f t="shared" si="64"/>
        <v>1000.0028571428571</v>
      </c>
      <c r="L209" s="1059"/>
      <c r="M209" s="5"/>
      <c r="N209" s="1020">
        <f t="shared" si="65"/>
        <v>4.8611250000000004</v>
      </c>
      <c r="O209" s="1020"/>
      <c r="P209" s="5"/>
      <c r="Q209" s="1056">
        <f t="shared" si="66"/>
        <v>1.0645714285714289</v>
      </c>
      <c r="R209" s="1057"/>
      <c r="S209" s="1066">
        <f>20*30/180*117</f>
        <v>390</v>
      </c>
      <c r="T209" s="1067"/>
      <c r="U209" s="238">
        <f t="shared" si="67"/>
        <v>0</v>
      </c>
      <c r="V209" s="239">
        <v>48</v>
      </c>
      <c r="W209" s="240">
        <f t="shared" si="68"/>
        <v>48</v>
      </c>
      <c r="X209" s="241">
        <f t="shared" si="69"/>
        <v>0</v>
      </c>
      <c r="Z209" s="1045" t="s">
        <v>53</v>
      </c>
      <c r="AA209" s="1045"/>
      <c r="AB209" s="1045"/>
      <c r="AC209" s="1045"/>
      <c r="AD209" s="389" t="s">
        <v>54</v>
      </c>
      <c r="AE209" s="681"/>
      <c r="AF209" s="386"/>
      <c r="AG209" s="682"/>
      <c r="AH209" s="682"/>
      <c r="AI209" s="386"/>
      <c r="AJ209" s="386"/>
      <c r="AK209" s="680"/>
      <c r="AL209" s="680"/>
      <c r="AM209" s="680"/>
      <c r="AN209" s="680"/>
      <c r="AO209" s="680"/>
      <c r="AP209" s="680"/>
      <c r="AQ209" s="680"/>
      <c r="AR209" s="680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2"/>
        <v>41.071428571428569</v>
      </c>
      <c r="F210" s="1049"/>
      <c r="G210" s="388"/>
      <c r="H210" s="388"/>
      <c r="I210" s="1052">
        <f t="shared" si="63"/>
        <v>5.1339285714285712</v>
      </c>
      <c r="J210" s="1058"/>
      <c r="K210" s="1059">
        <f t="shared" si="64"/>
        <v>1232.1428571428571</v>
      </c>
      <c r="L210" s="1059"/>
      <c r="M210" s="5"/>
      <c r="N210" s="1020">
        <f t="shared" si="65"/>
        <v>5.989583333333333</v>
      </c>
      <c r="O210" s="1020"/>
      <c r="P210" s="5"/>
      <c r="Q210" s="1056">
        <f t="shared" si="66"/>
        <v>9.7321428571429003E-2</v>
      </c>
      <c r="R210" s="105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681"/>
      <c r="AA210" s="681"/>
      <c r="AB210" s="681"/>
      <c r="AC210" s="681"/>
      <c r="AD210" s="681"/>
      <c r="AE210" s="386"/>
      <c r="AF210" s="386"/>
      <c r="AG210" s="244"/>
      <c r="AH210" s="244"/>
      <c r="AI210" s="682"/>
      <c r="AJ210" s="682"/>
      <c r="AK210" s="682"/>
      <c r="AL210" s="682"/>
      <c r="AM210" s="682"/>
      <c r="AN210" s="682"/>
      <c r="AO210" s="682"/>
      <c r="AP210" s="682"/>
      <c r="AQ210" s="682"/>
      <c r="AR210" s="682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2"/>
        <v>41.071428571428569</v>
      </c>
      <c r="F211" s="1049"/>
      <c r="G211" s="1068"/>
      <c r="H211" s="1069"/>
      <c r="I211" s="1052">
        <f t="shared" si="63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67"/>
        <v>0</v>
      </c>
      <c r="V211" s="239">
        <v>48</v>
      </c>
      <c r="W211" s="240">
        <f>+V211-U211</f>
        <v>48</v>
      </c>
      <c r="X211" s="241">
        <f t="shared" si="69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682"/>
      <c r="AN211" s="682"/>
      <c r="AO211" s="682"/>
      <c r="AP211" s="682"/>
      <c r="AQ211" s="682"/>
      <c r="AR211" s="682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2"/>
        <v>29.571428571428573</v>
      </c>
      <c r="F212" s="1049"/>
      <c r="G212" s="1062"/>
      <c r="H212" s="1063"/>
      <c r="I212" s="1052">
        <f t="shared" si="63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0">+I212/6*7</f>
        <v>4.3125</v>
      </c>
      <c r="O212" s="1020"/>
      <c r="P212" s="5"/>
      <c r="Q212" s="1056">
        <f t="shared" ref="Q212:Q213" si="71">+$I$69-I212</f>
        <v>1.5348214285714286</v>
      </c>
      <c r="R212" s="1057"/>
      <c r="S212" s="1066">
        <f>20*30/180*117</f>
        <v>390</v>
      </c>
      <c r="T212" s="1067"/>
      <c r="U212" s="238">
        <f t="shared" si="67"/>
        <v>0</v>
      </c>
      <c r="V212" s="239">
        <v>48</v>
      </c>
      <c r="W212" s="240">
        <f t="shared" ref="W212:W213" si="72">+V212-U212</f>
        <v>48</v>
      </c>
      <c r="X212" s="241">
        <f t="shared" si="69"/>
        <v>0</v>
      </c>
      <c r="Y212" s="248"/>
      <c r="Z212" s="681"/>
      <c r="AA212" s="681"/>
      <c r="AB212" s="681"/>
      <c r="AC212" s="681"/>
      <c r="AD212" s="681"/>
      <c r="AE212" s="386"/>
      <c r="AF212" s="386"/>
      <c r="AG212" s="682"/>
      <c r="AH212" s="682"/>
      <c r="AI212" s="393"/>
      <c r="AJ212" s="393"/>
      <c r="AK212" s="393"/>
      <c r="AL212" s="393"/>
      <c r="AM212" s="682"/>
      <c r="AN212" s="682"/>
      <c r="AO212" s="682"/>
      <c r="AP212" s="682"/>
      <c r="AQ212" s="682"/>
      <c r="AR212" s="682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2"/>
        <v>28.333328571428574</v>
      </c>
      <c r="F213" s="1049"/>
      <c r="G213" s="1050">
        <v>25.761900000000001</v>
      </c>
      <c r="H213" s="1051"/>
      <c r="I213" s="1052">
        <f t="shared" si="63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0"/>
        <v>4.1319437500000005</v>
      </c>
      <c r="O213" s="1020"/>
      <c r="P213" s="5"/>
      <c r="Q213" s="1056">
        <f t="shared" si="71"/>
        <v>1.6895839285714285</v>
      </c>
      <c r="R213" s="1057"/>
      <c r="S213" s="684"/>
      <c r="T213" s="684"/>
      <c r="U213" s="238">
        <f>+AE175+U175+K175+AO154+AE154+U154+K154</f>
        <v>0</v>
      </c>
      <c r="V213" s="239">
        <v>48</v>
      </c>
      <c r="W213" s="240">
        <f t="shared" si="72"/>
        <v>48</v>
      </c>
      <c r="X213" s="241">
        <f>+J154+T154+AD154+J175+T175+AD175</f>
        <v>0</v>
      </c>
      <c r="Y213" s="684"/>
      <c r="Z213" s="681"/>
      <c r="AA213" s="681"/>
      <c r="AB213" s="681"/>
      <c r="AC213" s="681"/>
      <c r="AD213" s="681"/>
      <c r="AE213" s="386"/>
      <c r="AF213" s="386"/>
      <c r="AG213" s="682"/>
      <c r="AH213" s="682"/>
      <c r="AI213" s="393"/>
      <c r="AJ213" s="393"/>
      <c r="AK213" s="393"/>
      <c r="AL213" s="393"/>
      <c r="AM213" s="682"/>
      <c r="AN213" s="682"/>
      <c r="AO213" s="682"/>
      <c r="AP213" s="682"/>
      <c r="AQ213" s="682"/>
      <c r="AR213" s="682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3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681"/>
      <c r="AC214" s="681"/>
      <c r="AD214" s="681"/>
      <c r="AE214" s="386"/>
      <c r="AF214" s="386"/>
      <c r="AG214" s="682"/>
      <c r="AH214" s="682"/>
      <c r="AI214" s="682"/>
      <c r="AJ214" s="682"/>
      <c r="AK214" s="682"/>
      <c r="AL214" s="682"/>
      <c r="AM214" s="682"/>
      <c r="AN214" s="682"/>
      <c r="AO214" s="682"/>
      <c r="AP214" s="682"/>
      <c r="AQ214" s="682"/>
      <c r="AR214" s="682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4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681"/>
      <c r="AE215" s="386"/>
      <c r="AF215" s="386"/>
      <c r="AG215" s="244"/>
      <c r="AH215" s="244"/>
      <c r="AI215" s="682"/>
      <c r="AJ215" s="682"/>
      <c r="AK215" s="682"/>
      <c r="AL215" s="682"/>
      <c r="AM215" s="682"/>
      <c r="AN215" s="682"/>
      <c r="AO215" s="682"/>
      <c r="AP215" s="682"/>
      <c r="AQ215" s="682"/>
      <c r="AR215" s="682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4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681"/>
      <c r="AD216" s="681"/>
      <c r="AE216" s="386"/>
      <c r="AF216" s="386"/>
      <c r="AG216" s="682"/>
      <c r="AH216" s="682"/>
      <c r="AI216" s="393"/>
      <c r="AJ216" s="393"/>
      <c r="AK216" s="393"/>
      <c r="AL216" s="393"/>
      <c r="AM216" s="682"/>
      <c r="AN216" s="682"/>
      <c r="AO216" s="682"/>
      <c r="AP216" s="682"/>
      <c r="AQ216" s="682"/>
      <c r="AR216" s="682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4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5">+I217/6*7</f>
        <v>4.1319395833333337</v>
      </c>
      <c r="O217" s="1044"/>
      <c r="P217" s="5"/>
      <c r="Q217" s="1004">
        <f t="shared" ref="Q217" si="76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77">+V217-U217</f>
        <v>48</v>
      </c>
      <c r="X217" s="241">
        <f>+J157+T157+AD157+J178+T178+AD178</f>
        <v>0</v>
      </c>
      <c r="Z217" s="252"/>
      <c r="AA217" s="394"/>
      <c r="AB217" s="389"/>
      <c r="AC217" s="681"/>
      <c r="AD217" s="681"/>
      <c r="AE217" s="386"/>
      <c r="AF217" s="386"/>
      <c r="AG217" s="393"/>
      <c r="AH217" s="393"/>
      <c r="AI217" s="682"/>
      <c r="AJ217" s="682"/>
      <c r="AK217" s="682"/>
      <c r="AL217" s="682"/>
      <c r="AM217" s="682"/>
      <c r="AN217" s="682"/>
      <c r="AO217" s="682"/>
      <c r="AP217" s="682"/>
      <c r="AQ217" s="682"/>
      <c r="AR217" s="682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4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681"/>
      <c r="AC218" s="681"/>
      <c r="AD218" s="681">
        <v>200</v>
      </c>
      <c r="AE218" s="386"/>
      <c r="AF218" s="1023">
        <f>+AD218/6</f>
        <v>33.333333333333336</v>
      </c>
      <c r="AG218" s="1023"/>
      <c r="AH218" s="1023"/>
      <c r="AI218" s="682"/>
      <c r="AJ218" s="682"/>
      <c r="AK218" s="682"/>
      <c r="AL218" s="682"/>
      <c r="AM218" s="682"/>
      <c r="AN218" s="682"/>
      <c r="AO218" s="682"/>
      <c r="AP218" s="682"/>
      <c r="AQ218" s="682"/>
      <c r="AR218" s="682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4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78">+V219-U219</f>
        <v>48</v>
      </c>
      <c r="X219" s="241">
        <f>+J158+T158+AD158+J179+T179+AD179</f>
        <v>0</v>
      </c>
      <c r="Y219" s="248"/>
      <c r="Z219" s="681"/>
      <c r="AA219" s="681"/>
      <c r="AB219" s="681"/>
      <c r="AC219" s="681"/>
      <c r="AG219" s="682"/>
      <c r="AH219" s="682"/>
      <c r="AI219" s="386"/>
      <c r="AJ219" s="386"/>
      <c r="AK219" s="680"/>
      <c r="AL219" s="680"/>
      <c r="AM219" s="680"/>
      <c r="AN219" s="680"/>
      <c r="AO219" s="680"/>
      <c r="AP219" s="680"/>
      <c r="AQ219" s="680"/>
      <c r="AR219" s="680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4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79">+I220/6*7</f>
        <v>11.423610416666666</v>
      </c>
      <c r="O220" s="1020"/>
      <c r="P220" s="5"/>
      <c r="Q220" s="1004">
        <f t="shared" ref="Q220" si="80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78"/>
        <v>48</v>
      </c>
      <c r="X220" s="241">
        <f>+J162+T162+AD162+J183+T183+AD183</f>
        <v>0</v>
      </c>
      <c r="Z220" s="246"/>
      <c r="AA220" s="246"/>
      <c r="AB220" s="681"/>
      <c r="AC220" s="681"/>
      <c r="AD220" s="681"/>
      <c r="AE220" s="386"/>
      <c r="AF220" s="386"/>
      <c r="AG220" s="682"/>
      <c r="AH220" s="682"/>
      <c r="AI220" s="682"/>
      <c r="AJ220" s="682"/>
      <c r="AK220" s="682"/>
      <c r="AL220" s="682"/>
      <c r="AM220" s="682"/>
      <c r="AN220" s="682"/>
      <c r="AO220" s="682"/>
      <c r="AP220" s="682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683"/>
      <c r="E223" s="304"/>
      <c r="F223" s="305"/>
      <c r="G223" s="683"/>
      <c r="H223" s="683"/>
      <c r="I223" s="305"/>
      <c r="J223" s="683"/>
      <c r="K223" s="306"/>
      <c r="L223" s="306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1">+I227+L227+O227</f>
        <v>33.762</v>
      </c>
      <c r="S227" s="1001"/>
      <c r="T227" s="1001"/>
      <c r="U227" s="961">
        <f t="shared" ref="U227:U234" si="82">+I227*7+(L227+O227)*6</f>
        <v>233.334</v>
      </c>
      <c r="V227" s="961"/>
      <c r="W227" s="962"/>
      <c r="X227" s="963">
        <f t="shared" ref="X227:X234" si="83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1"/>
        <v>28.762</v>
      </c>
      <c r="S228" s="998"/>
      <c r="T228" s="998"/>
      <c r="U228" s="953">
        <f t="shared" si="82"/>
        <v>198.334</v>
      </c>
      <c r="V228" s="953"/>
      <c r="W228" s="954"/>
      <c r="X228" s="947">
        <f t="shared" si="83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4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41.5</v>
      </c>
      <c r="S229" s="998"/>
      <c r="T229" s="998"/>
      <c r="U229" s="953">
        <f t="shared" si="82"/>
        <v>287.5</v>
      </c>
      <c r="V229" s="953"/>
      <c r="W229" s="954"/>
      <c r="X229" s="947">
        <f t="shared" si="83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36.799999999999997</v>
      </c>
      <c r="S232" s="998"/>
      <c r="T232" s="998"/>
      <c r="U232" s="953">
        <f t="shared" si="82"/>
        <v>254.59999999999997</v>
      </c>
      <c r="V232" s="953"/>
      <c r="W232" s="954"/>
      <c r="X232" s="947">
        <f t="shared" si="83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41.5</v>
      </c>
      <c r="S233" s="998"/>
      <c r="T233" s="998"/>
      <c r="U233" s="953">
        <f t="shared" si="82"/>
        <v>287.5</v>
      </c>
      <c r="V233" s="953"/>
      <c r="W233" s="954"/>
      <c r="X233" s="947">
        <f t="shared" si="83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37.095199999999998</v>
      </c>
      <c r="S234" s="998"/>
      <c r="T234" s="998"/>
      <c r="U234" s="953">
        <f t="shared" si="82"/>
        <v>256.66639999999995</v>
      </c>
      <c r="V234" s="953"/>
      <c r="W234" s="954"/>
      <c r="X234" s="947">
        <f t="shared" si="83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682"/>
      <c r="AF243" s="682"/>
      <c r="AG243" s="386"/>
      <c r="AH243" s="386"/>
      <c r="AI243" s="386"/>
      <c r="AJ243" s="682"/>
      <c r="AK243" s="682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682"/>
      <c r="AF244" s="682"/>
      <c r="AG244" s="386"/>
      <c r="AH244" s="386"/>
      <c r="AI244" s="386"/>
      <c r="AJ244" s="682"/>
      <c r="AK244" s="682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682"/>
      <c r="AF246" s="682"/>
      <c r="AG246" s="386"/>
      <c r="AH246" s="386"/>
      <c r="AI246" s="386"/>
      <c r="AJ246" s="682"/>
      <c r="AK246" s="682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682"/>
      <c r="AF249" s="682"/>
      <c r="AG249" s="386"/>
      <c r="AH249" s="386"/>
      <c r="AI249" s="386"/>
      <c r="AJ249" s="682"/>
      <c r="AK249" s="682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680"/>
      <c r="AM251" s="682"/>
      <c r="AN251" s="680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683"/>
      <c r="E260" s="304"/>
      <c r="F260" s="305"/>
      <c r="G260" s="683"/>
      <c r="H260" s="683"/>
      <c r="I260" s="305"/>
      <c r="J260" s="683"/>
      <c r="K260" s="306"/>
      <c r="L260" s="306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5">+I264+L264+O264</f>
        <v>41.5</v>
      </c>
      <c r="S264" s="960"/>
      <c r="T264" s="960"/>
      <c r="U264" s="961">
        <f t="shared" ref="U264:U270" si="86">+I264*7+(L264+O264)*6</f>
        <v>287.5</v>
      </c>
      <c r="V264" s="961"/>
      <c r="W264" s="962"/>
      <c r="X264" s="963">
        <f t="shared" ref="X264:X270" si="87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88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5"/>
        <v>41.5</v>
      </c>
      <c r="S265" s="938"/>
      <c r="T265" s="938"/>
      <c r="U265" s="953">
        <f t="shared" si="86"/>
        <v>287.5</v>
      </c>
      <c r="V265" s="953"/>
      <c r="W265" s="954"/>
      <c r="X265" s="947">
        <f t="shared" si="87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88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88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38</v>
      </c>
      <c r="S267" s="938"/>
      <c r="T267" s="938"/>
      <c r="U267" s="953">
        <f t="shared" si="86"/>
        <v>263</v>
      </c>
      <c r="V267" s="953"/>
      <c r="W267" s="954"/>
      <c r="X267" s="947">
        <f t="shared" si="87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88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36.799999999999997</v>
      </c>
      <c r="S268" s="938"/>
      <c r="T268" s="938"/>
      <c r="U268" s="953">
        <f t="shared" si="86"/>
        <v>254.59999999999997</v>
      </c>
      <c r="V268" s="953"/>
      <c r="W268" s="954"/>
      <c r="X268" s="947">
        <f t="shared" si="87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88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88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29</v>
      </c>
      <c r="S270" s="938"/>
      <c r="T270" s="938"/>
      <c r="U270" s="953">
        <f t="shared" si="86"/>
        <v>200</v>
      </c>
      <c r="V270" s="953"/>
      <c r="W270" s="954"/>
      <c r="X270" s="947">
        <f t="shared" si="87"/>
        <v>857.14285714285722</v>
      </c>
      <c r="Y270" s="948"/>
      <c r="Z270" s="949"/>
      <c r="AA270" s="935">
        <v>25</v>
      </c>
      <c r="AB270" s="936"/>
      <c r="AC270" s="936"/>
      <c r="AD270" s="937">
        <f t="shared" si="88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373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372" priority="27" stopIfTrue="1" operator="greaterThanOrEqual">
      <formula>$K$72</formula>
    </cfRule>
  </conditionalFormatting>
  <conditionalFormatting sqref="AR48:AT48 AR46:AT46 AP56:AT57 AR60:AS60 AR43:AS45 AR32:AS32 AR33:AR42 AP22:AT26 AT19:AT21 AP19:AP21 AR19:AR21 AT5 AP11:AT18 AQ20:AQ21 AS20:AS21">
    <cfRule type="cellIs" dxfId="371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370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369" priority="24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AE42:AE43 U42:U45 V43:V44 U32:V32 U25:V26 K25:L26 AE32:AF32 AE25:AF26 U24 K22:L23 K24 K32:L32 U22:V23 U33:U40 AE33:AE40 K33:K43 AE14:AF14 K11:L11 AE11:AE13 U11:V11 K17:L17 V17 K12:K16 U12:U21 K18:K21 AO11:AO26 AE15:AE24">
    <cfRule type="cellIs" dxfId="368" priority="23" stopIfTrue="1" operator="lessThanOrEqual">
      <formula>0</formula>
    </cfRule>
  </conditionalFormatting>
  <conditionalFormatting sqref="Z49:AA53 Z61:AA66 W85:X85 W74:X83">
    <cfRule type="cellIs" dxfId="367" priority="22" stopIfTrue="1" operator="lessThan">
      <formula>0</formula>
    </cfRule>
  </conditionalFormatting>
  <conditionalFormatting sqref="X49:X53 X61:X66 U85 U74:U83">
    <cfRule type="cellIs" dxfId="366" priority="21" stopIfTrue="1" operator="greaterThan">
      <formula>48</formula>
    </cfRule>
  </conditionalFormatting>
  <conditionalFormatting sqref="C275:C279 C287:D290 C158:D158 D275:D286 C86:D141">
    <cfRule type="cellIs" dxfId="365" priority="20" stopIfTrue="1" operator="lessThan">
      <formula>$C$71</formula>
    </cfRule>
  </conditionalFormatting>
  <conditionalFormatting sqref="AI60:AO60 AI32:AO48">
    <cfRule type="cellIs" dxfId="364" priority="18" stopIfTrue="1" operator="equal">
      <formula>0</formula>
    </cfRule>
    <cfRule type="cellIs" dxfId="363" priority="19" stopIfTrue="1" operator="lessThan">
      <formula>0</formula>
    </cfRule>
  </conditionalFormatting>
  <conditionalFormatting sqref="AT60 AT32:AT45">
    <cfRule type="cellIs" dxfId="362" priority="16" stopIfTrue="1" operator="greaterThan">
      <formula>0</formula>
    </cfRule>
    <cfRule type="cellIs" dxfId="361" priority="17" stopIfTrue="1" operator="lessThan">
      <formula>1</formula>
    </cfRule>
  </conditionalFormatting>
  <conditionalFormatting sqref="K84:L84 K71:L81">
    <cfRule type="cellIs" dxfId="360" priority="15" stopIfTrue="1" operator="greaterThanOrEqual">
      <formula>$K$69</formula>
    </cfRule>
  </conditionalFormatting>
  <conditionalFormatting sqref="AF56:AF57 AF33:AF45 V32:V45 L32:L45 L12:L24 V12:V24 AF11:AF24">
    <cfRule type="cellIs" dxfId="359" priority="13" stopIfTrue="1" operator="equal">
      <formula>0</formula>
    </cfRule>
    <cfRule type="cellIs" dxfId="358" priority="14" stopIfTrue="1" operator="lessThan">
      <formula>0</formula>
    </cfRule>
  </conditionalFormatting>
  <conditionalFormatting sqref="K198:L240">
    <cfRule type="cellIs" dxfId="357" priority="12" stopIfTrue="1" operator="greaterThanOrEqual">
      <formula>$K$72</formula>
    </cfRule>
  </conditionalFormatting>
  <conditionalFormatting sqref="K240:L240">
    <cfRule type="cellIs" dxfId="356" priority="11" stopIfTrue="1" operator="greaterThanOrEqual">
      <formula>$K$72</formula>
    </cfRule>
  </conditionalFormatting>
  <conditionalFormatting sqref="C240:D240">
    <cfRule type="cellIs" dxfId="355" priority="10" stopIfTrue="1" operator="lessThan">
      <formula>$C$71</formula>
    </cfRule>
  </conditionalFormatting>
  <conditionalFormatting sqref="AP199:AP202">
    <cfRule type="cellIs" dxfId="354" priority="9" stopIfTrue="1" operator="lessThanOrEqual">
      <formula>0</formula>
    </cfRule>
  </conditionalFormatting>
  <conditionalFormatting sqref="K220:L221 L214:L216 K214:K218">
    <cfRule type="cellIs" dxfId="353" priority="8" stopIfTrue="1" operator="greaterThanOrEqual">
      <formula>$K$72</formula>
    </cfRule>
  </conditionalFormatting>
  <conditionalFormatting sqref="P199:P201">
    <cfRule type="cellIs" dxfId="352" priority="7" stopIfTrue="1" operator="lessThanOrEqual">
      <formula>0</formula>
    </cfRule>
  </conditionalFormatting>
  <conditionalFormatting sqref="S199:S201">
    <cfRule type="cellIs" dxfId="351" priority="6" stopIfTrue="1" operator="lessThanOrEqual">
      <formula>0</formula>
    </cfRule>
  </conditionalFormatting>
  <conditionalFormatting sqref="U199:V201">
    <cfRule type="cellIs" dxfId="350" priority="5" stopIfTrue="1" operator="lessThanOrEqual">
      <formula>0</formula>
    </cfRule>
  </conditionalFormatting>
  <conditionalFormatting sqref="Z199:AA201 W220:X220 W209:X218">
    <cfRule type="cellIs" dxfId="349" priority="4" stopIfTrue="1" operator="lessThan">
      <formula>0</formula>
    </cfRule>
  </conditionalFormatting>
  <conditionalFormatting sqref="X199:X201 U220 U209:U218">
    <cfRule type="cellIs" dxfId="348" priority="3" stopIfTrue="1" operator="greaterThan">
      <formula>48</formula>
    </cfRule>
  </conditionalFormatting>
  <conditionalFormatting sqref="C221:D221">
    <cfRule type="cellIs" dxfId="347" priority="2" stopIfTrue="1" operator="lessThan">
      <formula>$C$71</formula>
    </cfRule>
  </conditionalFormatting>
  <conditionalFormatting sqref="K219:L219 K206:L216">
    <cfRule type="cellIs" dxfId="346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K37 AT42 AF16" formula="1"/>
  </ignoredErrors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E34" sqref="E34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657" customWidth="1"/>
    <col min="5" max="5" width="4.28515625" style="3" customWidth="1"/>
    <col min="6" max="6" width="4.28515625" style="4" customWidth="1"/>
    <col min="7" max="8" width="4.28515625" style="657" customWidth="1"/>
    <col min="9" max="9" width="4.28515625" style="4" customWidth="1"/>
    <col min="10" max="10" width="4.28515625" style="657" customWidth="1"/>
    <col min="11" max="12" width="4.28515625" style="5" customWidth="1"/>
    <col min="13" max="26" width="4.28515625" style="657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43201</v>
      </c>
      <c r="C1" s="657" t="s">
        <v>0</v>
      </c>
      <c r="AN1" s="7"/>
      <c r="AO1" s="7"/>
      <c r="AR1" s="1340">
        <f>+AR46+AT46</f>
        <v>153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43202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657">
        <v>0</v>
      </c>
    </row>
    <row r="5" spans="1:58" ht="10.9" customHeight="1">
      <c r="B5" s="1244" t="s">
        <v>1</v>
      </c>
      <c r="C5" s="1140">
        <v>43195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43196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43197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43198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43195</v>
      </c>
      <c r="AW7" s="1296">
        <f>+M5</f>
        <v>43196</v>
      </c>
      <c r="AX7" s="1296">
        <f>+W5</f>
        <v>43197</v>
      </c>
      <c r="AY7" s="1309">
        <f>+AG5</f>
        <v>43198</v>
      </c>
      <c r="AZ7" s="1296">
        <f>+C26</f>
        <v>43199</v>
      </c>
      <c r="BA7" s="1296">
        <f>+M26</f>
        <v>43200</v>
      </c>
      <c r="BB7" s="1296">
        <f>+W26</f>
        <v>43201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7</v>
      </c>
      <c r="D11" s="335">
        <v>15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-1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9</v>
      </c>
      <c r="AF11" s="20">
        <f>IF(W11&gt;0,IF(AE$5&gt;0,(Z11+AC11)*2,(Z11+AC11-8)),0)*IF(Z11&lt;9,IF(AE$5&gt;0,1,2),1)+IF(Z11&gt;8,AC11,0)</f>
        <v>-2</v>
      </c>
      <c r="AG11" s="337">
        <v>8</v>
      </c>
      <c r="AH11" s="337">
        <v>16</v>
      </c>
      <c r="AI11" s="23">
        <v>1</v>
      </c>
      <c r="AJ11" s="24">
        <f t="shared" ref="AJ11:AJ24" si="12">+AH11-AG11-AI11</f>
        <v>7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14</v>
      </c>
      <c r="AP11" s="1297">
        <f t="shared" ref="AP11:AP24" si="15">+L11+V11+AF11+AO11+L32+V32+AF32-AN11</f>
        <v>9</v>
      </c>
      <c r="AQ11" s="1298"/>
      <c r="AR11" s="1299">
        <f t="shared" ref="AR11:AR20" si="16">ROUND(BD11*AP11,1)</f>
        <v>40.9</v>
      </c>
      <c r="AS11" s="1300"/>
      <c r="AT11" s="338">
        <f t="shared" ref="AT11:AT24" si="17">IF(AT32&gt;0,AT32*$AT$10,0)</f>
        <v>28</v>
      </c>
      <c r="AV11" s="26">
        <f t="shared" ref="AV11:AV20" si="18">+L11</f>
        <v>-1</v>
      </c>
      <c r="AW11" s="26">
        <f t="shared" ref="AW11:AW20" si="19">+V11</f>
        <v>-1</v>
      </c>
      <c r="AX11" s="26">
        <f t="shared" ref="AX11:AX20" si="20">+AF11</f>
        <v>-2</v>
      </c>
      <c r="AY11" s="27">
        <f t="shared" ref="AY11:AY20" si="21">+AO11</f>
        <v>14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40.917857142857137</v>
      </c>
      <c r="BF11" s="341">
        <f t="shared" ref="BF11:BF20" si="27">+BD11*AY11</f>
        <v>63.649999999999991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16</v>
      </c>
      <c r="E12" s="30">
        <v>1</v>
      </c>
      <c r="F12" s="31">
        <f t="shared" si="1"/>
        <v>8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0</v>
      </c>
      <c r="M12" s="661">
        <v>7</v>
      </c>
      <c r="N12" s="342">
        <v>17</v>
      </c>
      <c r="O12" s="30">
        <v>1</v>
      </c>
      <c r="P12" s="31">
        <f t="shared" si="5"/>
        <v>9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1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48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32</v>
      </c>
      <c r="AQ12" s="1283"/>
      <c r="AR12" s="1284">
        <f t="shared" si="16"/>
        <v>164.3</v>
      </c>
      <c r="AS12" s="1285"/>
      <c r="AT12" s="345">
        <f t="shared" si="17"/>
        <v>24</v>
      </c>
      <c r="AV12" s="26">
        <f t="shared" si="18"/>
        <v>0</v>
      </c>
      <c r="AW12" s="26">
        <f t="shared" si="19"/>
        <v>1</v>
      </c>
      <c r="AX12" s="26">
        <f t="shared" si="20"/>
        <v>0</v>
      </c>
      <c r="AY12" s="27">
        <f t="shared" si="21"/>
        <v>0</v>
      </c>
      <c r="AZ12" s="26">
        <f t="shared" si="22"/>
        <v>14</v>
      </c>
      <c r="BA12" s="26">
        <f t="shared" si="23"/>
        <v>4</v>
      </c>
      <c r="BB12" s="26">
        <f t="shared" si="24"/>
        <v>13</v>
      </c>
      <c r="BC12" s="28"/>
      <c r="BD12" s="339">
        <f t="shared" si="25"/>
        <v>5.1339285714285712</v>
      </c>
      <c r="BE12" s="340">
        <f t="shared" si="26"/>
        <v>164.28571428571428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661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3"/>
        <v>0</v>
      </c>
      <c r="AN13" s="43"/>
      <c r="AO13" s="40">
        <f t="shared" si="14"/>
        <v>16</v>
      </c>
      <c r="AP13" s="1282">
        <f t="shared" si="15"/>
        <v>18</v>
      </c>
      <c r="AQ13" s="1283"/>
      <c r="AR13" s="1284">
        <f t="shared" si="16"/>
        <v>92.4</v>
      </c>
      <c r="AS13" s="1285"/>
      <c r="AT13" s="345">
        <f t="shared" si="17"/>
        <v>24</v>
      </c>
      <c r="AV13" s="26">
        <f t="shared" si="18"/>
        <v>0</v>
      </c>
      <c r="AW13" s="26">
        <f t="shared" si="19"/>
        <v>0</v>
      </c>
      <c r="AX13" s="26">
        <f t="shared" si="20"/>
        <v>0</v>
      </c>
      <c r="AY13" s="27">
        <f t="shared" si="21"/>
        <v>16</v>
      </c>
      <c r="AZ13" s="26">
        <f t="shared" si="22"/>
        <v>0</v>
      </c>
      <c r="BA13" s="26">
        <f t="shared" si="23"/>
        <v>0</v>
      </c>
      <c r="BB13" s="26">
        <f t="shared" si="24"/>
        <v>2</v>
      </c>
      <c r="BC13" s="28"/>
      <c r="BD13" s="339">
        <f t="shared" si="25"/>
        <v>5.1339285714285712</v>
      </c>
      <c r="BE13" s="340">
        <f t="shared" si="26"/>
        <v>92.410714285714278</v>
      </c>
      <c r="BF13" s="341">
        <f t="shared" si="27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/>
      <c r="D14" s="346"/>
      <c r="E14" s="42"/>
      <c r="F14" s="44">
        <f t="shared" si="1"/>
        <v>0</v>
      </c>
      <c r="G14" s="346"/>
      <c r="H14" s="346"/>
      <c r="I14" s="44">
        <f t="shared" si="2"/>
        <v>0</v>
      </c>
      <c r="J14" s="42"/>
      <c r="K14" s="45">
        <f t="shared" si="3"/>
        <v>0</v>
      </c>
      <c r="L14" s="20">
        <f t="shared" si="4"/>
        <v>0</v>
      </c>
      <c r="M14" s="347"/>
      <c r="N14" s="346"/>
      <c r="O14" s="42"/>
      <c r="P14" s="44">
        <f t="shared" si="5"/>
        <v>0</v>
      </c>
      <c r="Q14" s="346"/>
      <c r="R14" s="348"/>
      <c r="S14" s="44">
        <f t="shared" si="6"/>
        <v>0</v>
      </c>
      <c r="T14" s="42"/>
      <c r="U14" s="45">
        <f t="shared" si="7"/>
        <v>0</v>
      </c>
      <c r="V14" s="20">
        <f t="shared" si="8"/>
        <v>0</v>
      </c>
      <c r="W14" s="347"/>
      <c r="X14" s="346"/>
      <c r="Y14" s="42"/>
      <c r="Z14" s="44">
        <f t="shared" si="9"/>
        <v>0</v>
      </c>
      <c r="AA14" s="344"/>
      <c r="AB14" s="344"/>
      <c r="AC14" s="36">
        <f t="shared" si="10"/>
        <v>0</v>
      </c>
      <c r="AD14" s="42"/>
      <c r="AE14" s="45">
        <f t="shared" si="11"/>
        <v>0</v>
      </c>
      <c r="AF14" s="20">
        <f>IF(W14&gt;0,IF(AE$5&gt;0,(Z14+AC14)*2,(Z14+AC14-8)),0)*IF(Z14&lt;9,IF(AE$5&gt;0,1,2),1)+IF(Z14&gt;8,AC14,0)</f>
        <v>0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22</v>
      </c>
      <c r="AQ14" s="1283"/>
      <c r="AR14" s="1284">
        <f t="shared" si="16"/>
        <v>91.7</v>
      </c>
      <c r="AS14" s="1285"/>
      <c r="AT14" s="345">
        <f t="shared" si="17"/>
        <v>12</v>
      </c>
      <c r="AV14" s="26">
        <f t="shared" si="18"/>
        <v>0</v>
      </c>
      <c r="AW14" s="26">
        <f t="shared" si="19"/>
        <v>0</v>
      </c>
      <c r="AX14" s="26">
        <f t="shared" si="20"/>
        <v>0</v>
      </c>
      <c r="AY14" s="27">
        <f t="shared" si="21"/>
        <v>0</v>
      </c>
      <c r="AZ14" s="26">
        <f t="shared" si="22"/>
        <v>14</v>
      </c>
      <c r="BA14" s="26">
        <f t="shared" si="23"/>
        <v>4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91.666928571428571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661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>
        <v>0.5</v>
      </c>
      <c r="AC15" s="31">
        <f t="shared" si="10"/>
        <v>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6</v>
      </c>
      <c r="AQ15" s="1295"/>
      <c r="AR15" s="1284">
        <f t="shared" si="16"/>
        <v>30.8</v>
      </c>
      <c r="AS15" s="1285"/>
      <c r="AT15" s="345">
        <f t="shared" si="17"/>
        <v>24</v>
      </c>
      <c r="AV15" s="26">
        <f t="shared" si="18"/>
        <v>1</v>
      </c>
      <c r="AW15" s="26">
        <f t="shared" si="19"/>
        <v>0</v>
      </c>
      <c r="AX15" s="26">
        <f t="shared" si="20"/>
        <v>-1</v>
      </c>
      <c r="AY15" s="27">
        <f t="shared" si="21"/>
        <v>0</v>
      </c>
      <c r="AZ15" s="26">
        <f t="shared" si="22"/>
        <v>1</v>
      </c>
      <c r="BA15" s="26">
        <f t="shared" si="23"/>
        <v>4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30.803571428571427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/>
      <c r="D16" s="342"/>
      <c r="E16" s="30"/>
      <c r="F16" s="31">
        <f>+D16-C16-E16</f>
        <v>0</v>
      </c>
      <c r="G16" s="342"/>
      <c r="H16" s="342"/>
      <c r="I16" s="31">
        <f>+H16-G16</f>
        <v>0</v>
      </c>
      <c r="J16" s="30"/>
      <c r="K16" s="32">
        <f>+I16+F16-L16</f>
        <v>0</v>
      </c>
      <c r="L16" s="20">
        <f>IF(C16&gt;0,(F16+I16)+IF(K$5&gt;0,F16,-8),0)+IF(U$5&gt;0,I16,0)</f>
        <v>0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/>
      <c r="X16" s="346"/>
      <c r="Y16" s="42"/>
      <c r="Z16" s="44">
        <f>+X16-W16-Y16</f>
        <v>0</v>
      </c>
      <c r="AA16" s="47"/>
      <c r="AB16" s="53"/>
      <c r="AC16" s="31">
        <f>+AB16-AA16</f>
        <v>0</v>
      </c>
      <c r="AD16" s="30"/>
      <c r="AE16" s="32">
        <f>+AC16+Z16-IF(AE$5&gt;0,AF16/2,AF16)</f>
        <v>0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16</v>
      </c>
      <c r="O18" s="30">
        <v>1</v>
      </c>
      <c r="P18" s="31">
        <f>+N18-M18-O18</f>
        <v>8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0</v>
      </c>
      <c r="W18" s="30">
        <v>7</v>
      </c>
      <c r="X18" s="342">
        <v>16</v>
      </c>
      <c r="Y18" s="30">
        <v>1</v>
      </c>
      <c r="Z18" s="31">
        <f>+X18-W18-Y18</f>
        <v>8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0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>
        <v>8</v>
      </c>
      <c r="AO18" s="40">
        <f>(AJ18*2+AM18)</f>
        <v>16</v>
      </c>
      <c r="AP18" s="1282">
        <f t="shared" si="15"/>
        <v>14</v>
      </c>
      <c r="AQ18" s="1283"/>
      <c r="AR18" s="1284">
        <f t="shared" si="16"/>
        <v>49.6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0</v>
      </c>
      <c r="AX18" s="26">
        <f t="shared" si="20"/>
        <v>0</v>
      </c>
      <c r="AY18" s="27">
        <f t="shared" si="21"/>
        <v>16</v>
      </c>
      <c r="AZ18" s="26">
        <f t="shared" si="22"/>
        <v>0</v>
      </c>
      <c r="BA18" s="26">
        <f t="shared" si="23"/>
        <v>2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49.583325000000002</v>
      </c>
      <c r="BF18" s="350">
        <f t="shared" si="27"/>
        <v>56.666657142857147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659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>Eddie Uchupe C.</v>
      </c>
      <c r="C21" s="520">
        <v>7</v>
      </c>
      <c r="D21" s="516">
        <v>16</v>
      </c>
      <c r="E21" s="516">
        <v>1</v>
      </c>
      <c r="F21" s="517">
        <f>+D21-C21-E21</f>
        <v>8</v>
      </c>
      <c r="G21" s="516"/>
      <c r="H21" s="516"/>
      <c r="I21" s="517">
        <f>+H21-G21</f>
        <v>0</v>
      </c>
      <c r="J21" s="516"/>
      <c r="K21" s="517">
        <f>+I21+F21-L21</f>
        <v>8</v>
      </c>
      <c r="L21" s="518">
        <f t="shared" si="4"/>
        <v>0</v>
      </c>
      <c r="M21" s="660">
        <v>7</v>
      </c>
      <c r="N21" s="516">
        <v>16</v>
      </c>
      <c r="O21" s="516">
        <v>1</v>
      </c>
      <c r="P21" s="517">
        <f>+N21-M21-O21</f>
        <v>8</v>
      </c>
      <c r="Q21" s="516"/>
      <c r="R21" s="516"/>
      <c r="S21" s="517">
        <f>+R21-Q21</f>
        <v>0</v>
      </c>
      <c r="T21" s="516"/>
      <c r="U21" s="517">
        <f>+S21+P21-V21</f>
        <v>8</v>
      </c>
      <c r="V21" s="518">
        <f>IF(M21&gt;0,(P21+S21)+IF(U$5&gt;0,P21,-8),0)+IF(AE$5&gt;0,S21,0)</f>
        <v>0</v>
      </c>
      <c r="W21" s="516">
        <v>7</v>
      </c>
      <c r="X21" s="516">
        <v>16</v>
      </c>
      <c r="Y21" s="516">
        <v>1</v>
      </c>
      <c r="Z21" s="517">
        <f>+X21-W21-Y21</f>
        <v>8</v>
      </c>
      <c r="AA21" s="516"/>
      <c r="AB21" s="534"/>
      <c r="AC21" s="517">
        <f>+AB21-AA21</f>
        <v>0</v>
      </c>
      <c r="AD21" s="516"/>
      <c r="AE21" s="517">
        <f>+AC21+Z21-IF(AE$5&gt;0,AF21/2,AF21)</f>
        <v>8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0</v>
      </c>
      <c r="AQ21" s="1275"/>
      <c r="AR21" s="1276">
        <f>ROUND(BD21*AP21,1)</f>
        <v>0</v>
      </c>
      <c r="AS21" s="1277"/>
      <c r="AT21" s="537">
        <f t="shared" si="17"/>
        <v>12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4.583328571428571</v>
      </c>
      <c r="BE21" s="539">
        <f>+BD21*AP21</f>
        <v>0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460">
        <f>+I22+F22-L22</f>
        <v>8</v>
      </c>
      <c r="L22" s="461">
        <f t="shared" si="4"/>
        <v>2</v>
      </c>
      <c r="M22" s="658">
        <v>7</v>
      </c>
      <c r="N22" s="459">
        <v>17</v>
      </c>
      <c r="O22" s="459">
        <v>1</v>
      </c>
      <c r="P22" s="460">
        <f>+N22-M22-O22</f>
        <v>9</v>
      </c>
      <c r="Q22" s="459"/>
      <c r="R22" s="459"/>
      <c r="S22" s="460">
        <f>+R22-Q22</f>
        <v>0</v>
      </c>
      <c r="T22" s="459"/>
      <c r="U22" s="460">
        <f>+S22+P22-V22</f>
        <v>8</v>
      </c>
      <c r="V22" s="461">
        <f>IF(M22&gt;0,(P22+S22)+IF(U$5&gt;0,P22,-8),0)+IF(AE$5&gt;0,S22,0)</f>
        <v>1</v>
      </c>
      <c r="W22" s="459">
        <v>7</v>
      </c>
      <c r="X22" s="459">
        <v>16</v>
      </c>
      <c r="Y22" s="459">
        <v>1</v>
      </c>
      <c r="Z22" s="460">
        <f>+X22-W22-Y22</f>
        <v>8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0</v>
      </c>
      <c r="AG22" s="459"/>
      <c r="AH22" s="459"/>
      <c r="AI22" s="459"/>
      <c r="AJ22" s="464">
        <f t="shared" si="12"/>
        <v>0</v>
      </c>
      <c r="AK22" s="459"/>
      <c r="AL22" s="459"/>
      <c r="AM22" s="460">
        <f>+AL22-AK22</f>
        <v>0</v>
      </c>
      <c r="AN22" s="459"/>
      <c r="AO22" s="465">
        <f>(AJ22*2+AM22)</f>
        <v>0</v>
      </c>
      <c r="AP22" s="1290">
        <f t="shared" si="15"/>
        <v>9</v>
      </c>
      <c r="AQ22" s="1291"/>
      <c r="AR22" s="1292">
        <f>ROUND(BD22*AP22,1)</f>
        <v>31.9</v>
      </c>
      <c r="AS22" s="1293"/>
      <c r="AT22" s="488">
        <f t="shared" si="17"/>
        <v>24</v>
      </c>
      <c r="AV22" s="69">
        <f>+L22</f>
        <v>2</v>
      </c>
      <c r="AW22" s="69">
        <f>+V22</f>
        <v>1</v>
      </c>
      <c r="AX22" s="69">
        <f>+AF22</f>
        <v>0</v>
      </c>
      <c r="AY22" s="70">
        <f>+AO22</f>
        <v>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3.5416625000000002</v>
      </c>
      <c r="BE22" s="351">
        <f>+BD22*AP22</f>
        <v>31.874962500000002</v>
      </c>
      <c r="BF22" s="352">
        <f>+BD22*AY22</f>
        <v>0</v>
      </c>
    </row>
    <row r="23" spans="1:58" s="55" customFormat="1" ht="14.1" customHeight="1">
      <c r="A23" s="50"/>
      <c r="B23" s="513" t="str">
        <f t="shared" si="0"/>
        <v xml:space="preserve">  -  .  -  </v>
      </c>
      <c r="C23" s="671"/>
      <c r="D23" s="672"/>
      <c r="E23" s="672"/>
      <c r="F23" s="673">
        <f>+D23-C23-E23</f>
        <v>0</v>
      </c>
      <c r="G23" s="672"/>
      <c r="H23" s="672"/>
      <c r="I23" s="673">
        <f>+H23-G23</f>
        <v>0</v>
      </c>
      <c r="J23" s="672"/>
      <c r="K23" s="673">
        <f>+I23+F23-L23</f>
        <v>0</v>
      </c>
      <c r="L23" s="674">
        <f t="shared" si="4"/>
        <v>0</v>
      </c>
      <c r="M23" s="675"/>
      <c r="N23" s="672"/>
      <c r="O23" s="672"/>
      <c r="P23" s="673">
        <f>+N23-M23-O23</f>
        <v>0</v>
      </c>
      <c r="Q23" s="672"/>
      <c r="R23" s="672"/>
      <c r="S23" s="673">
        <f>+R23-Q23</f>
        <v>0</v>
      </c>
      <c r="T23" s="672"/>
      <c r="U23" s="673">
        <f>+S23+P23-V23</f>
        <v>0</v>
      </c>
      <c r="V23" s="674">
        <f>IF(M23&gt;0,(P23+S23)+IF(U$5&gt;0,P23,-8),0)+IF(AE$5&gt;0,S23,0)</f>
        <v>0</v>
      </c>
      <c r="W23" s="672"/>
      <c r="X23" s="672"/>
      <c r="Y23" s="672"/>
      <c r="Z23" s="673">
        <f>+X23-W23-Y23</f>
        <v>0</v>
      </c>
      <c r="AA23" s="672"/>
      <c r="AB23" s="676"/>
      <c r="AC23" s="673">
        <f>+AB23-AA23</f>
        <v>0</v>
      </c>
      <c r="AD23" s="672"/>
      <c r="AE23" s="673">
        <f>+AC23+Z23-IF(AE$5&gt;0,AF23/2,AF23)</f>
        <v>0</v>
      </c>
      <c r="AF23" s="674">
        <f t="shared" si="28"/>
        <v>0</v>
      </c>
      <c r="AG23" s="672"/>
      <c r="AH23" s="672"/>
      <c r="AI23" s="672"/>
      <c r="AJ23" s="677">
        <f t="shared" si="12"/>
        <v>0</v>
      </c>
      <c r="AK23" s="672"/>
      <c r="AL23" s="672"/>
      <c r="AM23" s="673">
        <f>+AL23-AK23</f>
        <v>0</v>
      </c>
      <c r="AN23" s="678"/>
      <c r="AO23" s="679">
        <f>(AJ23*2+AM23)</f>
        <v>0</v>
      </c>
      <c r="AP23" s="1282">
        <f t="shared" si="15"/>
        <v>0</v>
      </c>
      <c r="AQ23" s="1283"/>
      <c r="AR23" s="1272">
        <f>ROUND(BD23*AP23,1)</f>
        <v>0</v>
      </c>
      <c r="AS23" s="1273"/>
      <c r="AT23" s="359">
        <f t="shared" si="17"/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0</v>
      </c>
      <c r="BA23" s="69">
        <f>+V44</f>
        <v>0</v>
      </c>
      <c r="BB23" s="69">
        <f>+AF44</f>
        <v>0</v>
      </c>
      <c r="BC23" s="54"/>
      <c r="BD23" s="339">
        <f>+I83</f>
        <v>4.1666625000000002</v>
      </c>
      <c r="BE23" s="351">
        <f>+BD23*AP23</f>
        <v>0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501.5430732142857</v>
      </c>
      <c r="BF25" s="1242">
        <f>SUM(BF11:BF24)</f>
        <v>202.45951428571431</v>
      </c>
    </row>
    <row r="26" spans="1:58" ht="10.9" customHeight="1">
      <c r="B26" s="1244" t="s">
        <v>1</v>
      </c>
      <c r="C26" s="1140">
        <f>1+AG5</f>
        <v>43199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43200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43201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43195</v>
      </c>
      <c r="AJ26" s="1218">
        <f t="shared" ref="AJ26:AO26" si="29">1+AI26</f>
        <v>43196</v>
      </c>
      <c r="AK26" s="1218">
        <f t="shared" si="29"/>
        <v>43197</v>
      </c>
      <c r="AL26" s="1219">
        <f t="shared" si="29"/>
        <v>43198</v>
      </c>
      <c r="AM26" s="1219">
        <f t="shared" si="29"/>
        <v>43199</v>
      </c>
      <c r="AN26" s="1220">
        <f t="shared" si="29"/>
        <v>43200</v>
      </c>
      <c r="AO26" s="1220">
        <f t="shared" si="29"/>
        <v>43201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43198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118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72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8</v>
      </c>
      <c r="N32" s="342">
        <v>17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 t="shared" ref="V32:V45" si="37">IF(M32&gt;0,(P32+S32)+IF(U$27&gt;0,P32,-8),0)+IF(AE$27&gt;0,S32,0)</f>
        <v>0</v>
      </c>
      <c r="W32" s="369">
        <v>8</v>
      </c>
      <c r="X32" s="370">
        <v>16</v>
      </c>
      <c r="Y32" s="108">
        <v>1</v>
      </c>
      <c r="Z32" s="109">
        <f t="shared" ref="Z32:Z45" si="38">+X32-W32-Y32</f>
        <v>7</v>
      </c>
      <c r="AA32" s="370"/>
      <c r="AB32" s="18"/>
      <c r="AC32" s="109">
        <f t="shared" ref="AC32:AC45" si="39">+AB32-AA32</f>
        <v>0</v>
      </c>
      <c r="AD32" s="108"/>
      <c r="AE32" s="110">
        <f t="shared" ref="AE32:AE45" si="40">+AC32+Z32-AF32</f>
        <v>8</v>
      </c>
      <c r="AF32" s="111">
        <f t="shared" ref="AF32:AF45" si="41">IF(W32&gt;0,(Z32+AC32)+IF(AE$26&gt;0,0+Z32,-8),0)</f>
        <v>-1</v>
      </c>
      <c r="AG32" s="55"/>
      <c r="AH32" s="112">
        <v>0</v>
      </c>
      <c r="AI32" s="113">
        <f t="shared" ref="AI32:AI45" si="42">+K11+(IF(ISBLANK($K$5),-8,0))</f>
        <v>0</v>
      </c>
      <c r="AJ32" s="113">
        <f t="shared" ref="AJ32:AJ45" si="43">IF(ISBLANK($U$5),-8,0)+U11</f>
        <v>0</v>
      </c>
      <c r="AK32" s="113">
        <f>IF(ISBLANK($AE$5),-8,0)+AE11</f>
        <v>1</v>
      </c>
      <c r="AL32" s="113">
        <f t="shared" ref="AL32:AL45" si="44">IF(ISBLANK($AO$5),-8,0)+AO11+AW32</f>
        <v>0</v>
      </c>
      <c r="AM32" s="113">
        <f t="shared" ref="AM32:AM45" si="45">IF(ISBLANK($K$26),-8,0)+K32</f>
        <v>0</v>
      </c>
      <c r="AN32" s="113">
        <f t="shared" ref="AN32:AN45" si="46">IF(ISBLANK($U$26),-8,0)+U32</f>
        <v>0</v>
      </c>
      <c r="AO32" s="113">
        <f t="shared" ref="AO32:AO45" si="47">IF(ISBLANK($AE$26),-8,0)+AE32</f>
        <v>0</v>
      </c>
      <c r="AP32" s="114">
        <f t="shared" ref="AP32:AP45" si="48">SUM(AH32:AO32)</f>
        <v>1</v>
      </c>
      <c r="AQ32" s="55"/>
      <c r="AR32" s="1159">
        <f t="shared" ref="AR32:AR38" si="49">+X71*Q71</f>
        <v>0</v>
      </c>
      <c r="AS32" s="1197"/>
      <c r="AT32" s="117">
        <f t="shared" ref="AT32:AT41" si="50">IF(K11+L11&gt;0,1,0)+IF(U11+V11&gt;0,1,0)+IF(AE11+AF11&gt;0,1,0)+IF(AO11&gt;3,1,0)+IF(K32+L32&gt;0,1,0)+IF(U32+V32&gt;0,1,0)+IF(AE32+AF32&gt;0,1,0)</f>
        <v>7</v>
      </c>
      <c r="AU32" s="55"/>
      <c r="AV32" s="55"/>
      <c r="AW32" s="1134">
        <v>-14</v>
      </c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24</v>
      </c>
      <c r="E33" s="30">
        <v>2</v>
      </c>
      <c r="F33" s="31">
        <f t="shared" si="31"/>
        <v>15</v>
      </c>
      <c r="G33" s="33">
        <v>0</v>
      </c>
      <c r="H33" s="346">
        <v>7</v>
      </c>
      <c r="I33" s="31">
        <f t="shared" si="32"/>
        <v>7</v>
      </c>
      <c r="J33" s="30">
        <v>8</v>
      </c>
      <c r="K33" s="32">
        <f t="shared" si="33"/>
        <v>8</v>
      </c>
      <c r="L33" s="20">
        <f>IF(C33&gt;0,(F33+I33)+IF(K$26&gt;0,F33,-8),0)+IF(U$26&gt;0,I33,0)</f>
        <v>14</v>
      </c>
      <c r="M33" s="342">
        <v>18</v>
      </c>
      <c r="N33" s="342">
        <v>24</v>
      </c>
      <c r="O33" s="30">
        <v>1</v>
      </c>
      <c r="P33" s="31">
        <f t="shared" si="34"/>
        <v>5</v>
      </c>
      <c r="Q33" s="346">
        <v>0</v>
      </c>
      <c r="R33" s="346">
        <v>7</v>
      </c>
      <c r="S33" s="31">
        <f t="shared" si="35"/>
        <v>7</v>
      </c>
      <c r="T33" s="30">
        <v>8</v>
      </c>
      <c r="U33" s="32">
        <f t="shared" si="36"/>
        <v>8</v>
      </c>
      <c r="V33" s="20">
        <f t="shared" si="37"/>
        <v>4</v>
      </c>
      <c r="W33" s="334">
        <v>7</v>
      </c>
      <c r="X33" s="342">
        <v>24</v>
      </c>
      <c r="Y33" s="30">
        <v>3</v>
      </c>
      <c r="Z33" s="31">
        <f t="shared" si="38"/>
        <v>14</v>
      </c>
      <c r="AA33" s="342">
        <v>0</v>
      </c>
      <c r="AB33" s="346">
        <v>7</v>
      </c>
      <c r="AC33" s="31">
        <f t="shared" si="39"/>
        <v>7</v>
      </c>
      <c r="AD33" s="30">
        <v>8</v>
      </c>
      <c r="AE33" s="32">
        <f t="shared" si="40"/>
        <v>8</v>
      </c>
      <c r="AF33" s="20">
        <f t="shared" si="41"/>
        <v>13</v>
      </c>
      <c r="AG33" s="55"/>
      <c r="AH33" s="112">
        <v>0</v>
      </c>
      <c r="AI33" s="113">
        <f t="shared" si="42"/>
        <v>0</v>
      </c>
      <c r="AJ33" s="113">
        <f t="shared" si="43"/>
        <v>0</v>
      </c>
      <c r="AK33" s="113">
        <f>IF(ISBLANK($AE$5),-8,0)+AE12</f>
        <v>0</v>
      </c>
      <c r="AL33" s="113">
        <f t="shared" si="44"/>
        <v>0</v>
      </c>
      <c r="AM33" s="113">
        <f t="shared" si="45"/>
        <v>0</v>
      </c>
      <c r="AN33" s="113">
        <f t="shared" si="46"/>
        <v>0</v>
      </c>
      <c r="AO33" s="113">
        <f t="shared" si="47"/>
        <v>0</v>
      </c>
      <c r="AP33" s="114">
        <f t="shared" si="48"/>
        <v>0</v>
      </c>
      <c r="AQ33" s="55"/>
      <c r="AR33" s="1159">
        <f t="shared" si="49"/>
        <v>2.3357142857142961</v>
      </c>
      <c r="AS33" s="1160"/>
      <c r="AT33" s="117">
        <f t="shared" si="50"/>
        <v>6</v>
      </c>
      <c r="AU33" s="55"/>
      <c r="AV33" s="55"/>
      <c r="AW33" s="1134"/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16</v>
      </c>
      <c r="E34" s="30">
        <v>1</v>
      </c>
      <c r="F34" s="31">
        <f t="shared" si="31"/>
        <v>8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1">IF(C34&gt;0,(F34+I34)+IF(K$26&gt;0,F34,-8),0)+IF(U$26&gt;0,I34,0)</f>
        <v>0</v>
      </c>
      <c r="M34" s="334">
        <v>7</v>
      </c>
      <c r="N34" s="342">
        <v>16</v>
      </c>
      <c r="O34" s="30">
        <v>1</v>
      </c>
      <c r="P34" s="31">
        <f t="shared" si="34"/>
        <v>8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si="37"/>
        <v>0</v>
      </c>
      <c r="W34" s="334">
        <v>8</v>
      </c>
      <c r="X34" s="342">
        <v>19</v>
      </c>
      <c r="Y34" s="30">
        <v>1</v>
      </c>
      <c r="Z34" s="31">
        <f t="shared" si="38"/>
        <v>10</v>
      </c>
      <c r="AA34" s="342"/>
      <c r="AB34" s="116"/>
      <c r="AC34" s="31">
        <f t="shared" si="39"/>
        <v>0</v>
      </c>
      <c r="AD34" s="30"/>
      <c r="AE34" s="32">
        <f t="shared" si="40"/>
        <v>8</v>
      </c>
      <c r="AF34" s="20">
        <f t="shared" si="41"/>
        <v>2</v>
      </c>
      <c r="AG34" s="55"/>
      <c r="AH34" s="112">
        <v>0</v>
      </c>
      <c r="AI34" s="113">
        <f t="shared" si="42"/>
        <v>-8</v>
      </c>
      <c r="AJ34" s="113">
        <f t="shared" si="43"/>
        <v>0</v>
      </c>
      <c r="AK34" s="113">
        <f>IF(ISBLANK($AE$5),-8,0)+AE13</f>
        <v>0</v>
      </c>
      <c r="AL34" s="113">
        <f t="shared" si="44"/>
        <v>0</v>
      </c>
      <c r="AM34" s="113">
        <f t="shared" si="45"/>
        <v>0</v>
      </c>
      <c r="AN34" s="113">
        <f t="shared" si="46"/>
        <v>0</v>
      </c>
      <c r="AO34" s="113">
        <f t="shared" si="47"/>
        <v>0</v>
      </c>
      <c r="AP34" s="114">
        <f t="shared" si="48"/>
        <v>-8</v>
      </c>
      <c r="AQ34" s="55"/>
      <c r="AR34" s="1159">
        <f t="shared" si="49"/>
        <v>0</v>
      </c>
      <c r="AS34" s="1160"/>
      <c r="AT34" s="118">
        <f t="shared" si="50"/>
        <v>6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24</v>
      </c>
      <c r="E35" s="119">
        <v>2</v>
      </c>
      <c r="F35" s="120">
        <f t="shared" si="31"/>
        <v>15</v>
      </c>
      <c r="G35" s="346">
        <v>0</v>
      </c>
      <c r="H35" s="346">
        <v>7</v>
      </c>
      <c r="I35" s="120">
        <f t="shared" si="32"/>
        <v>7</v>
      </c>
      <c r="J35" s="119">
        <v>8</v>
      </c>
      <c r="K35" s="121">
        <f t="shared" si="33"/>
        <v>8</v>
      </c>
      <c r="L35" s="20">
        <f t="shared" si="51"/>
        <v>14</v>
      </c>
      <c r="M35" s="342">
        <v>18</v>
      </c>
      <c r="N35" s="342">
        <v>24</v>
      </c>
      <c r="O35" s="30">
        <v>1</v>
      </c>
      <c r="P35" s="31">
        <f t="shared" si="34"/>
        <v>5</v>
      </c>
      <c r="Q35" s="346">
        <v>0</v>
      </c>
      <c r="R35" s="346">
        <v>7</v>
      </c>
      <c r="S35" s="120">
        <f t="shared" si="35"/>
        <v>7</v>
      </c>
      <c r="T35" s="30">
        <v>8</v>
      </c>
      <c r="U35" s="32">
        <f t="shared" si="36"/>
        <v>8</v>
      </c>
      <c r="V35" s="20">
        <f t="shared" si="37"/>
        <v>4</v>
      </c>
      <c r="W35" s="334">
        <v>18</v>
      </c>
      <c r="X35" s="342">
        <v>24</v>
      </c>
      <c r="Y35" s="30">
        <v>1</v>
      </c>
      <c r="Z35" s="31">
        <f t="shared" si="38"/>
        <v>5</v>
      </c>
      <c r="AA35" s="342">
        <v>0</v>
      </c>
      <c r="AB35" s="342">
        <v>7</v>
      </c>
      <c r="AC35" s="31">
        <f t="shared" si="39"/>
        <v>7</v>
      </c>
      <c r="AD35" s="30">
        <v>8</v>
      </c>
      <c r="AE35" s="32">
        <f t="shared" si="40"/>
        <v>8</v>
      </c>
      <c r="AF35" s="20">
        <f t="shared" si="41"/>
        <v>4</v>
      </c>
      <c r="AG35" s="55"/>
      <c r="AH35" s="112">
        <v>0</v>
      </c>
      <c r="AI35" s="113">
        <f t="shared" si="42"/>
        <v>-8</v>
      </c>
      <c r="AJ35" s="113">
        <f t="shared" si="43"/>
        <v>-8</v>
      </c>
      <c r="AK35" s="113">
        <f>IF(ISBLANK($AE$5),-8,0)+AE14</f>
        <v>-8</v>
      </c>
      <c r="AL35" s="113">
        <f t="shared" si="44"/>
        <v>0</v>
      </c>
      <c r="AM35" s="113">
        <f t="shared" si="45"/>
        <v>0</v>
      </c>
      <c r="AN35" s="113">
        <f t="shared" si="46"/>
        <v>0</v>
      </c>
      <c r="AO35" s="113">
        <f t="shared" si="47"/>
        <v>0</v>
      </c>
      <c r="AP35" s="114">
        <f t="shared" si="48"/>
        <v>-24</v>
      </c>
      <c r="AQ35" s="55"/>
      <c r="AR35" s="1159">
        <f t="shared" si="49"/>
        <v>25.549714285714295</v>
      </c>
      <c r="AS35" s="1160"/>
      <c r="AT35" s="118">
        <f t="shared" si="50"/>
        <v>3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18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1"/>
        <v>1</v>
      </c>
      <c r="M36" s="342">
        <v>7</v>
      </c>
      <c r="N36" s="342">
        <v>20</v>
      </c>
      <c r="O36" s="30">
        <v>1</v>
      </c>
      <c r="P36" s="31">
        <f t="shared" si="34"/>
        <v>12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37"/>
        <v>4</v>
      </c>
      <c r="W36" s="334">
        <v>8</v>
      </c>
      <c r="X36" s="342">
        <v>18</v>
      </c>
      <c r="Y36" s="30">
        <v>1</v>
      </c>
      <c r="Z36" s="31">
        <f t="shared" si="38"/>
        <v>9</v>
      </c>
      <c r="AA36" s="342"/>
      <c r="AB36" s="342"/>
      <c r="AC36" s="31">
        <f t="shared" si="39"/>
        <v>0</v>
      </c>
      <c r="AD36" s="30"/>
      <c r="AE36" s="32">
        <f t="shared" si="40"/>
        <v>8</v>
      </c>
      <c r="AF36" s="20">
        <f t="shared" si="41"/>
        <v>1</v>
      </c>
      <c r="AG36" s="55"/>
      <c r="AH36" s="112">
        <v>0</v>
      </c>
      <c r="AI36" s="113">
        <f t="shared" si="42"/>
        <v>0</v>
      </c>
      <c r="AJ36" s="113">
        <f t="shared" si="43"/>
        <v>0</v>
      </c>
      <c r="AK36" s="113">
        <f>IF(ISBLANK($AE$5),-8,0)+AE15</f>
        <v>0.5</v>
      </c>
      <c r="AL36" s="113">
        <f t="shared" si="44"/>
        <v>0</v>
      </c>
      <c r="AM36" s="113">
        <f t="shared" si="45"/>
        <v>0</v>
      </c>
      <c r="AN36" s="113">
        <f t="shared" si="46"/>
        <v>0</v>
      </c>
      <c r="AO36" s="113">
        <f t="shared" si="47"/>
        <v>0</v>
      </c>
      <c r="AP36" s="114">
        <f t="shared" si="48"/>
        <v>0.5</v>
      </c>
      <c r="AQ36" s="55"/>
      <c r="AR36" s="1159">
        <f t="shared" si="49"/>
        <v>0</v>
      </c>
      <c r="AS36" s="1160"/>
      <c r="AT36" s="118">
        <f t="shared" si="50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/>
      <c r="D37" s="342"/>
      <c r="E37" s="30"/>
      <c r="F37" s="31">
        <f>+D37-C37-E37</f>
        <v>0</v>
      </c>
      <c r="G37" s="33"/>
      <c r="H37" s="346"/>
      <c r="I37" s="31">
        <f>+H37-G37</f>
        <v>0</v>
      </c>
      <c r="J37" s="30"/>
      <c r="K37" s="32">
        <f>+I37+F37-L37</f>
        <v>0</v>
      </c>
      <c r="L37" s="20">
        <f t="shared" si="51"/>
        <v>0</v>
      </c>
      <c r="M37" s="342"/>
      <c r="N37" s="342"/>
      <c r="O37" s="30"/>
      <c r="P37" s="31">
        <f>+N37-M37-O37</f>
        <v>0</v>
      </c>
      <c r="Q37" s="106"/>
      <c r="R37" s="106"/>
      <c r="S37" s="31">
        <f>+R37-Q37</f>
        <v>0</v>
      </c>
      <c r="T37" s="30"/>
      <c r="U37" s="32">
        <f>+S37+P37-V37</f>
        <v>0</v>
      </c>
      <c r="V37" s="20">
        <f>IF(M37&gt;0,(P37+S37)+IF(U$27&gt;0,P37,-8),0)+IF(AE$27&gt;0,S37,0)</f>
        <v>0</v>
      </c>
      <c r="W37" s="334"/>
      <c r="X37" s="342"/>
      <c r="Y37" s="30"/>
      <c r="Z37" s="31">
        <f>+X37-W37-Y37</f>
        <v>0</v>
      </c>
      <c r="AA37" s="342"/>
      <c r="AB37" s="342"/>
      <c r="AC37" s="31">
        <f>+AB37-AA37</f>
        <v>0</v>
      </c>
      <c r="AD37" s="30"/>
      <c r="AE37" s="32">
        <f>+AC37+Z37-AF37</f>
        <v>0</v>
      </c>
      <c r="AF37" s="20">
        <f t="shared" si="41"/>
        <v>0</v>
      </c>
      <c r="AG37" s="55"/>
      <c r="AH37" s="112">
        <v>0</v>
      </c>
      <c r="AI37" s="113">
        <f t="shared" si="42"/>
        <v>-8</v>
      </c>
      <c r="AJ37" s="113">
        <f t="shared" si="43"/>
        <v>-8</v>
      </c>
      <c r="AK37" s="124">
        <f>IF(ISBLANK($AE$5),-5,0)+AE16</f>
        <v>-5</v>
      </c>
      <c r="AL37" s="113">
        <f t="shared" si="44"/>
        <v>0</v>
      </c>
      <c r="AM37" s="125">
        <f>IF(ISBLANK($K$26),-8,0)+K37</f>
        <v>-8</v>
      </c>
      <c r="AN37" s="125">
        <f>IF(ISBLANK($U$26),-8,0)+U37</f>
        <v>-8</v>
      </c>
      <c r="AO37" s="125">
        <f>IF(ISBLANK($AE$26),-8,0)+AE37</f>
        <v>-8</v>
      </c>
      <c r="AP37" s="114">
        <f>SUM(AH37:AO37)</f>
        <v>-45</v>
      </c>
      <c r="AQ37" s="55"/>
      <c r="AR37" s="1159">
        <f t="shared" si="49"/>
        <v>0</v>
      </c>
      <c r="AS37" s="1160"/>
      <c r="AT37" s="118">
        <f t="shared" si="50"/>
        <v>0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1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37"/>
        <v>0</v>
      </c>
      <c r="W38" s="334"/>
      <c r="X38" s="342"/>
      <c r="Y38" s="30"/>
      <c r="Z38" s="31">
        <f t="shared" si="38"/>
        <v>0</v>
      </c>
      <c r="AA38" s="342"/>
      <c r="AB38" s="342"/>
      <c r="AC38" s="31">
        <f>+AB38-AA38</f>
        <v>0</v>
      </c>
      <c r="AD38" s="30"/>
      <c r="AE38" s="32">
        <f t="shared" si="40"/>
        <v>0</v>
      </c>
      <c r="AF38" s="20">
        <f t="shared" si="41"/>
        <v>0</v>
      </c>
      <c r="AG38" s="55"/>
      <c r="AH38" s="112">
        <v>0</v>
      </c>
      <c r="AI38" s="113">
        <f t="shared" si="42"/>
        <v>-8</v>
      </c>
      <c r="AJ38" s="113">
        <f t="shared" si="43"/>
        <v>-8</v>
      </c>
      <c r="AK38" s="113">
        <f t="shared" ref="AK38:AK45" si="52">IF(ISBLANK($AE$5),-8,0)+AE17</f>
        <v>-8</v>
      </c>
      <c r="AL38" s="113">
        <f t="shared" si="44"/>
        <v>0</v>
      </c>
      <c r="AM38" s="113">
        <f t="shared" si="45"/>
        <v>-8</v>
      </c>
      <c r="AN38" s="113">
        <f t="shared" si="46"/>
        <v>-8</v>
      </c>
      <c r="AO38" s="113">
        <f t="shared" si="47"/>
        <v>-8</v>
      </c>
      <c r="AP38" s="114">
        <f t="shared" si="48"/>
        <v>-48</v>
      </c>
      <c r="AQ38" s="55"/>
      <c r="AR38" s="1159">
        <f t="shared" si="49"/>
        <v>0</v>
      </c>
      <c r="AS38" s="1160"/>
      <c r="AT38" s="118">
        <f t="shared" si="50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/>
      <c r="D39" s="348"/>
      <c r="E39" s="119"/>
      <c r="F39" s="31">
        <f t="shared" si="31"/>
        <v>0</v>
      </c>
      <c r="G39" s="33"/>
      <c r="H39" s="346"/>
      <c r="I39" s="31">
        <f t="shared" si="32"/>
        <v>0</v>
      </c>
      <c r="J39" s="30"/>
      <c r="K39" s="32">
        <f t="shared" si="33"/>
        <v>0</v>
      </c>
      <c r="L39" s="20">
        <f t="shared" si="51"/>
        <v>0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106"/>
      <c r="R39" s="106"/>
      <c r="S39" s="31">
        <f t="shared" si="35"/>
        <v>0</v>
      </c>
      <c r="T39" s="30"/>
      <c r="U39" s="32">
        <f t="shared" si="36"/>
        <v>8</v>
      </c>
      <c r="V39" s="20">
        <f t="shared" si="37"/>
        <v>2</v>
      </c>
      <c r="W39" s="334">
        <v>7</v>
      </c>
      <c r="X39" s="342">
        <v>18</v>
      </c>
      <c r="Y39" s="30">
        <v>1</v>
      </c>
      <c r="Z39" s="31">
        <f t="shared" si="38"/>
        <v>10</v>
      </c>
      <c r="AA39" s="342"/>
      <c r="AB39" s="342"/>
      <c r="AC39" s="31">
        <f t="shared" si="39"/>
        <v>0</v>
      </c>
      <c r="AD39" s="30"/>
      <c r="AE39" s="32">
        <f t="shared" si="40"/>
        <v>8</v>
      </c>
      <c r="AF39" s="20">
        <f t="shared" si="41"/>
        <v>2</v>
      </c>
      <c r="AG39" s="55"/>
      <c r="AH39" s="112">
        <v>0</v>
      </c>
      <c r="AI39" s="113">
        <f t="shared" si="42"/>
        <v>0</v>
      </c>
      <c r="AJ39" s="113">
        <f t="shared" si="43"/>
        <v>0</v>
      </c>
      <c r="AK39" s="113">
        <f t="shared" si="52"/>
        <v>0</v>
      </c>
      <c r="AL39" s="113">
        <f t="shared" si="44"/>
        <v>0</v>
      </c>
      <c r="AM39" s="125">
        <f t="shared" si="45"/>
        <v>-8</v>
      </c>
      <c r="AN39" s="125">
        <f t="shared" si="46"/>
        <v>0</v>
      </c>
      <c r="AO39" s="125">
        <f t="shared" si="47"/>
        <v>0</v>
      </c>
      <c r="AP39" s="114">
        <f t="shared" si="48"/>
        <v>-8</v>
      </c>
      <c r="AQ39" s="55"/>
      <c r="AR39" s="1159">
        <f>+X76*Q76</f>
        <v>0</v>
      </c>
      <c r="AS39" s="1160"/>
      <c r="AT39" s="118">
        <f t="shared" si="50"/>
        <v>6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1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37"/>
        <v>0</v>
      </c>
      <c r="W40" s="334"/>
      <c r="X40" s="342"/>
      <c r="Y40" s="30"/>
      <c r="Z40" s="31">
        <f t="shared" si="38"/>
        <v>0</v>
      </c>
      <c r="AA40" s="342"/>
      <c r="AB40" s="346"/>
      <c r="AC40" s="44">
        <f t="shared" si="39"/>
        <v>0</v>
      </c>
      <c r="AD40" s="30"/>
      <c r="AE40" s="32">
        <f t="shared" si="40"/>
        <v>0</v>
      </c>
      <c r="AF40" s="20">
        <f t="shared" si="41"/>
        <v>0</v>
      </c>
      <c r="AG40" s="126"/>
      <c r="AH40" s="127">
        <v>0</v>
      </c>
      <c r="AI40" s="113">
        <f t="shared" si="42"/>
        <v>-8</v>
      </c>
      <c r="AJ40" s="113">
        <f t="shared" si="43"/>
        <v>-8</v>
      </c>
      <c r="AK40" s="128">
        <f t="shared" si="52"/>
        <v>-8</v>
      </c>
      <c r="AL40" s="113">
        <f t="shared" si="44"/>
        <v>0</v>
      </c>
      <c r="AM40" s="113">
        <f t="shared" si="45"/>
        <v>-8</v>
      </c>
      <c r="AN40" s="113">
        <f t="shared" si="46"/>
        <v>-8</v>
      </c>
      <c r="AO40" s="113">
        <f t="shared" si="47"/>
        <v>-8</v>
      </c>
      <c r="AP40" s="114">
        <f t="shared" si="48"/>
        <v>-48</v>
      </c>
      <c r="AQ40" s="55"/>
      <c r="AR40" s="1159">
        <f>+X78*Q78</f>
        <v>0</v>
      </c>
      <c r="AS40" s="1160"/>
      <c r="AT40" s="118">
        <f t="shared" si="50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1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37"/>
        <v>0</v>
      </c>
      <c r="W41" s="526"/>
      <c r="X41" s="522"/>
      <c r="Y41" s="522"/>
      <c r="Z41" s="523">
        <f t="shared" si="38"/>
        <v>0</v>
      </c>
      <c r="AA41" s="522"/>
      <c r="AB41" s="522"/>
      <c r="AC41" s="523">
        <f t="shared" si="39"/>
        <v>0</v>
      </c>
      <c r="AD41" s="522"/>
      <c r="AE41" s="523">
        <f t="shared" si="40"/>
        <v>0</v>
      </c>
      <c r="AF41" s="524">
        <f t="shared" si="41"/>
        <v>0</v>
      </c>
      <c r="AG41" s="514"/>
      <c r="AH41" s="529">
        <v>0</v>
      </c>
      <c r="AI41" s="530">
        <f t="shared" si="42"/>
        <v>-8</v>
      </c>
      <c r="AJ41" s="530">
        <f t="shared" si="43"/>
        <v>-8</v>
      </c>
      <c r="AK41" s="530">
        <f t="shared" si="52"/>
        <v>-8</v>
      </c>
      <c r="AL41" s="530">
        <f t="shared" si="44"/>
        <v>0</v>
      </c>
      <c r="AM41" s="530">
        <f t="shared" si="45"/>
        <v>-8</v>
      </c>
      <c r="AN41" s="530">
        <f t="shared" si="46"/>
        <v>-8</v>
      </c>
      <c r="AO41" s="530">
        <f t="shared" si="47"/>
        <v>-8</v>
      </c>
      <c r="AP41" s="531">
        <f t="shared" si="48"/>
        <v>-48</v>
      </c>
      <c r="AQ41" s="55"/>
      <c r="AR41" s="1191"/>
      <c r="AS41" s="1192"/>
      <c r="AT41" s="532">
        <f t="shared" si="50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>Eddie Uchupe C.</v>
      </c>
      <c r="C42" s="516"/>
      <c r="D42" s="516"/>
      <c r="E42" s="516"/>
      <c r="F42" s="517">
        <f t="shared" si="31"/>
        <v>0</v>
      </c>
      <c r="G42" s="516"/>
      <c r="H42" s="516"/>
      <c r="I42" s="517">
        <f t="shared" si="32"/>
        <v>0</v>
      </c>
      <c r="J42" s="516"/>
      <c r="K42" s="517">
        <f t="shared" si="33"/>
        <v>0</v>
      </c>
      <c r="L42" s="518">
        <f t="shared" si="51"/>
        <v>0</v>
      </c>
      <c r="M42" s="516"/>
      <c r="N42" s="516"/>
      <c r="O42" s="516"/>
      <c r="P42" s="517">
        <f t="shared" si="34"/>
        <v>0</v>
      </c>
      <c r="Q42" s="519"/>
      <c r="R42" s="519"/>
      <c r="S42" s="517">
        <f t="shared" si="35"/>
        <v>0</v>
      </c>
      <c r="T42" s="516"/>
      <c r="U42" s="517">
        <f t="shared" si="36"/>
        <v>0</v>
      </c>
      <c r="V42" s="518">
        <f t="shared" si="37"/>
        <v>0</v>
      </c>
      <c r="W42" s="520"/>
      <c r="X42" s="516"/>
      <c r="Y42" s="516"/>
      <c r="Z42" s="517">
        <f t="shared" si="38"/>
        <v>0</v>
      </c>
      <c r="AA42" s="516"/>
      <c r="AB42" s="516"/>
      <c r="AC42" s="517">
        <f t="shared" si="39"/>
        <v>0</v>
      </c>
      <c r="AD42" s="516"/>
      <c r="AE42" s="517">
        <f t="shared" si="40"/>
        <v>0</v>
      </c>
      <c r="AF42" s="518">
        <f t="shared" si="41"/>
        <v>0</v>
      </c>
      <c r="AG42" s="55"/>
      <c r="AH42" s="490">
        <v>0</v>
      </c>
      <c r="AI42" s="527">
        <f t="shared" si="42"/>
        <v>0</v>
      </c>
      <c r="AJ42" s="527">
        <f t="shared" si="43"/>
        <v>0</v>
      </c>
      <c r="AK42" s="527">
        <f t="shared" si="52"/>
        <v>0</v>
      </c>
      <c r="AL42" s="527">
        <f t="shared" si="44"/>
        <v>0</v>
      </c>
      <c r="AM42" s="527">
        <f t="shared" si="45"/>
        <v>-8</v>
      </c>
      <c r="AN42" s="527">
        <f t="shared" si="46"/>
        <v>-8</v>
      </c>
      <c r="AO42" s="527">
        <f t="shared" si="47"/>
        <v>-8</v>
      </c>
      <c r="AP42" s="492">
        <f t="shared" si="48"/>
        <v>-24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3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18</v>
      </c>
      <c r="E43" s="459">
        <v>1</v>
      </c>
      <c r="F43" s="460">
        <f t="shared" si="31"/>
        <v>10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1"/>
        <v>2</v>
      </c>
      <c r="M43" s="459">
        <v>7</v>
      </c>
      <c r="N43" s="459">
        <v>18</v>
      </c>
      <c r="O43" s="459">
        <v>1</v>
      </c>
      <c r="P43" s="460">
        <f t="shared" si="34"/>
        <v>10</v>
      </c>
      <c r="Q43" s="489"/>
      <c r="R43" s="489"/>
      <c r="S43" s="460">
        <f t="shared" si="35"/>
        <v>0</v>
      </c>
      <c r="T43" s="459"/>
      <c r="U43" s="460">
        <f t="shared" si="36"/>
        <v>8</v>
      </c>
      <c r="V43" s="461">
        <f t="shared" si="37"/>
        <v>2</v>
      </c>
      <c r="W43" s="334">
        <v>7</v>
      </c>
      <c r="X43" s="342">
        <v>18</v>
      </c>
      <c r="Y43" s="30">
        <v>1</v>
      </c>
      <c r="Z43" s="31">
        <f t="shared" si="38"/>
        <v>10</v>
      </c>
      <c r="AA43" s="342"/>
      <c r="AB43" s="342"/>
      <c r="AC43" s="44">
        <f t="shared" si="39"/>
        <v>0</v>
      </c>
      <c r="AD43" s="30"/>
      <c r="AE43" s="32">
        <f t="shared" si="40"/>
        <v>8</v>
      </c>
      <c r="AF43" s="20">
        <f t="shared" si="41"/>
        <v>2</v>
      </c>
      <c r="AG43" s="55"/>
      <c r="AH43" s="143">
        <v>0</v>
      </c>
      <c r="AI43" s="144">
        <f t="shared" si="42"/>
        <v>0</v>
      </c>
      <c r="AJ43" s="144">
        <f t="shared" si="43"/>
        <v>0</v>
      </c>
      <c r="AK43" s="144">
        <f t="shared" si="52"/>
        <v>0</v>
      </c>
      <c r="AL43" s="113">
        <f t="shared" si="44"/>
        <v>0</v>
      </c>
      <c r="AM43" s="144">
        <f t="shared" si="45"/>
        <v>0</v>
      </c>
      <c r="AN43" s="144">
        <f t="shared" si="46"/>
        <v>0</v>
      </c>
      <c r="AO43" s="144">
        <f t="shared" si="47"/>
        <v>0</v>
      </c>
      <c r="AP43" s="145">
        <f t="shared" si="48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6</v>
      </c>
      <c r="AU43" s="55"/>
      <c r="AV43" s="55"/>
      <c r="AW43" s="1185"/>
      <c r="AX43" s="1186"/>
    </row>
    <row r="44" spans="1:56" ht="14.1" customHeight="1">
      <c r="B44" s="513" t="str">
        <f t="shared" si="30"/>
        <v xml:space="preserve">  -  .  -  </v>
      </c>
      <c r="C44" s="662"/>
      <c r="D44" s="662"/>
      <c r="E44" s="662"/>
      <c r="F44" s="663">
        <f t="shared" si="31"/>
        <v>0</v>
      </c>
      <c r="G44" s="662"/>
      <c r="H44" s="662"/>
      <c r="I44" s="663">
        <f t="shared" si="32"/>
        <v>0</v>
      </c>
      <c r="J44" s="662"/>
      <c r="K44" s="663">
        <f t="shared" si="33"/>
        <v>0</v>
      </c>
      <c r="L44" s="664">
        <f t="shared" si="51"/>
        <v>0</v>
      </c>
      <c r="M44" s="665"/>
      <c r="N44" s="665"/>
      <c r="O44" s="665"/>
      <c r="P44" s="666">
        <f t="shared" si="34"/>
        <v>0</v>
      </c>
      <c r="Q44" s="667"/>
      <c r="R44" s="667"/>
      <c r="S44" s="666">
        <f t="shared" si="35"/>
        <v>0</v>
      </c>
      <c r="T44" s="665"/>
      <c r="U44" s="666">
        <f t="shared" si="36"/>
        <v>0</v>
      </c>
      <c r="V44" s="668">
        <f t="shared" si="37"/>
        <v>0</v>
      </c>
      <c r="W44" s="669"/>
      <c r="X44" s="665"/>
      <c r="Y44" s="665"/>
      <c r="Z44" s="666">
        <f t="shared" si="38"/>
        <v>0</v>
      </c>
      <c r="AA44" s="665"/>
      <c r="AB44" s="670"/>
      <c r="AC44" s="666">
        <f t="shared" si="39"/>
        <v>0</v>
      </c>
      <c r="AD44" s="665"/>
      <c r="AE44" s="666">
        <f t="shared" si="40"/>
        <v>0</v>
      </c>
      <c r="AF44" s="668">
        <f t="shared" si="41"/>
        <v>0</v>
      </c>
      <c r="AG44" s="55"/>
      <c r="AH44" s="127">
        <v>0</v>
      </c>
      <c r="AI44" s="113">
        <f t="shared" si="42"/>
        <v>-8</v>
      </c>
      <c r="AJ44" s="113">
        <f t="shared" si="43"/>
        <v>-8</v>
      </c>
      <c r="AK44" s="128">
        <f t="shared" si="52"/>
        <v>-8</v>
      </c>
      <c r="AL44" s="113">
        <f t="shared" si="44"/>
        <v>0</v>
      </c>
      <c r="AM44" s="113">
        <f t="shared" si="45"/>
        <v>-8</v>
      </c>
      <c r="AN44" s="113">
        <f t="shared" si="46"/>
        <v>-8</v>
      </c>
      <c r="AO44" s="113">
        <f t="shared" si="47"/>
        <v>-8</v>
      </c>
      <c r="AP44" s="114">
        <f t="shared" si="48"/>
        <v>-48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0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1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37"/>
        <v>0</v>
      </c>
      <c r="W45" s="360"/>
      <c r="X45" s="361"/>
      <c r="Y45" s="96"/>
      <c r="Z45" s="97">
        <f t="shared" si="38"/>
        <v>0</v>
      </c>
      <c r="AA45" s="361"/>
      <c r="AB45" s="361"/>
      <c r="AC45" s="97">
        <f t="shared" si="39"/>
        <v>0</v>
      </c>
      <c r="AD45" s="96"/>
      <c r="AE45" s="98">
        <f t="shared" si="40"/>
        <v>0</v>
      </c>
      <c r="AF45" s="99">
        <f t="shared" si="41"/>
        <v>0</v>
      </c>
      <c r="AG45" s="55"/>
      <c r="AH45" s="112">
        <v>0</v>
      </c>
      <c r="AI45" s="113">
        <f t="shared" si="42"/>
        <v>-8</v>
      </c>
      <c r="AJ45" s="113">
        <f t="shared" si="43"/>
        <v>-8</v>
      </c>
      <c r="AK45" s="113">
        <f t="shared" si="52"/>
        <v>-8</v>
      </c>
      <c r="AL45" s="113">
        <f t="shared" si="44"/>
        <v>0</v>
      </c>
      <c r="AM45" s="113">
        <f t="shared" si="45"/>
        <v>-8</v>
      </c>
      <c r="AN45" s="113">
        <f t="shared" si="46"/>
        <v>-8</v>
      </c>
      <c r="AO45" s="113">
        <f t="shared" si="47"/>
        <v>-8</v>
      </c>
      <c r="AP45" s="114">
        <f t="shared" si="48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110</v>
      </c>
      <c r="AS46" s="1162"/>
      <c r="AT46" s="167">
        <f>SUM(AT32:AT45)</f>
        <v>43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46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43195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43196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43197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43198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43199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43200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43201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-131.5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657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657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657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657"/>
      <c r="AB68" s="657"/>
      <c r="AC68" s="657"/>
      <c r="AD68" s="657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657"/>
      <c r="AB69" s="657"/>
      <c r="AC69" s="657"/>
      <c r="AD69" s="657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657"/>
      <c r="AB70" s="657"/>
      <c r="AC70" s="657"/>
      <c r="AD70" s="657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5" si="56">+I71/6*7</f>
        <v>5.3041666666666654</v>
      </c>
      <c r="O71" s="1020"/>
      <c r="P71" s="5"/>
      <c r="Q71" s="1056">
        <f t="shared" ref="Q71:Q85" si="57">+$I$69-I71</f>
        <v>0.68482142857142936</v>
      </c>
      <c r="R71" s="1057"/>
      <c r="U71" s="238">
        <f t="shared" ref="U71:U77" si="58">+AE32+U32+K32+AO11+AE11+U11+K11</f>
        <v>63</v>
      </c>
      <c r="V71" s="239">
        <v>48</v>
      </c>
      <c r="W71" s="240">
        <f t="shared" ref="W71:W85" si="59">+V71-U71</f>
        <v>-15</v>
      </c>
      <c r="X71" s="241">
        <f t="shared" ref="X71:X77" si="60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48</v>
      </c>
      <c r="V72" s="239">
        <v>48</v>
      </c>
      <c r="W72" s="240">
        <f t="shared" si="59"/>
        <v>0</v>
      </c>
      <c r="X72" s="241">
        <f t="shared" si="60"/>
        <v>24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56</v>
      </c>
      <c r="V73" s="239">
        <v>48</v>
      </c>
      <c r="W73" s="240">
        <f t="shared" si="59"/>
        <v>-8</v>
      </c>
      <c r="X73" s="241">
        <f t="shared" si="60"/>
        <v>0</v>
      </c>
      <c r="Z73" s="389"/>
      <c r="AA73" s="653"/>
      <c r="AB73" s="653"/>
      <c r="AC73" s="653"/>
      <c r="AD73" s="653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24</v>
      </c>
      <c r="V74" s="239">
        <v>48</v>
      </c>
      <c r="W74" s="240">
        <f t="shared" si="59"/>
        <v>24</v>
      </c>
      <c r="X74" s="241">
        <f t="shared" si="60"/>
        <v>24</v>
      </c>
      <c r="Z74" s="1045" t="s">
        <v>53</v>
      </c>
      <c r="AA74" s="1045"/>
      <c r="AB74" s="1045"/>
      <c r="AC74" s="1045"/>
      <c r="AD74" s="389" t="s">
        <v>54</v>
      </c>
      <c r="AE74" s="653"/>
      <c r="AF74" s="386"/>
      <c r="AG74" s="655"/>
      <c r="AH74" s="655"/>
      <c r="AI74" s="386"/>
      <c r="AJ74" s="386"/>
      <c r="AK74" s="654"/>
      <c r="AL74" s="654"/>
      <c r="AM74" s="654"/>
      <c r="AN74" s="654"/>
      <c r="AO74" s="654"/>
      <c r="AP74" s="654"/>
      <c r="AQ74" s="654"/>
      <c r="AR74" s="654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48.5</v>
      </c>
      <c r="V75" s="239">
        <v>48</v>
      </c>
      <c r="W75" s="240">
        <f t="shared" si="59"/>
        <v>-0.5</v>
      </c>
      <c r="X75" s="241">
        <f t="shared" si="60"/>
        <v>0</v>
      </c>
      <c r="Z75" s="653"/>
      <c r="AA75" s="653"/>
      <c r="AB75" s="653"/>
      <c r="AC75" s="653"/>
      <c r="AD75" s="653"/>
      <c r="AE75" s="386"/>
      <c r="AF75" s="386"/>
      <c r="AG75" s="244"/>
      <c r="AH75" s="244"/>
      <c r="AI75" s="655"/>
      <c r="AJ75" s="655"/>
      <c r="AK75" s="655"/>
      <c r="AL75" s="655"/>
      <c r="AM75" s="655"/>
      <c r="AN75" s="655"/>
      <c r="AO75" s="655"/>
      <c r="AP75" s="655"/>
      <c r="AQ75" s="655"/>
      <c r="AR75" s="655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0</v>
      </c>
      <c r="V76" s="239">
        <v>48</v>
      </c>
      <c r="W76" s="240">
        <f>+V76-U76</f>
        <v>48</v>
      </c>
      <c r="X76" s="241">
        <f t="shared" si="60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655"/>
      <c r="AN76" s="655"/>
      <c r="AO76" s="655"/>
      <c r="AP76" s="655"/>
      <c r="AQ76" s="655"/>
      <c r="AR76" s="655"/>
      <c r="AS76" s="386"/>
      <c r="AT76" s="38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653"/>
      <c r="AA77" s="653"/>
      <c r="AB77" s="653"/>
      <c r="AC77" s="653"/>
      <c r="AD77" s="653"/>
      <c r="AE77" s="386"/>
      <c r="AF77" s="386"/>
      <c r="AG77" s="655"/>
      <c r="AH77" s="655"/>
      <c r="AI77" s="393"/>
      <c r="AJ77" s="393"/>
      <c r="AK77" s="393"/>
      <c r="AL77" s="393"/>
      <c r="AM77" s="655"/>
      <c r="AN77" s="655"/>
      <c r="AO77" s="655"/>
      <c r="AP77" s="655"/>
      <c r="AQ77" s="655"/>
      <c r="AR77" s="655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3"/>
        <v>28.333328571428574</v>
      </c>
      <c r="F78" s="1049"/>
      <c r="G78" s="1050">
        <v>25.761900000000001</v>
      </c>
      <c r="H78" s="1051"/>
      <c r="I78" s="1052">
        <f t="shared" si="54"/>
        <v>3.5416660714285717</v>
      </c>
      <c r="J78" s="1058"/>
      <c r="K78" s="1059">
        <f>+E78*30</f>
        <v>849.99985714285719</v>
      </c>
      <c r="L78" s="1059"/>
      <c r="M78" s="5"/>
      <c r="N78" s="1020">
        <f t="shared" si="56"/>
        <v>4.1319437500000005</v>
      </c>
      <c r="O78" s="1020"/>
      <c r="P78" s="5"/>
      <c r="Q78" s="1056">
        <f t="shared" si="57"/>
        <v>1.6895839285714285</v>
      </c>
      <c r="R78" s="1057"/>
      <c r="S78" s="657"/>
      <c r="T78" s="657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>+J19+T19+AD19+J40+T40+AD40</f>
        <v>0</v>
      </c>
      <c r="Y78" s="657"/>
      <c r="Z78" s="653"/>
      <c r="AA78" s="653"/>
      <c r="AB78" s="653"/>
      <c r="AC78" s="653"/>
      <c r="AD78" s="653"/>
      <c r="AE78" s="386"/>
      <c r="AF78" s="386"/>
      <c r="AG78" s="655"/>
      <c r="AH78" s="655"/>
      <c r="AI78" s="393"/>
      <c r="AJ78" s="393"/>
      <c r="AK78" s="393"/>
      <c r="AL78" s="393"/>
      <c r="AM78" s="655"/>
      <c r="AN78" s="655"/>
      <c r="AO78" s="655"/>
      <c r="AP78" s="655"/>
      <c r="AQ78" s="655"/>
      <c r="AR78" s="655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0</v>
      </c>
      <c r="V79" s="239">
        <v>48</v>
      </c>
      <c r="W79" s="240">
        <f>+V79-U79</f>
        <v>48</v>
      </c>
      <c r="X79" s="241" t="e">
        <f>+#REF!+#REF!+#REF!+#REF!+#REF!+#REF!</f>
        <v>#REF!</v>
      </c>
      <c r="Z79" s="246"/>
      <c r="AA79" s="246"/>
      <c r="AB79" s="653"/>
      <c r="AC79" s="653"/>
      <c r="AD79" s="653"/>
      <c r="AE79" s="386"/>
      <c r="AF79" s="386"/>
      <c r="AG79" s="655"/>
      <c r="AH79" s="655"/>
      <c r="AI79" s="655"/>
      <c r="AJ79" s="655"/>
      <c r="AK79" s="655"/>
      <c r="AL79" s="655"/>
      <c r="AM79" s="655"/>
      <c r="AN79" s="655"/>
      <c r="AO79" s="655"/>
      <c r="AP79" s="655"/>
      <c r="AQ79" s="655"/>
      <c r="AR79" s="655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>+J20+T20+AD20+J41+T41+AD41</f>
        <v>0</v>
      </c>
      <c r="Z80" s="1045">
        <f>+K80/E80</f>
        <v>30</v>
      </c>
      <c r="AA80" s="1045"/>
      <c r="AB80" s="1045"/>
      <c r="AC80" s="1045"/>
      <c r="AD80" s="653"/>
      <c r="AE80" s="386"/>
      <c r="AF80" s="386"/>
      <c r="AG80" s="244"/>
      <c r="AH80" s="244"/>
      <c r="AI80" s="655"/>
      <c r="AJ80" s="655"/>
      <c r="AK80" s="655"/>
      <c r="AL80" s="655"/>
      <c r="AM80" s="655"/>
      <c r="AN80" s="655"/>
      <c r="AO80" s="655"/>
      <c r="AP80" s="655"/>
      <c r="AQ80" s="655"/>
      <c r="AR80" s="655"/>
      <c r="AS80" s="386"/>
      <c r="AT80" s="386"/>
    </row>
    <row r="81" spans="1:46" ht="16.5">
      <c r="A81" s="1">
        <v>3</v>
      </c>
      <c r="B81" s="237" t="s">
        <v>118</v>
      </c>
      <c r="C81" s="1046">
        <f>6*3+7*34.0952</f>
        <v>256.66639999999995</v>
      </c>
      <c r="D81" s="1047"/>
      <c r="E81" s="1048">
        <f t="shared" si="61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24</v>
      </c>
      <c r="V81" s="239">
        <v>48</v>
      </c>
      <c r="W81" s="240">
        <f>+V81-U81</f>
        <v>24</v>
      </c>
      <c r="X81" s="241">
        <f>+J21+T21+AD21+J42+T42+AD42</f>
        <v>0</v>
      </c>
      <c r="Z81" s="252"/>
      <c r="AA81" s="394"/>
      <c r="AB81" s="389"/>
      <c r="AC81" s="653"/>
      <c r="AD81" s="653"/>
      <c r="AE81" s="386"/>
      <c r="AF81" s="386"/>
      <c r="AG81" s="655"/>
      <c r="AH81" s="655"/>
      <c r="AI81" s="393"/>
      <c r="AJ81" s="393"/>
      <c r="AK81" s="393"/>
      <c r="AL81" s="393"/>
      <c r="AM81" s="655"/>
      <c r="AN81" s="655"/>
      <c r="AO81" s="655"/>
      <c r="AP81" s="655"/>
      <c r="AQ81" s="655"/>
      <c r="AR81" s="655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1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6"/>
        <v>4.1319395833333337</v>
      </c>
      <c r="O82" s="1044"/>
      <c r="P82" s="5"/>
      <c r="Q82" s="1004">
        <f t="shared" si="57"/>
        <v>1.6895875</v>
      </c>
      <c r="R82" s="1005"/>
      <c r="U82" s="238">
        <f>+AE44+U44+K44+AO23+AE23+U23+K23</f>
        <v>0</v>
      </c>
      <c r="V82" s="239">
        <v>48</v>
      </c>
      <c r="W82" s="240">
        <f t="shared" si="59"/>
        <v>48</v>
      </c>
      <c r="X82" s="241">
        <f>+J22+T22+AD22+J43+T43+AD43</f>
        <v>0</v>
      </c>
      <c r="Z82" s="252"/>
      <c r="AA82" s="394"/>
      <c r="AB82" s="389"/>
      <c r="AC82" s="653"/>
      <c r="AD82" s="653"/>
      <c r="AE82" s="386"/>
      <c r="AF82" s="386"/>
      <c r="AG82" s="393"/>
      <c r="AH82" s="393"/>
      <c r="AI82" s="655"/>
      <c r="AJ82" s="655"/>
      <c r="AK82" s="655"/>
      <c r="AL82" s="655"/>
      <c r="AM82" s="655"/>
      <c r="AN82" s="655"/>
      <c r="AO82" s="655"/>
      <c r="AP82" s="655"/>
      <c r="AQ82" s="655"/>
      <c r="AR82" s="655"/>
      <c r="AS82" s="386"/>
      <c r="AT82" s="386"/>
    </row>
    <row r="83" spans="1:46" ht="16.5">
      <c r="B83" s="250" t="s">
        <v>121</v>
      </c>
      <c r="C83" s="1035">
        <f>+G83*6</f>
        <v>199.99979999999999</v>
      </c>
      <c r="D83" s="1036"/>
      <c r="E83" s="1037">
        <f t="shared" si="61"/>
        <v>28.571400000000001</v>
      </c>
      <c r="F83" s="1038"/>
      <c r="G83" s="1039">
        <v>33.333300000000001</v>
      </c>
      <c r="H83" s="1040"/>
      <c r="I83" s="1037">
        <f>+G83/8</f>
        <v>4.1666625000000002</v>
      </c>
      <c r="J83" s="1038"/>
      <c r="K83" s="1041">
        <f>+G83*30</f>
        <v>999.99900000000002</v>
      </c>
      <c r="L83" s="1042"/>
      <c r="M83" s="5"/>
      <c r="N83" s="1043">
        <f>+I83/6*7</f>
        <v>4.8611062500000006</v>
      </c>
      <c r="O83" s="1044"/>
      <c r="P83" s="5"/>
      <c r="Q83" s="1004">
        <f>+$I$69-I83</f>
        <v>1.0645875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+J23+T23+AD23+J44+T44+AD44</f>
        <v>0</v>
      </c>
      <c r="Z83" s="246"/>
      <c r="AA83" s="246"/>
      <c r="AB83" s="653"/>
      <c r="AC83" s="653"/>
      <c r="AD83" s="653">
        <v>200</v>
      </c>
      <c r="AE83" s="386"/>
      <c r="AF83" s="1023">
        <f>+AD83/6</f>
        <v>33.333333333333336</v>
      </c>
      <c r="AG83" s="1023"/>
      <c r="AH83" s="1023"/>
      <c r="AI83" s="655"/>
      <c r="AJ83" s="655"/>
      <c r="AK83" s="655"/>
      <c r="AL83" s="655"/>
      <c r="AM83" s="655"/>
      <c r="AN83" s="655"/>
      <c r="AO83" s="655"/>
      <c r="AP83" s="655"/>
      <c r="AQ83" s="655"/>
      <c r="AR83" s="655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1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0</v>
      </c>
      <c r="V84" s="239">
        <v>48</v>
      </c>
      <c r="W84" s="240">
        <f t="shared" si="59"/>
        <v>48</v>
      </c>
      <c r="X84" s="241">
        <f>+J23+T23+AD23+J44+T44+AD44</f>
        <v>0</v>
      </c>
      <c r="Y84" s="248"/>
      <c r="Z84" s="653"/>
      <c r="AA84" s="653"/>
      <c r="AB84" s="653"/>
      <c r="AC84" s="653"/>
      <c r="AG84" s="655"/>
      <c r="AH84" s="655"/>
      <c r="AI84" s="386"/>
      <c r="AJ84" s="386"/>
      <c r="AK84" s="654"/>
      <c r="AL84" s="654"/>
      <c r="AM84" s="654"/>
      <c r="AN84" s="654"/>
      <c r="AO84" s="654"/>
      <c r="AP84" s="654"/>
      <c r="AQ84" s="654"/>
      <c r="AR84" s="654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1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6"/>
        <v>11.423610416666666</v>
      </c>
      <c r="O85" s="1020"/>
      <c r="P85" s="5"/>
      <c r="Q85" s="1004">
        <f t="shared" si="57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59"/>
        <v>48</v>
      </c>
      <c r="X85" s="241">
        <f>+J27+T27+AD27+J48+T48+AD48</f>
        <v>0</v>
      </c>
      <c r="Z85" s="246"/>
      <c r="AA85" s="246"/>
      <c r="AB85" s="653"/>
      <c r="AC85" s="653"/>
      <c r="AD85" s="653"/>
      <c r="AE85" s="386"/>
      <c r="AF85" s="386"/>
      <c r="AG85" s="655"/>
      <c r="AH85" s="655"/>
      <c r="AI85" s="655"/>
      <c r="AJ85" s="655"/>
      <c r="AK85" s="655"/>
      <c r="AL85" s="655"/>
      <c r="AM85" s="655"/>
      <c r="AN85" s="655"/>
      <c r="AO85" s="655"/>
      <c r="AP85" s="655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655"/>
      <c r="AF89" s="655"/>
      <c r="AG89" s="386"/>
      <c r="AH89" s="386"/>
      <c r="AI89" s="386"/>
      <c r="AJ89" s="655"/>
      <c r="AK89" s="655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655"/>
      <c r="AF90" s="655"/>
      <c r="AG90" s="386"/>
      <c r="AH90" s="386"/>
      <c r="AI90" s="386"/>
      <c r="AJ90" s="655"/>
      <c r="AK90" s="655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655"/>
      <c r="AF92" s="655"/>
      <c r="AG92" s="386"/>
      <c r="AH92" s="386"/>
      <c r="AI92" s="386"/>
      <c r="AJ92" s="655"/>
      <c r="AK92" s="655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655"/>
      <c r="AF95" s="655"/>
      <c r="AG95" s="386"/>
      <c r="AH95" s="386"/>
      <c r="AI95" s="386"/>
      <c r="AJ95" s="655"/>
      <c r="AK95" s="655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654"/>
      <c r="AM97" s="655"/>
      <c r="AN97" s="654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655"/>
      <c r="AF107" s="655"/>
      <c r="AG107" s="386"/>
      <c r="AH107" s="386"/>
      <c r="AI107" s="386"/>
      <c r="AJ107" s="655"/>
      <c r="AK107" s="655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654"/>
      <c r="AM115" s="655"/>
      <c r="AN115" s="654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655"/>
      <c r="AF126" s="655"/>
      <c r="AG126" s="386"/>
      <c r="AH126" s="386"/>
      <c r="AI126" s="386"/>
      <c r="AJ126" s="655"/>
      <c r="AK126" s="655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655"/>
      <c r="AF127" s="655"/>
      <c r="AG127" s="386"/>
      <c r="AH127" s="386"/>
      <c r="AI127" s="386"/>
      <c r="AJ127" s="655"/>
      <c r="AK127" s="655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655"/>
      <c r="AF129" s="655"/>
      <c r="AG129" s="386"/>
      <c r="AH129" s="386"/>
      <c r="AI129" s="386"/>
      <c r="AJ129" s="655"/>
      <c r="AK129" s="655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655"/>
      <c r="AF132" s="655"/>
      <c r="AG132" s="386"/>
      <c r="AH132" s="386"/>
      <c r="AI132" s="386"/>
      <c r="AJ132" s="655"/>
      <c r="AK132" s="655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654"/>
      <c r="AM134" s="655"/>
      <c r="AN134" s="654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655"/>
      <c r="AF144" s="655"/>
      <c r="AG144" s="386"/>
      <c r="AH144" s="386"/>
      <c r="AI144" s="386"/>
      <c r="AJ144" s="655"/>
      <c r="AK144" s="655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655"/>
      <c r="AF145" s="655"/>
      <c r="AG145" s="386"/>
      <c r="AH145" s="386"/>
      <c r="AI145" s="386"/>
      <c r="AJ145" s="655"/>
      <c r="AK145" s="655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655"/>
      <c r="AF147" s="655"/>
      <c r="AG147" s="386"/>
      <c r="AH147" s="386"/>
      <c r="AI147" s="386"/>
      <c r="AJ147" s="655"/>
      <c r="AK147" s="655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655"/>
      <c r="AF150" s="655"/>
      <c r="AG150" s="386"/>
      <c r="AH150" s="386"/>
      <c r="AI150" s="386"/>
      <c r="AJ150" s="655"/>
      <c r="AK150" s="655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654"/>
      <c r="AM152" s="655"/>
      <c r="AN152" s="654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655"/>
      <c r="AF164" s="655"/>
      <c r="AG164" s="386"/>
      <c r="AH164" s="386"/>
      <c r="AI164" s="386"/>
      <c r="AJ164" s="655"/>
      <c r="AK164" s="655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654"/>
      <c r="AM172" s="655"/>
      <c r="AN172" s="654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655"/>
      <c r="AF183" s="655"/>
      <c r="AG183" s="386"/>
      <c r="AH183" s="386"/>
      <c r="AI183" s="386"/>
      <c r="AJ183" s="655"/>
      <c r="AK183" s="655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655"/>
      <c r="AF184" s="655"/>
      <c r="AG184" s="386"/>
      <c r="AH184" s="386"/>
      <c r="AI184" s="386"/>
      <c r="AJ184" s="655"/>
      <c r="AK184" s="655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655"/>
      <c r="AF186" s="655"/>
      <c r="AG186" s="386"/>
      <c r="AH186" s="386"/>
      <c r="AI186" s="386"/>
      <c r="AJ186" s="655"/>
      <c r="AK186" s="655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655"/>
      <c r="AF189" s="655"/>
      <c r="AG189" s="386"/>
      <c r="AH189" s="386"/>
      <c r="AI189" s="386"/>
      <c r="AJ189" s="655"/>
      <c r="AK189" s="655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654"/>
      <c r="AM191" s="655"/>
      <c r="AN191" s="654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657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657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657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657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657"/>
      <c r="AB203" s="657"/>
      <c r="AC203" s="657"/>
      <c r="AD203" s="657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653"/>
      <c r="AB204" s="653"/>
      <c r="AC204" s="653"/>
      <c r="AD204" s="653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653"/>
      <c r="AB205" s="653"/>
      <c r="AC205" s="653"/>
      <c r="AD205" s="653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2">+C206/7</f>
        <v>36.371428571428567</v>
      </c>
      <c r="F206" s="1049"/>
      <c r="G206" s="388"/>
      <c r="H206" s="388"/>
      <c r="I206" s="1052">
        <f t="shared" ref="I206:I213" si="63">+E206/8</f>
        <v>4.5464285714285708</v>
      </c>
      <c r="J206" s="1058"/>
      <c r="K206" s="1059">
        <f t="shared" ref="K206:K210" si="64">+E206*30</f>
        <v>1091.1428571428569</v>
      </c>
      <c r="L206" s="1059"/>
      <c r="M206" s="5"/>
      <c r="N206" s="1020">
        <f t="shared" ref="N206:N210" si="65">+I206/6*7</f>
        <v>5.3041666666666654</v>
      </c>
      <c r="O206" s="1020"/>
      <c r="P206" s="5"/>
      <c r="Q206" s="1056">
        <f t="shared" ref="Q206:Q210" si="66">+$I$69-I206</f>
        <v>0.68482142857142936</v>
      </c>
      <c r="R206" s="1057"/>
      <c r="U206" s="238">
        <f t="shared" ref="U206:U212" si="67">+AE167+U167+K167+AO146+AE146+U146+K146</f>
        <v>0</v>
      </c>
      <c r="V206" s="239">
        <v>48</v>
      </c>
      <c r="W206" s="240">
        <f t="shared" ref="W206:W210" si="68">+V206-U206</f>
        <v>48</v>
      </c>
      <c r="X206" s="241" t="e">
        <f t="shared" ref="X206:X212" si="69">+J146+T146+AD146+J167+T167+AD167</f>
        <v>#VALUE!</v>
      </c>
      <c r="Z206" s="389"/>
      <c r="AA206" s="653"/>
      <c r="AB206" s="653"/>
      <c r="AC206" s="653"/>
      <c r="AD206" s="653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2"/>
        <v>41.071428571428569</v>
      </c>
      <c r="F207" s="1049"/>
      <c r="G207" s="388"/>
      <c r="H207" s="388"/>
      <c r="I207" s="1052">
        <f t="shared" si="63"/>
        <v>5.1339285714285712</v>
      </c>
      <c r="J207" s="1058"/>
      <c r="K207" s="1059">
        <f t="shared" si="64"/>
        <v>1232.1428571428571</v>
      </c>
      <c r="L207" s="1059"/>
      <c r="M207" s="5"/>
      <c r="N207" s="1020">
        <f t="shared" si="65"/>
        <v>5.989583333333333</v>
      </c>
      <c r="O207" s="1020"/>
      <c r="P207" s="5"/>
      <c r="Q207" s="1056">
        <f t="shared" si="66"/>
        <v>9.7321428571429003E-2</v>
      </c>
      <c r="R207" s="1057"/>
      <c r="U207" s="238">
        <f t="shared" si="67"/>
        <v>0</v>
      </c>
      <c r="V207" s="239">
        <v>48</v>
      </c>
      <c r="W207" s="240">
        <f t="shared" si="68"/>
        <v>48</v>
      </c>
      <c r="X207" s="241" t="e">
        <f t="shared" si="69"/>
        <v>#VALUE!</v>
      </c>
      <c r="Z207" s="389"/>
      <c r="AA207" s="653"/>
      <c r="AB207" s="653"/>
      <c r="AC207" s="653"/>
      <c r="AD207" s="653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653"/>
      <c r="AB208" s="653"/>
      <c r="AC208" s="653"/>
      <c r="AD208" s="653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2"/>
        <v>33.33342857142857</v>
      </c>
      <c r="F209" s="1049"/>
      <c r="G209" s="388"/>
      <c r="H209" s="388"/>
      <c r="I209" s="1052">
        <f t="shared" si="63"/>
        <v>4.1666785714285712</v>
      </c>
      <c r="J209" s="1058"/>
      <c r="K209" s="1059">
        <f t="shared" si="64"/>
        <v>1000.0028571428571</v>
      </c>
      <c r="L209" s="1059"/>
      <c r="M209" s="5"/>
      <c r="N209" s="1020">
        <f t="shared" si="65"/>
        <v>4.8611250000000004</v>
      </c>
      <c r="O209" s="1020"/>
      <c r="P209" s="5"/>
      <c r="Q209" s="1056">
        <f t="shared" si="66"/>
        <v>1.0645714285714289</v>
      </c>
      <c r="R209" s="1057"/>
      <c r="S209" s="1066">
        <f>20*30/180*117</f>
        <v>390</v>
      </c>
      <c r="T209" s="1067"/>
      <c r="U209" s="238">
        <f t="shared" si="67"/>
        <v>0</v>
      </c>
      <c r="V209" s="239">
        <v>48</v>
      </c>
      <c r="W209" s="240">
        <f t="shared" si="68"/>
        <v>48</v>
      </c>
      <c r="X209" s="241">
        <f t="shared" si="69"/>
        <v>0</v>
      </c>
      <c r="Z209" s="1045" t="s">
        <v>53</v>
      </c>
      <c r="AA209" s="1045"/>
      <c r="AB209" s="1045"/>
      <c r="AC209" s="1045"/>
      <c r="AD209" s="389" t="s">
        <v>54</v>
      </c>
      <c r="AE209" s="653"/>
      <c r="AF209" s="386"/>
      <c r="AG209" s="655"/>
      <c r="AH209" s="655"/>
      <c r="AI209" s="386"/>
      <c r="AJ209" s="386"/>
      <c r="AK209" s="654"/>
      <c r="AL209" s="654"/>
      <c r="AM209" s="654"/>
      <c r="AN209" s="654"/>
      <c r="AO209" s="654"/>
      <c r="AP209" s="654"/>
      <c r="AQ209" s="654"/>
      <c r="AR209" s="654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2"/>
        <v>41.071428571428569</v>
      </c>
      <c r="F210" s="1049"/>
      <c r="G210" s="388"/>
      <c r="H210" s="388"/>
      <c r="I210" s="1052">
        <f t="shared" si="63"/>
        <v>5.1339285714285712</v>
      </c>
      <c r="J210" s="1058"/>
      <c r="K210" s="1059">
        <f t="shared" si="64"/>
        <v>1232.1428571428571</v>
      </c>
      <c r="L210" s="1059"/>
      <c r="M210" s="5"/>
      <c r="N210" s="1020">
        <f t="shared" si="65"/>
        <v>5.989583333333333</v>
      </c>
      <c r="O210" s="1020"/>
      <c r="P210" s="5"/>
      <c r="Q210" s="1056">
        <f t="shared" si="66"/>
        <v>9.7321428571429003E-2</v>
      </c>
      <c r="R210" s="105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653"/>
      <c r="AA210" s="653"/>
      <c r="AB210" s="653"/>
      <c r="AC210" s="653"/>
      <c r="AD210" s="653"/>
      <c r="AE210" s="386"/>
      <c r="AF210" s="386"/>
      <c r="AG210" s="244"/>
      <c r="AH210" s="244"/>
      <c r="AI210" s="655"/>
      <c r="AJ210" s="655"/>
      <c r="AK210" s="655"/>
      <c r="AL210" s="655"/>
      <c r="AM210" s="655"/>
      <c r="AN210" s="655"/>
      <c r="AO210" s="655"/>
      <c r="AP210" s="655"/>
      <c r="AQ210" s="655"/>
      <c r="AR210" s="655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2"/>
        <v>41.071428571428569</v>
      </c>
      <c r="F211" s="1049"/>
      <c r="G211" s="1068"/>
      <c r="H211" s="1069"/>
      <c r="I211" s="1052">
        <f t="shared" si="63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67"/>
        <v>0</v>
      </c>
      <c r="V211" s="239">
        <v>48</v>
      </c>
      <c r="W211" s="240">
        <f>+V211-U211</f>
        <v>48</v>
      </c>
      <c r="X211" s="241">
        <f t="shared" si="69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655"/>
      <c r="AN211" s="655"/>
      <c r="AO211" s="655"/>
      <c r="AP211" s="655"/>
      <c r="AQ211" s="655"/>
      <c r="AR211" s="655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2"/>
        <v>29.571428571428573</v>
      </c>
      <c r="F212" s="1049"/>
      <c r="G212" s="1062"/>
      <c r="H212" s="1063"/>
      <c r="I212" s="1052">
        <f t="shared" si="63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0">+I212/6*7</f>
        <v>4.3125</v>
      </c>
      <c r="O212" s="1020"/>
      <c r="P212" s="5"/>
      <c r="Q212" s="1056">
        <f t="shared" ref="Q212:Q213" si="71">+$I$69-I212</f>
        <v>1.5348214285714286</v>
      </c>
      <c r="R212" s="1057"/>
      <c r="S212" s="1066">
        <f>20*30/180*117</f>
        <v>390</v>
      </c>
      <c r="T212" s="1067"/>
      <c r="U212" s="238">
        <f t="shared" si="67"/>
        <v>0</v>
      </c>
      <c r="V212" s="239">
        <v>48</v>
      </c>
      <c r="W212" s="240">
        <f t="shared" ref="W212:W213" si="72">+V212-U212</f>
        <v>48</v>
      </c>
      <c r="X212" s="241">
        <f t="shared" si="69"/>
        <v>0</v>
      </c>
      <c r="Y212" s="248"/>
      <c r="Z212" s="653"/>
      <c r="AA212" s="653"/>
      <c r="AB212" s="653"/>
      <c r="AC212" s="653"/>
      <c r="AD212" s="653"/>
      <c r="AE212" s="386"/>
      <c r="AF212" s="386"/>
      <c r="AG212" s="655"/>
      <c r="AH212" s="655"/>
      <c r="AI212" s="393"/>
      <c r="AJ212" s="393"/>
      <c r="AK212" s="393"/>
      <c r="AL212" s="393"/>
      <c r="AM212" s="655"/>
      <c r="AN212" s="655"/>
      <c r="AO212" s="655"/>
      <c r="AP212" s="655"/>
      <c r="AQ212" s="655"/>
      <c r="AR212" s="655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2"/>
        <v>28.333328571428574</v>
      </c>
      <c r="F213" s="1049"/>
      <c r="G213" s="1050">
        <v>25.761900000000001</v>
      </c>
      <c r="H213" s="1051"/>
      <c r="I213" s="1052">
        <f t="shared" si="63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0"/>
        <v>4.1319437500000005</v>
      </c>
      <c r="O213" s="1020"/>
      <c r="P213" s="5"/>
      <c r="Q213" s="1056">
        <f t="shared" si="71"/>
        <v>1.6895839285714285</v>
      </c>
      <c r="R213" s="1057"/>
      <c r="S213" s="657"/>
      <c r="T213" s="657"/>
      <c r="U213" s="238">
        <f>+AE175+U175+K175+AO154+AE154+U154+K154</f>
        <v>0</v>
      </c>
      <c r="V213" s="239">
        <v>48</v>
      </c>
      <c r="W213" s="240">
        <f t="shared" si="72"/>
        <v>48</v>
      </c>
      <c r="X213" s="241">
        <f>+J154+T154+AD154+J175+T175+AD175</f>
        <v>0</v>
      </c>
      <c r="Y213" s="657"/>
      <c r="Z213" s="653"/>
      <c r="AA213" s="653"/>
      <c r="AB213" s="653"/>
      <c r="AC213" s="653"/>
      <c r="AD213" s="653"/>
      <c r="AE213" s="386"/>
      <c r="AF213" s="386"/>
      <c r="AG213" s="655"/>
      <c r="AH213" s="655"/>
      <c r="AI213" s="393"/>
      <c r="AJ213" s="393"/>
      <c r="AK213" s="393"/>
      <c r="AL213" s="393"/>
      <c r="AM213" s="655"/>
      <c r="AN213" s="655"/>
      <c r="AO213" s="655"/>
      <c r="AP213" s="655"/>
      <c r="AQ213" s="655"/>
      <c r="AR213" s="655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3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653"/>
      <c r="AC214" s="653"/>
      <c r="AD214" s="653"/>
      <c r="AE214" s="386"/>
      <c r="AF214" s="386"/>
      <c r="AG214" s="655"/>
      <c r="AH214" s="655"/>
      <c r="AI214" s="655"/>
      <c r="AJ214" s="655"/>
      <c r="AK214" s="655"/>
      <c r="AL214" s="655"/>
      <c r="AM214" s="655"/>
      <c r="AN214" s="655"/>
      <c r="AO214" s="655"/>
      <c r="AP214" s="655"/>
      <c r="AQ214" s="655"/>
      <c r="AR214" s="655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4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653"/>
      <c r="AE215" s="386"/>
      <c r="AF215" s="386"/>
      <c r="AG215" s="244"/>
      <c r="AH215" s="244"/>
      <c r="AI215" s="655"/>
      <c r="AJ215" s="655"/>
      <c r="AK215" s="655"/>
      <c r="AL215" s="655"/>
      <c r="AM215" s="655"/>
      <c r="AN215" s="655"/>
      <c r="AO215" s="655"/>
      <c r="AP215" s="655"/>
      <c r="AQ215" s="655"/>
      <c r="AR215" s="655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4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653"/>
      <c r="AD216" s="653"/>
      <c r="AE216" s="386"/>
      <c r="AF216" s="386"/>
      <c r="AG216" s="655"/>
      <c r="AH216" s="655"/>
      <c r="AI216" s="393"/>
      <c r="AJ216" s="393"/>
      <c r="AK216" s="393"/>
      <c r="AL216" s="393"/>
      <c r="AM216" s="655"/>
      <c r="AN216" s="655"/>
      <c r="AO216" s="655"/>
      <c r="AP216" s="655"/>
      <c r="AQ216" s="655"/>
      <c r="AR216" s="655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4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5">+I217/6*7</f>
        <v>4.1319395833333337</v>
      </c>
      <c r="O217" s="1044"/>
      <c r="P217" s="5"/>
      <c r="Q217" s="1004">
        <f t="shared" ref="Q217" si="76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77">+V217-U217</f>
        <v>48</v>
      </c>
      <c r="X217" s="241">
        <f>+J157+T157+AD157+J178+T178+AD178</f>
        <v>0</v>
      </c>
      <c r="Z217" s="252"/>
      <c r="AA217" s="394"/>
      <c r="AB217" s="389"/>
      <c r="AC217" s="653"/>
      <c r="AD217" s="653"/>
      <c r="AE217" s="386"/>
      <c r="AF217" s="386"/>
      <c r="AG217" s="393"/>
      <c r="AH217" s="393"/>
      <c r="AI217" s="655"/>
      <c r="AJ217" s="655"/>
      <c r="AK217" s="655"/>
      <c r="AL217" s="655"/>
      <c r="AM217" s="655"/>
      <c r="AN217" s="655"/>
      <c r="AO217" s="655"/>
      <c r="AP217" s="655"/>
      <c r="AQ217" s="655"/>
      <c r="AR217" s="655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4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653"/>
      <c r="AC218" s="653"/>
      <c r="AD218" s="653">
        <v>200</v>
      </c>
      <c r="AE218" s="386"/>
      <c r="AF218" s="1023">
        <f>+AD218/6</f>
        <v>33.333333333333336</v>
      </c>
      <c r="AG218" s="1023"/>
      <c r="AH218" s="1023"/>
      <c r="AI218" s="655"/>
      <c r="AJ218" s="655"/>
      <c r="AK218" s="655"/>
      <c r="AL218" s="655"/>
      <c r="AM218" s="655"/>
      <c r="AN218" s="655"/>
      <c r="AO218" s="655"/>
      <c r="AP218" s="655"/>
      <c r="AQ218" s="655"/>
      <c r="AR218" s="655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4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78">+V219-U219</f>
        <v>48</v>
      </c>
      <c r="X219" s="241">
        <f>+J158+T158+AD158+J179+T179+AD179</f>
        <v>0</v>
      </c>
      <c r="Y219" s="248"/>
      <c r="Z219" s="653"/>
      <c r="AA219" s="653"/>
      <c r="AB219" s="653"/>
      <c r="AC219" s="653"/>
      <c r="AG219" s="655"/>
      <c r="AH219" s="655"/>
      <c r="AI219" s="386"/>
      <c r="AJ219" s="386"/>
      <c r="AK219" s="654"/>
      <c r="AL219" s="654"/>
      <c r="AM219" s="654"/>
      <c r="AN219" s="654"/>
      <c r="AO219" s="654"/>
      <c r="AP219" s="654"/>
      <c r="AQ219" s="654"/>
      <c r="AR219" s="654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4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79">+I220/6*7</f>
        <v>11.423610416666666</v>
      </c>
      <c r="O220" s="1020"/>
      <c r="P220" s="5"/>
      <c r="Q220" s="1004">
        <f t="shared" ref="Q220" si="80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78"/>
        <v>48</v>
      </c>
      <c r="X220" s="241">
        <f>+J162+T162+AD162+J183+T183+AD183</f>
        <v>0</v>
      </c>
      <c r="Z220" s="246"/>
      <c r="AA220" s="246"/>
      <c r="AB220" s="653"/>
      <c r="AC220" s="653"/>
      <c r="AD220" s="653"/>
      <c r="AE220" s="386"/>
      <c r="AF220" s="386"/>
      <c r="AG220" s="655"/>
      <c r="AH220" s="655"/>
      <c r="AI220" s="655"/>
      <c r="AJ220" s="655"/>
      <c r="AK220" s="655"/>
      <c r="AL220" s="655"/>
      <c r="AM220" s="655"/>
      <c r="AN220" s="655"/>
      <c r="AO220" s="655"/>
      <c r="AP220" s="655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656"/>
      <c r="E223" s="304"/>
      <c r="F223" s="305"/>
      <c r="G223" s="656"/>
      <c r="H223" s="656"/>
      <c r="I223" s="305"/>
      <c r="J223" s="656"/>
      <c r="K223" s="306"/>
      <c r="L223" s="306"/>
      <c r="M223" s="656"/>
      <c r="N223" s="656"/>
      <c r="O223" s="656"/>
      <c r="P223" s="656"/>
      <c r="Q223" s="656"/>
      <c r="R223" s="656"/>
      <c r="S223" s="656"/>
      <c r="T223" s="656"/>
      <c r="U223" s="656"/>
      <c r="V223" s="656"/>
      <c r="W223" s="656"/>
      <c r="X223" s="656"/>
      <c r="Y223" s="656"/>
      <c r="Z223" s="656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1">+I227+L227+O227</f>
        <v>33.762</v>
      </c>
      <c r="S227" s="1001"/>
      <c r="T227" s="1001"/>
      <c r="U227" s="961">
        <f t="shared" ref="U227:U234" si="82">+I227*7+(L227+O227)*6</f>
        <v>233.334</v>
      </c>
      <c r="V227" s="961"/>
      <c r="W227" s="962"/>
      <c r="X227" s="963">
        <f t="shared" ref="X227:X234" si="83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1"/>
        <v>28.762</v>
      </c>
      <c r="S228" s="998"/>
      <c r="T228" s="998"/>
      <c r="U228" s="953">
        <f t="shared" si="82"/>
        <v>198.334</v>
      </c>
      <c r="V228" s="953"/>
      <c r="W228" s="954"/>
      <c r="X228" s="947">
        <f t="shared" si="83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4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41.5</v>
      </c>
      <c r="S229" s="998"/>
      <c r="T229" s="998"/>
      <c r="U229" s="953">
        <f t="shared" si="82"/>
        <v>287.5</v>
      </c>
      <c r="V229" s="953"/>
      <c r="W229" s="954"/>
      <c r="X229" s="947">
        <f t="shared" si="83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36.799999999999997</v>
      </c>
      <c r="S232" s="998"/>
      <c r="T232" s="998"/>
      <c r="U232" s="953">
        <f t="shared" si="82"/>
        <v>254.59999999999997</v>
      </c>
      <c r="V232" s="953"/>
      <c r="W232" s="954"/>
      <c r="X232" s="947">
        <f t="shared" si="83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41.5</v>
      </c>
      <c r="S233" s="998"/>
      <c r="T233" s="998"/>
      <c r="U233" s="953">
        <f t="shared" si="82"/>
        <v>287.5</v>
      </c>
      <c r="V233" s="953"/>
      <c r="W233" s="954"/>
      <c r="X233" s="947">
        <f t="shared" si="83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37.095199999999998</v>
      </c>
      <c r="S234" s="998"/>
      <c r="T234" s="998"/>
      <c r="U234" s="953">
        <f t="shared" si="82"/>
        <v>256.66639999999995</v>
      </c>
      <c r="V234" s="953"/>
      <c r="W234" s="954"/>
      <c r="X234" s="947">
        <f t="shared" si="83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655"/>
      <c r="AF243" s="655"/>
      <c r="AG243" s="386"/>
      <c r="AH243" s="386"/>
      <c r="AI243" s="386"/>
      <c r="AJ243" s="655"/>
      <c r="AK243" s="655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655"/>
      <c r="AF244" s="655"/>
      <c r="AG244" s="386"/>
      <c r="AH244" s="386"/>
      <c r="AI244" s="386"/>
      <c r="AJ244" s="655"/>
      <c r="AK244" s="655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655"/>
      <c r="AF246" s="655"/>
      <c r="AG246" s="386"/>
      <c r="AH246" s="386"/>
      <c r="AI246" s="386"/>
      <c r="AJ246" s="655"/>
      <c r="AK246" s="655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655"/>
      <c r="AF249" s="655"/>
      <c r="AG249" s="386"/>
      <c r="AH249" s="386"/>
      <c r="AI249" s="386"/>
      <c r="AJ249" s="655"/>
      <c r="AK249" s="655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654"/>
      <c r="AM251" s="655"/>
      <c r="AN251" s="654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656"/>
      <c r="E260" s="304"/>
      <c r="F260" s="305"/>
      <c r="G260" s="656"/>
      <c r="H260" s="656"/>
      <c r="I260" s="305"/>
      <c r="J260" s="656"/>
      <c r="K260" s="306"/>
      <c r="L260" s="306"/>
      <c r="M260" s="656"/>
      <c r="N260" s="656"/>
      <c r="O260" s="656"/>
      <c r="P260" s="656"/>
      <c r="Q260" s="656"/>
      <c r="R260" s="656"/>
      <c r="S260" s="656"/>
      <c r="T260" s="656"/>
      <c r="U260" s="656"/>
      <c r="V260" s="656"/>
      <c r="W260" s="656"/>
      <c r="X260" s="656"/>
      <c r="Y260" s="656"/>
      <c r="Z260" s="656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5">+I264+L264+O264</f>
        <v>41.5</v>
      </c>
      <c r="S264" s="960"/>
      <c r="T264" s="960"/>
      <c r="U264" s="961">
        <f t="shared" ref="U264:U270" si="86">+I264*7+(L264+O264)*6</f>
        <v>287.5</v>
      </c>
      <c r="V264" s="961"/>
      <c r="W264" s="962"/>
      <c r="X264" s="963">
        <f t="shared" ref="X264:X270" si="87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88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5"/>
        <v>41.5</v>
      </c>
      <c r="S265" s="938"/>
      <c r="T265" s="938"/>
      <c r="U265" s="953">
        <f t="shared" si="86"/>
        <v>287.5</v>
      </c>
      <c r="V265" s="953"/>
      <c r="W265" s="954"/>
      <c r="X265" s="947">
        <f t="shared" si="87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88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88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38</v>
      </c>
      <c r="S267" s="938"/>
      <c r="T267" s="938"/>
      <c r="U267" s="953">
        <f t="shared" si="86"/>
        <v>263</v>
      </c>
      <c r="V267" s="953"/>
      <c r="W267" s="954"/>
      <c r="X267" s="947">
        <f t="shared" si="87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88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36.799999999999997</v>
      </c>
      <c r="S268" s="938"/>
      <c r="T268" s="938"/>
      <c r="U268" s="953">
        <f t="shared" si="86"/>
        <v>254.59999999999997</v>
      </c>
      <c r="V268" s="953"/>
      <c r="W268" s="954"/>
      <c r="X268" s="947">
        <f t="shared" si="87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88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88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29</v>
      </c>
      <c r="S270" s="938"/>
      <c r="T270" s="938"/>
      <c r="U270" s="953">
        <f t="shared" si="86"/>
        <v>200</v>
      </c>
      <c r="V270" s="953"/>
      <c r="W270" s="954"/>
      <c r="X270" s="947">
        <f t="shared" si="87"/>
        <v>857.14285714285722</v>
      </c>
      <c r="Y270" s="948"/>
      <c r="Z270" s="949"/>
      <c r="AA270" s="935">
        <v>25</v>
      </c>
      <c r="AB270" s="936"/>
      <c r="AC270" s="936"/>
      <c r="AD270" s="937">
        <f t="shared" si="88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345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344" priority="27" stopIfTrue="1" operator="greaterThanOrEqual">
      <formula>$K$72</formula>
    </cfRule>
  </conditionalFormatting>
  <conditionalFormatting sqref="AR48:AT48 AR46:AT46 AP56:AT57 AR60:AS60 AR43:AS45 AR32:AS32 AR33:AR42 AP22:AT26 AT19:AT21 AP19:AP21 AR19:AR21 AT5 AP11:AT18 AQ20:AQ21 AS20:AS21">
    <cfRule type="cellIs" dxfId="343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342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341" priority="24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AE42:AE43 U42:U45 V43:V44 U32:V32 U25:V26 K25:L26 AE32:AF32 AE25:AF26 U24 K22:L23 K24 K32:L32 U22:V23 U33:U40 AE33:AE40 K33:K43 AE14:AF14 K11:L11 AE11:AE13 U11:V11 K17:L17 V17 K12:K16 U12:U21 K18:K21 AO11:AO26 AE15:AE24">
    <cfRule type="cellIs" dxfId="340" priority="23" stopIfTrue="1" operator="lessThanOrEqual">
      <formula>0</formula>
    </cfRule>
  </conditionalFormatting>
  <conditionalFormatting sqref="Z49:AA53 Z61:AA66 W85:X85 W74:X83">
    <cfRule type="cellIs" dxfId="339" priority="22" stopIfTrue="1" operator="lessThan">
      <formula>0</formula>
    </cfRule>
  </conditionalFormatting>
  <conditionalFormatting sqref="X49:X53 X61:X66 U85 U74:U83">
    <cfRule type="cellIs" dxfId="338" priority="21" stopIfTrue="1" operator="greaterThan">
      <formula>48</formula>
    </cfRule>
  </conditionalFormatting>
  <conditionalFormatting sqref="C275:C279 C287:D290 C158:D158 D275:D286 C86:D141">
    <cfRule type="cellIs" dxfId="337" priority="20" stopIfTrue="1" operator="lessThan">
      <formula>$C$71</formula>
    </cfRule>
  </conditionalFormatting>
  <conditionalFormatting sqref="AI60:AO60 AI32:AO48">
    <cfRule type="cellIs" dxfId="336" priority="18" stopIfTrue="1" operator="equal">
      <formula>0</formula>
    </cfRule>
    <cfRule type="cellIs" dxfId="335" priority="19" stopIfTrue="1" operator="lessThan">
      <formula>0</formula>
    </cfRule>
  </conditionalFormatting>
  <conditionalFormatting sqref="AT60 AT32:AT45">
    <cfRule type="cellIs" dxfId="334" priority="16" stopIfTrue="1" operator="greaterThan">
      <formula>0</formula>
    </cfRule>
    <cfRule type="cellIs" dxfId="333" priority="17" stopIfTrue="1" operator="lessThan">
      <formula>1</formula>
    </cfRule>
  </conditionalFormatting>
  <conditionalFormatting sqref="K84:L84 K71:L81">
    <cfRule type="cellIs" dxfId="332" priority="15" stopIfTrue="1" operator="greaterThanOrEqual">
      <formula>$K$69</formula>
    </cfRule>
  </conditionalFormatting>
  <conditionalFormatting sqref="AF56:AF57 AF33:AF45 V32:V45 L32:L45 L12:L24 V12:V24 AF11:AF24">
    <cfRule type="cellIs" dxfId="331" priority="13" stopIfTrue="1" operator="equal">
      <formula>0</formula>
    </cfRule>
    <cfRule type="cellIs" dxfId="330" priority="14" stopIfTrue="1" operator="lessThan">
      <formula>0</formula>
    </cfRule>
  </conditionalFormatting>
  <conditionalFormatting sqref="K198:L240">
    <cfRule type="cellIs" dxfId="329" priority="12" stopIfTrue="1" operator="greaterThanOrEqual">
      <formula>$K$72</formula>
    </cfRule>
  </conditionalFormatting>
  <conditionalFormatting sqref="K240:L240">
    <cfRule type="cellIs" dxfId="328" priority="11" stopIfTrue="1" operator="greaterThanOrEqual">
      <formula>$K$72</formula>
    </cfRule>
  </conditionalFormatting>
  <conditionalFormatting sqref="C240:D240">
    <cfRule type="cellIs" dxfId="327" priority="10" stopIfTrue="1" operator="lessThan">
      <formula>$C$71</formula>
    </cfRule>
  </conditionalFormatting>
  <conditionalFormatting sqref="AP199:AP202">
    <cfRule type="cellIs" dxfId="326" priority="9" stopIfTrue="1" operator="lessThanOrEqual">
      <formula>0</formula>
    </cfRule>
  </conditionalFormatting>
  <conditionalFormatting sqref="K220:L221 L214:L216 K214:K218">
    <cfRule type="cellIs" dxfId="325" priority="8" stopIfTrue="1" operator="greaterThanOrEqual">
      <formula>$K$72</formula>
    </cfRule>
  </conditionalFormatting>
  <conditionalFormatting sqref="P199:P201">
    <cfRule type="cellIs" dxfId="324" priority="7" stopIfTrue="1" operator="lessThanOrEqual">
      <formula>0</formula>
    </cfRule>
  </conditionalFormatting>
  <conditionalFormatting sqref="S199:S201">
    <cfRule type="cellIs" dxfId="323" priority="6" stopIfTrue="1" operator="lessThanOrEqual">
      <formula>0</formula>
    </cfRule>
  </conditionalFormatting>
  <conditionalFormatting sqref="U199:V201">
    <cfRule type="cellIs" dxfId="322" priority="5" stopIfTrue="1" operator="lessThanOrEqual">
      <formula>0</formula>
    </cfRule>
  </conditionalFormatting>
  <conditionalFormatting sqref="Z199:AA201 W220:X220 W209:X218">
    <cfRule type="cellIs" dxfId="321" priority="4" stopIfTrue="1" operator="lessThan">
      <formula>0</formula>
    </cfRule>
  </conditionalFormatting>
  <conditionalFormatting sqref="X199:X201 U220 U209:U218">
    <cfRule type="cellIs" dxfId="320" priority="3" stopIfTrue="1" operator="greaterThan">
      <formula>48</formula>
    </cfRule>
  </conditionalFormatting>
  <conditionalFormatting sqref="C221:D221">
    <cfRule type="cellIs" dxfId="319" priority="2" stopIfTrue="1" operator="lessThan">
      <formula>$C$71</formula>
    </cfRule>
  </conditionalFormatting>
  <conditionalFormatting sqref="K219:L219 K206:L216">
    <cfRule type="cellIs" dxfId="318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K37" formula="1"/>
  </ignoredErrors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F44" sqref="F44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573" customWidth="1"/>
    <col min="5" max="5" width="4.28515625" style="3" customWidth="1"/>
    <col min="6" max="6" width="4.28515625" style="4" customWidth="1"/>
    <col min="7" max="8" width="4.28515625" style="573" customWidth="1"/>
    <col min="9" max="9" width="4.28515625" style="4" customWidth="1"/>
    <col min="10" max="10" width="4.28515625" style="573" customWidth="1"/>
    <col min="11" max="12" width="4.28515625" style="5" customWidth="1"/>
    <col min="13" max="26" width="4.28515625" style="573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43194</v>
      </c>
      <c r="C1" s="573" t="s">
        <v>0</v>
      </c>
      <c r="AN1" s="7"/>
      <c r="AO1" s="7"/>
      <c r="AR1" s="1340">
        <f>+AR46+AT46</f>
        <v>288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43195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573">
        <v>0</v>
      </c>
    </row>
    <row r="5" spans="1:58" ht="10.9" customHeight="1">
      <c r="B5" s="1244" t="s">
        <v>1</v>
      </c>
      <c r="C5" s="1140">
        <v>43188</v>
      </c>
      <c r="D5" s="1140"/>
      <c r="E5" s="1140"/>
      <c r="F5" s="1140"/>
      <c r="G5" s="1140"/>
      <c r="H5" s="1140"/>
      <c r="I5" s="1140"/>
      <c r="J5" s="1140"/>
      <c r="K5" s="1347" t="s">
        <v>125</v>
      </c>
      <c r="L5" s="1348"/>
      <c r="M5" s="1351">
        <f>1+C5</f>
        <v>43189</v>
      </c>
      <c r="N5" s="1351"/>
      <c r="O5" s="1351"/>
      <c r="P5" s="1351"/>
      <c r="Q5" s="1351"/>
      <c r="R5" s="1351"/>
      <c r="S5" s="1351"/>
      <c r="T5" s="1351"/>
      <c r="U5" s="1347" t="s">
        <v>125</v>
      </c>
      <c r="V5" s="1348"/>
      <c r="W5" s="1353">
        <f>1+M5</f>
        <v>43190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43191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43188</v>
      </c>
      <c r="AW7" s="1296">
        <f>+M5</f>
        <v>43189</v>
      </c>
      <c r="AX7" s="1296">
        <f>+W5</f>
        <v>43190</v>
      </c>
      <c r="AY7" s="1309">
        <f>+AG5</f>
        <v>43191</v>
      </c>
      <c r="AZ7" s="1296">
        <f>+C26</f>
        <v>43192</v>
      </c>
      <c r="BA7" s="1296">
        <f>+M26</f>
        <v>43193</v>
      </c>
      <c r="BB7" s="1296">
        <f>+W26</f>
        <v>43194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8</v>
      </c>
      <c r="D11" s="335">
        <v>16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-7</v>
      </c>
      <c r="L11" s="20">
        <f t="shared" ref="L11:L24" si="4">IF(C11&gt;0,(F11+I11)+IF(K$5&gt;0,F11,-8),0)+IF(U$5&gt;0,I11,0)</f>
        <v>14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-7</v>
      </c>
      <c r="V11" s="20">
        <f t="shared" ref="V11:V20" si="8">IF(M11&gt;0,(P11+S11)+IF(U$5&gt;0,P11,-8),0)+IF(AE$5&gt;0,S11,0)</f>
        <v>14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41</v>
      </c>
      <c r="AQ11" s="1298"/>
      <c r="AR11" s="1299">
        <f t="shared" ref="AR11:AR20" si="16">ROUND(BD11*AP11,1)</f>
        <v>186.4</v>
      </c>
      <c r="AS11" s="1300"/>
      <c r="AT11" s="338">
        <f t="shared" ref="AT11:AT24" si="17">IF(AT32&gt;0,AT32*$AT$10,0)</f>
        <v>28</v>
      </c>
      <c r="AV11" s="26">
        <f t="shared" ref="AV11:AV20" si="18">+L11</f>
        <v>14</v>
      </c>
      <c r="AW11" s="26">
        <f t="shared" ref="AW11:AW20" si="19">+V11</f>
        <v>14</v>
      </c>
      <c r="AX11" s="26">
        <f t="shared" ref="AX11:AX20" si="20">+AF11</f>
        <v>-1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-1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186.40357142857141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18</v>
      </c>
      <c r="D12" s="342">
        <v>24</v>
      </c>
      <c r="E12" s="30">
        <v>1</v>
      </c>
      <c r="F12" s="31">
        <f t="shared" si="1"/>
        <v>5</v>
      </c>
      <c r="G12" s="342">
        <v>0</v>
      </c>
      <c r="H12" s="342">
        <v>7</v>
      </c>
      <c r="I12" s="31">
        <f t="shared" si="2"/>
        <v>7</v>
      </c>
      <c r="J12" s="30"/>
      <c r="K12" s="32">
        <f t="shared" si="3"/>
        <v>-12</v>
      </c>
      <c r="L12" s="20">
        <f t="shared" si="4"/>
        <v>24</v>
      </c>
      <c r="M12" s="577">
        <v>18</v>
      </c>
      <c r="N12" s="342">
        <v>24</v>
      </c>
      <c r="O12" s="30">
        <v>1</v>
      </c>
      <c r="P12" s="31">
        <f t="shared" si="5"/>
        <v>5</v>
      </c>
      <c r="Q12" s="33">
        <v>0</v>
      </c>
      <c r="R12" s="342">
        <v>7</v>
      </c>
      <c r="S12" s="31">
        <f t="shared" si="6"/>
        <v>7</v>
      </c>
      <c r="T12" s="30"/>
      <c r="U12" s="32">
        <f t="shared" si="7"/>
        <v>-5</v>
      </c>
      <c r="V12" s="20">
        <f t="shared" si="8"/>
        <v>17</v>
      </c>
      <c r="W12" s="342">
        <v>19</v>
      </c>
      <c r="X12" s="342">
        <v>24</v>
      </c>
      <c r="Y12" s="30">
        <v>1</v>
      </c>
      <c r="Z12" s="31">
        <f t="shared" si="9"/>
        <v>4</v>
      </c>
      <c r="AA12" s="344">
        <v>0</v>
      </c>
      <c r="AB12" s="348">
        <v>8</v>
      </c>
      <c r="AC12" s="36">
        <f t="shared" si="10"/>
        <v>8</v>
      </c>
      <c r="AD12" s="30">
        <v>8</v>
      </c>
      <c r="AE12" s="32">
        <f t="shared" si="11"/>
        <v>4</v>
      </c>
      <c r="AF12" s="20">
        <f>IF(W12&gt;0,IF(AE$5&gt;0,(Z12+AC12)*2,(Z12+AC12-8)),0)*IF(Z12&lt;9,IF(AE$5&gt;0,1,2),1)+IF(Z12&gt;8,AC12,0)</f>
        <v>8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>
        <v>-5</v>
      </c>
      <c r="AO12" s="40">
        <f t="shared" si="14"/>
        <v>0</v>
      </c>
      <c r="AP12" s="1282">
        <f t="shared" si="15"/>
        <v>59</v>
      </c>
      <c r="AQ12" s="1283"/>
      <c r="AR12" s="1284">
        <f t="shared" si="16"/>
        <v>302.89999999999998</v>
      </c>
      <c r="AS12" s="1285"/>
      <c r="AT12" s="345">
        <f t="shared" si="17"/>
        <v>24</v>
      </c>
      <c r="AV12" s="26">
        <f t="shared" si="18"/>
        <v>24</v>
      </c>
      <c r="AW12" s="26">
        <f t="shared" si="19"/>
        <v>17</v>
      </c>
      <c r="AX12" s="26">
        <f t="shared" si="20"/>
        <v>8</v>
      </c>
      <c r="AY12" s="27">
        <f t="shared" si="21"/>
        <v>0</v>
      </c>
      <c r="AZ12" s="26">
        <f t="shared" si="22"/>
        <v>2</v>
      </c>
      <c r="BA12" s="26">
        <f t="shared" si="23"/>
        <v>2</v>
      </c>
      <c r="BB12" s="26">
        <f t="shared" si="24"/>
        <v>1</v>
      </c>
      <c r="BC12" s="28"/>
      <c r="BD12" s="339">
        <f t="shared" si="25"/>
        <v>5.1339285714285712</v>
      </c>
      <c r="BE12" s="340">
        <f t="shared" si="26"/>
        <v>302.90178571428572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577"/>
      <c r="N13" s="342"/>
      <c r="O13" s="30"/>
      <c r="P13" s="31">
        <f t="shared" si="5"/>
        <v>0</v>
      </c>
      <c r="Q13" s="33"/>
      <c r="R13" s="346"/>
      <c r="S13" s="31">
        <f t="shared" si="6"/>
        <v>0</v>
      </c>
      <c r="T13" s="30"/>
      <c r="U13" s="32">
        <f t="shared" si="7"/>
        <v>0</v>
      </c>
      <c r="V13" s="20">
        <f t="shared" si="8"/>
        <v>0</v>
      </c>
      <c r="W13" s="342">
        <v>8</v>
      </c>
      <c r="X13" s="342">
        <v>18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3"/>
        <v>0</v>
      </c>
      <c r="AN13" s="43"/>
      <c r="AO13" s="40">
        <f t="shared" si="14"/>
        <v>16</v>
      </c>
      <c r="AP13" s="1282">
        <f t="shared" si="15"/>
        <v>17</v>
      </c>
      <c r="AQ13" s="1283"/>
      <c r="AR13" s="1284">
        <f t="shared" si="16"/>
        <v>87.3</v>
      </c>
      <c r="AS13" s="1285"/>
      <c r="AT13" s="345">
        <f t="shared" si="17"/>
        <v>20</v>
      </c>
      <c r="AV13" s="26">
        <f t="shared" si="18"/>
        <v>0</v>
      </c>
      <c r="AW13" s="26">
        <f t="shared" si="19"/>
        <v>0</v>
      </c>
      <c r="AX13" s="26">
        <f t="shared" si="20"/>
        <v>1</v>
      </c>
      <c r="AY13" s="27">
        <f t="shared" si="21"/>
        <v>16</v>
      </c>
      <c r="AZ13" s="26">
        <f t="shared" si="22"/>
        <v>0</v>
      </c>
      <c r="BA13" s="26">
        <f t="shared" si="23"/>
        <v>0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87.276785714285708</v>
      </c>
      <c r="BF13" s="341">
        <f t="shared" si="27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18</v>
      </c>
      <c r="D14" s="346">
        <v>24</v>
      </c>
      <c r="E14" s="42">
        <v>1</v>
      </c>
      <c r="F14" s="44">
        <f t="shared" si="1"/>
        <v>5</v>
      </c>
      <c r="G14" s="346">
        <v>0</v>
      </c>
      <c r="H14" s="346">
        <v>7</v>
      </c>
      <c r="I14" s="44">
        <f t="shared" si="2"/>
        <v>7</v>
      </c>
      <c r="J14" s="42"/>
      <c r="K14" s="45">
        <f t="shared" si="3"/>
        <v>-12</v>
      </c>
      <c r="L14" s="20">
        <f t="shared" si="4"/>
        <v>24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/>
      <c r="U14" s="45">
        <f t="shared" si="7"/>
        <v>-5</v>
      </c>
      <c r="V14" s="20">
        <f t="shared" si="8"/>
        <v>17</v>
      </c>
      <c r="W14" s="347">
        <v>18</v>
      </c>
      <c r="X14" s="346">
        <v>24</v>
      </c>
      <c r="Y14" s="42">
        <v>1</v>
      </c>
      <c r="Z14" s="44">
        <f t="shared" si="9"/>
        <v>5</v>
      </c>
      <c r="AA14" s="344">
        <v>0</v>
      </c>
      <c r="AB14" s="344">
        <v>8</v>
      </c>
      <c r="AC14" s="36">
        <f t="shared" si="10"/>
        <v>8</v>
      </c>
      <c r="AD14" s="42">
        <v>8</v>
      </c>
      <c r="AE14" s="45">
        <f t="shared" si="11"/>
        <v>3</v>
      </c>
      <c r="AF14" s="20">
        <f>IF(W14&gt;0,IF(AE$5&gt;0,(Z14+AC14)*2,(Z14+AC14-8)),0)*IF(Z14&lt;9,IF(AE$5&gt;0,1,2),1)+IF(Z14&gt;8,AC14,0)</f>
        <v>10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>
        <v>-5</v>
      </c>
      <c r="AO14" s="40">
        <f t="shared" si="14"/>
        <v>0</v>
      </c>
      <c r="AP14" s="1282">
        <f t="shared" si="15"/>
        <v>53</v>
      </c>
      <c r="AQ14" s="1283"/>
      <c r="AR14" s="1284">
        <f t="shared" si="16"/>
        <v>220.8</v>
      </c>
      <c r="AS14" s="1285"/>
      <c r="AT14" s="345">
        <f t="shared" si="17"/>
        <v>16</v>
      </c>
      <c r="AV14" s="26">
        <f t="shared" si="18"/>
        <v>24</v>
      </c>
      <c r="AW14" s="26">
        <f t="shared" si="19"/>
        <v>17</v>
      </c>
      <c r="AX14" s="26">
        <f t="shared" si="20"/>
        <v>10</v>
      </c>
      <c r="AY14" s="27">
        <f t="shared" si="21"/>
        <v>0</v>
      </c>
      <c r="AZ14" s="26">
        <f t="shared" si="22"/>
        <v>-3</v>
      </c>
      <c r="BA14" s="26">
        <f t="shared" si="23"/>
        <v>0</v>
      </c>
      <c r="BB14" s="26">
        <f t="shared" si="24"/>
        <v>0</v>
      </c>
      <c r="BC14" s="28"/>
      <c r="BD14" s="339">
        <f t="shared" si="25"/>
        <v>4.1666785714285712</v>
      </c>
      <c r="BE14" s="340">
        <f t="shared" si="26"/>
        <v>220.83396428571427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/>
      <c r="D15" s="342"/>
      <c r="E15" s="30"/>
      <c r="F15" s="31">
        <f t="shared" si="1"/>
        <v>0</v>
      </c>
      <c r="G15" s="342"/>
      <c r="H15" s="342"/>
      <c r="I15" s="31">
        <f t="shared" si="2"/>
        <v>0</v>
      </c>
      <c r="J15" s="30"/>
      <c r="K15" s="32">
        <f t="shared" si="3"/>
        <v>0</v>
      </c>
      <c r="L15" s="20">
        <f t="shared" si="4"/>
        <v>0</v>
      </c>
      <c r="M15" s="577"/>
      <c r="N15" s="342"/>
      <c r="O15" s="30"/>
      <c r="P15" s="31">
        <f t="shared" si="5"/>
        <v>0</v>
      </c>
      <c r="Q15" s="33"/>
      <c r="R15" s="346"/>
      <c r="S15" s="31">
        <f t="shared" si="6"/>
        <v>0</v>
      </c>
      <c r="T15" s="30"/>
      <c r="U15" s="32">
        <f t="shared" si="7"/>
        <v>0</v>
      </c>
      <c r="V15" s="20">
        <f t="shared" si="8"/>
        <v>0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1</v>
      </c>
      <c r="AQ15" s="1295"/>
      <c r="AR15" s="1284">
        <f t="shared" si="16"/>
        <v>5.0999999999999996</v>
      </c>
      <c r="AS15" s="1285"/>
      <c r="AT15" s="345">
        <f t="shared" si="17"/>
        <v>16</v>
      </c>
      <c r="AV15" s="26">
        <f t="shared" si="18"/>
        <v>0</v>
      </c>
      <c r="AW15" s="26">
        <f t="shared" si="19"/>
        <v>0</v>
      </c>
      <c r="AX15" s="26">
        <f t="shared" si="20"/>
        <v>0</v>
      </c>
      <c r="AY15" s="27">
        <f t="shared" si="21"/>
        <v>0</v>
      </c>
      <c r="AZ15" s="26">
        <f t="shared" si="22"/>
        <v>0</v>
      </c>
      <c r="BA15" s="26">
        <f t="shared" si="23"/>
        <v>1</v>
      </c>
      <c r="BB15" s="26">
        <f t="shared" si="24"/>
        <v>0</v>
      </c>
      <c r="BC15" s="28"/>
      <c r="BD15" s="339">
        <f t="shared" si="25"/>
        <v>5.1339285714285712</v>
      </c>
      <c r="BE15" s="349">
        <f t="shared" si="26"/>
        <v>5.1339285714285712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/>
      <c r="D16" s="342"/>
      <c r="E16" s="30"/>
      <c r="F16" s="31">
        <f>+D16-C16-E16</f>
        <v>0</v>
      </c>
      <c r="G16" s="342"/>
      <c r="H16" s="342"/>
      <c r="I16" s="31">
        <f>+H16-G16</f>
        <v>0</v>
      </c>
      <c r="J16" s="30"/>
      <c r="K16" s="32">
        <f>+I16+F16-L16</f>
        <v>0</v>
      </c>
      <c r="L16" s="20">
        <f>IF(C16&gt;0,(F16+I16)+IF(K$5&gt;0,F16,-8),0)+IF(U$5&gt;0,I16,0)</f>
        <v>0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-2</v>
      </c>
      <c r="AQ16" s="1283"/>
      <c r="AR16" s="1284">
        <f>ROUND(BD16*AP16,1)</f>
        <v>-10.3</v>
      </c>
      <c r="AS16" s="1285"/>
      <c r="AT16" s="345">
        <f t="shared" si="17"/>
        <v>16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-1</v>
      </c>
      <c r="BA16" s="26">
        <f t="shared" si="23"/>
        <v>0</v>
      </c>
      <c r="BB16" s="26">
        <f t="shared" si="24"/>
        <v>-1</v>
      </c>
      <c r="BC16" s="54"/>
      <c r="BD16" s="339">
        <f t="shared" si="25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>Antony Tejada Ch.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16</v>
      </c>
      <c r="E18" s="30">
        <v>1</v>
      </c>
      <c r="F18" s="31">
        <f>+D18-C18-E18</f>
        <v>8</v>
      </c>
      <c r="G18" s="342"/>
      <c r="H18" s="342"/>
      <c r="I18" s="31">
        <f>+H18-G18</f>
        <v>0</v>
      </c>
      <c r="J18" s="30"/>
      <c r="K18" s="32">
        <f>+I18+F18-L18</f>
        <v>-8</v>
      </c>
      <c r="L18" s="20">
        <f>IF(C18&gt;0,(F18+I18)+IF(K$5&gt;0,F18,-8),0)+IF(U$5&gt;0,I18,0)</f>
        <v>16</v>
      </c>
      <c r="M18" s="342">
        <v>7</v>
      </c>
      <c r="N18" s="342">
        <v>17</v>
      </c>
      <c r="O18" s="30">
        <v>1</v>
      </c>
      <c r="P18" s="31">
        <f>+N18-M18-O18</f>
        <v>9</v>
      </c>
      <c r="Q18" s="33"/>
      <c r="R18" s="346"/>
      <c r="S18" s="31">
        <f>+R18-Q18</f>
        <v>0</v>
      </c>
      <c r="T18" s="30"/>
      <c r="U18" s="32">
        <f>+S18+P18-V18</f>
        <v>-9</v>
      </c>
      <c r="V18" s="20">
        <f>IF(M18&gt;0,(P18+S18)+IF(U$5&gt;0,P18,-8),0)+IF(AE$5&gt;0,S18,0)</f>
        <v>18</v>
      </c>
      <c r="W18" s="30">
        <v>7</v>
      </c>
      <c r="X18" s="342">
        <v>16</v>
      </c>
      <c r="Y18" s="30">
        <v>1</v>
      </c>
      <c r="Z18" s="31">
        <f>+X18-W18-Y18</f>
        <v>8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0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>
        <v>-1</v>
      </c>
      <c r="AO18" s="40">
        <f>(AJ18*2+AM18)</f>
        <v>16</v>
      </c>
      <c r="AP18" s="1282">
        <f t="shared" si="15"/>
        <v>57</v>
      </c>
      <c r="AQ18" s="1283"/>
      <c r="AR18" s="1284">
        <f t="shared" si="16"/>
        <v>201.9</v>
      </c>
      <c r="AS18" s="1285"/>
      <c r="AT18" s="345">
        <f t="shared" si="17"/>
        <v>28</v>
      </c>
      <c r="AV18" s="26">
        <f t="shared" si="18"/>
        <v>16</v>
      </c>
      <c r="AW18" s="26">
        <f t="shared" si="19"/>
        <v>18</v>
      </c>
      <c r="AX18" s="26">
        <f t="shared" si="20"/>
        <v>0</v>
      </c>
      <c r="AY18" s="27">
        <f t="shared" si="21"/>
        <v>16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3.5416660714285717</v>
      </c>
      <c r="BE18" s="349">
        <f t="shared" si="26"/>
        <v>201.87496607142859</v>
      </c>
      <c r="BF18" s="350">
        <f t="shared" si="27"/>
        <v>56.666657142857147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575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>Eddie Uchupe C.</v>
      </c>
      <c r="C21" s="520">
        <v>7</v>
      </c>
      <c r="D21" s="516">
        <v>16</v>
      </c>
      <c r="E21" s="516">
        <v>1</v>
      </c>
      <c r="F21" s="517">
        <f>+D21-C21-E21</f>
        <v>8</v>
      </c>
      <c r="G21" s="516"/>
      <c r="H21" s="516"/>
      <c r="I21" s="517">
        <f>+H21-G21</f>
        <v>0</v>
      </c>
      <c r="J21" s="516"/>
      <c r="K21" s="517">
        <f>+I21+F21-L21</f>
        <v>-8</v>
      </c>
      <c r="L21" s="518">
        <f t="shared" si="4"/>
        <v>16</v>
      </c>
      <c r="M21" s="576">
        <v>7</v>
      </c>
      <c r="N21" s="516">
        <v>17</v>
      </c>
      <c r="O21" s="516">
        <v>1</v>
      </c>
      <c r="P21" s="517">
        <f>+N21-M21-O21</f>
        <v>9</v>
      </c>
      <c r="Q21" s="516"/>
      <c r="R21" s="516"/>
      <c r="S21" s="517">
        <f>+R21-Q21</f>
        <v>0</v>
      </c>
      <c r="T21" s="516"/>
      <c r="U21" s="517">
        <f>+S21+P21-V21</f>
        <v>-9</v>
      </c>
      <c r="V21" s="518">
        <f>IF(M21&gt;0,(P21+S21)+IF(U$5&gt;0,P21,-8),0)+IF(AE$5&gt;0,S21,0)</f>
        <v>18</v>
      </c>
      <c r="W21" s="516">
        <v>7</v>
      </c>
      <c r="X21" s="516">
        <v>16</v>
      </c>
      <c r="Y21" s="516">
        <v>1</v>
      </c>
      <c r="Z21" s="517">
        <f>+X21-W21-Y21</f>
        <v>8</v>
      </c>
      <c r="AA21" s="516"/>
      <c r="AB21" s="534"/>
      <c r="AC21" s="517">
        <f>+AB21-AA21</f>
        <v>0</v>
      </c>
      <c r="AD21" s="516"/>
      <c r="AE21" s="517">
        <f>+AC21+Z21-IF(AE$5&gt;0,AF21/2,AF21)</f>
        <v>8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>
        <f>-1+16+16</f>
        <v>31</v>
      </c>
      <c r="AO21" s="536">
        <f>(AJ21*2+AM21)</f>
        <v>0</v>
      </c>
      <c r="AP21" s="1274">
        <f t="shared" si="15"/>
        <v>5</v>
      </c>
      <c r="AQ21" s="1275"/>
      <c r="AR21" s="1276">
        <f>ROUND(BD21*AP21,1)</f>
        <v>22.9</v>
      </c>
      <c r="AS21" s="1277"/>
      <c r="AT21" s="537">
        <f t="shared" si="17"/>
        <v>20</v>
      </c>
      <c r="AU21" s="55"/>
      <c r="AV21" s="538">
        <f>+L21</f>
        <v>16</v>
      </c>
      <c r="AW21" s="538">
        <f>+V21</f>
        <v>18</v>
      </c>
      <c r="AX21" s="538">
        <f>+AF21</f>
        <v>0</v>
      </c>
      <c r="AY21" s="538">
        <f>+AO21</f>
        <v>0</v>
      </c>
      <c r="AZ21" s="538">
        <f>+L42</f>
        <v>0</v>
      </c>
      <c r="BA21" s="538">
        <f>+V42</f>
        <v>1</v>
      </c>
      <c r="BB21" s="538">
        <f>+AF42</f>
        <v>1</v>
      </c>
      <c r="BC21" s="28"/>
      <c r="BD21" s="539">
        <f>+I81</f>
        <v>4.583328571428571</v>
      </c>
      <c r="BE21" s="539">
        <f>+BD21*AP21</f>
        <v>22.916642857142854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16</v>
      </c>
      <c r="E22" s="459">
        <v>1</v>
      </c>
      <c r="F22" s="460">
        <f>+D22-C22-E22</f>
        <v>8</v>
      </c>
      <c r="G22" s="459"/>
      <c r="H22" s="459"/>
      <c r="I22" s="460">
        <f>+H22-G22</f>
        <v>0</v>
      </c>
      <c r="J22" s="459"/>
      <c r="K22" s="460">
        <f>+I22+F22-L22</f>
        <v>-8</v>
      </c>
      <c r="L22" s="461">
        <f t="shared" si="4"/>
        <v>16</v>
      </c>
      <c r="M22" s="574">
        <v>7</v>
      </c>
      <c r="N22" s="459">
        <v>17</v>
      </c>
      <c r="O22" s="459">
        <v>1</v>
      </c>
      <c r="P22" s="460">
        <f>+N22-M22-O22</f>
        <v>9</v>
      </c>
      <c r="Q22" s="459"/>
      <c r="R22" s="459"/>
      <c r="S22" s="460">
        <f>+R22-Q22</f>
        <v>0</v>
      </c>
      <c r="T22" s="459"/>
      <c r="U22" s="460">
        <f>+S22+P22-V22</f>
        <v>-9</v>
      </c>
      <c r="V22" s="461">
        <f>IF(M22&gt;0,(P22+S22)+IF(U$5&gt;0,P22,-8),0)+IF(AE$5&gt;0,S22,0)</f>
        <v>18</v>
      </c>
      <c r="W22" s="459">
        <v>7</v>
      </c>
      <c r="X22" s="459">
        <v>16</v>
      </c>
      <c r="Y22" s="459">
        <v>1</v>
      </c>
      <c r="Z22" s="460">
        <f>+X22-W22-Y22</f>
        <v>8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0</v>
      </c>
      <c r="AG22" s="459"/>
      <c r="AH22" s="459"/>
      <c r="AI22" s="459"/>
      <c r="AJ22" s="464">
        <f t="shared" si="12"/>
        <v>0</v>
      </c>
      <c r="AK22" s="459"/>
      <c r="AL22" s="459"/>
      <c r="AM22" s="460">
        <f>+AL22-AK22</f>
        <v>0</v>
      </c>
      <c r="AN22" s="459">
        <f>-1+16+16</f>
        <v>31</v>
      </c>
      <c r="AO22" s="465">
        <f>(AJ22*2+AM22)</f>
        <v>0</v>
      </c>
      <c r="AP22" s="1290">
        <f t="shared" si="15"/>
        <v>9</v>
      </c>
      <c r="AQ22" s="1291"/>
      <c r="AR22" s="1292">
        <f>ROUND(BD22*AP22,1)</f>
        <v>31.9</v>
      </c>
      <c r="AS22" s="1293"/>
      <c r="AT22" s="488">
        <f t="shared" si="17"/>
        <v>24</v>
      </c>
      <c r="AV22" s="69">
        <f>+L22</f>
        <v>16</v>
      </c>
      <c r="AW22" s="69">
        <f>+V22</f>
        <v>18</v>
      </c>
      <c r="AX22" s="69">
        <f>+AF22</f>
        <v>0</v>
      </c>
      <c r="AY22" s="70">
        <f>+AO22</f>
        <v>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3.5416625000000002</v>
      </c>
      <c r="BE22" s="351">
        <f>+BD22*AP22</f>
        <v>31.874962500000002</v>
      </c>
      <c r="BF22" s="352">
        <f>+BD22*AY22</f>
        <v>0</v>
      </c>
    </row>
    <row r="23" spans="1:58" s="55" customFormat="1" ht="14.1" customHeight="1">
      <c r="A23" s="50"/>
      <c r="B23" s="513" t="str">
        <f t="shared" si="0"/>
        <v>Jose Flores Z.</v>
      </c>
      <c r="C23" s="671"/>
      <c r="D23" s="672"/>
      <c r="E23" s="672"/>
      <c r="F23" s="673">
        <f>+D23-C23-E23</f>
        <v>0</v>
      </c>
      <c r="G23" s="672"/>
      <c r="H23" s="672"/>
      <c r="I23" s="673">
        <f>+H23-G23</f>
        <v>0</v>
      </c>
      <c r="J23" s="672"/>
      <c r="K23" s="673">
        <f>+I23+F23-L23</f>
        <v>0</v>
      </c>
      <c r="L23" s="674">
        <f t="shared" si="4"/>
        <v>0</v>
      </c>
      <c r="M23" s="675"/>
      <c r="N23" s="672"/>
      <c r="O23" s="672"/>
      <c r="P23" s="673">
        <f>+N23-M23-O23</f>
        <v>0</v>
      </c>
      <c r="Q23" s="672"/>
      <c r="R23" s="672"/>
      <c r="S23" s="673">
        <f>+R23-Q23</f>
        <v>0</v>
      </c>
      <c r="T23" s="672"/>
      <c r="U23" s="673">
        <f>+S23+P23-V23</f>
        <v>0</v>
      </c>
      <c r="V23" s="674">
        <f>IF(M23&gt;0,(P23+S23)+IF(U$5&gt;0,P23,-8),0)+IF(AE$5&gt;0,S23,0)</f>
        <v>0</v>
      </c>
      <c r="W23" s="672"/>
      <c r="X23" s="672"/>
      <c r="Y23" s="672"/>
      <c r="Z23" s="673">
        <f>+X23-W23-Y23</f>
        <v>0</v>
      </c>
      <c r="AA23" s="672"/>
      <c r="AB23" s="676"/>
      <c r="AC23" s="673">
        <f>+AB23-AA23</f>
        <v>0</v>
      </c>
      <c r="AD23" s="672"/>
      <c r="AE23" s="673">
        <f>+AC23+Z23-IF(AE$5&gt;0,AF23/2,AF23)</f>
        <v>0</v>
      </c>
      <c r="AF23" s="674">
        <f t="shared" si="28"/>
        <v>0</v>
      </c>
      <c r="AG23" s="672"/>
      <c r="AH23" s="672"/>
      <c r="AI23" s="672"/>
      <c r="AJ23" s="677">
        <f t="shared" si="12"/>
        <v>0</v>
      </c>
      <c r="AK23" s="672"/>
      <c r="AL23" s="672"/>
      <c r="AM23" s="673">
        <f>+AL23-AK23</f>
        <v>0</v>
      </c>
      <c r="AN23" s="678"/>
      <c r="AO23" s="679">
        <f>(AJ23*2+AM23)</f>
        <v>0</v>
      </c>
      <c r="AP23" s="1282">
        <f t="shared" si="15"/>
        <v>0</v>
      </c>
      <c r="AQ23" s="1283"/>
      <c r="AR23" s="1272">
        <f>ROUND(BD23*AP23,1)</f>
        <v>0</v>
      </c>
      <c r="AS23" s="1273"/>
      <c r="AT23" s="359">
        <f t="shared" si="17"/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0</v>
      </c>
      <c r="BA23" s="69">
        <f>+V44</f>
        <v>0</v>
      </c>
      <c r="BB23" s="69">
        <f>+AF44</f>
        <v>0</v>
      </c>
      <c r="BC23" s="54"/>
      <c r="BD23" s="339">
        <f>+I83</f>
        <v>4.1666625000000002</v>
      </c>
      <c r="BE23" s="351">
        <f>+BD23*AP23</f>
        <v>0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1048.94875</v>
      </c>
      <c r="BF25" s="1242">
        <f>SUM(BF11:BF24)</f>
        <v>211.5523714285714</v>
      </c>
    </row>
    <row r="26" spans="1:58" ht="10.9" customHeight="1">
      <c r="B26" s="1244" t="s">
        <v>1</v>
      </c>
      <c r="C26" s="1140">
        <f>1+AG5</f>
        <v>43192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43193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43194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43188</v>
      </c>
      <c r="AJ26" s="1218">
        <f t="shared" ref="AJ26:AO26" si="29">1+AI26</f>
        <v>43189</v>
      </c>
      <c r="AK26" s="1218">
        <f t="shared" si="29"/>
        <v>43190</v>
      </c>
      <c r="AL26" s="1219">
        <f t="shared" si="29"/>
        <v>43191</v>
      </c>
      <c r="AM26" s="1219">
        <f t="shared" si="29"/>
        <v>43192</v>
      </c>
      <c r="AN26" s="1220">
        <f t="shared" si="29"/>
        <v>43193</v>
      </c>
      <c r="AO26" s="1220">
        <f t="shared" si="29"/>
        <v>43194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43191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291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243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8</v>
      </c>
      <c r="N32" s="342">
        <v>16</v>
      </c>
      <c r="O32" s="30">
        <v>1</v>
      </c>
      <c r="P32" s="31">
        <f t="shared" ref="P32:P45" si="34">+N32-M32-O32</f>
        <v>7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 t="shared" ref="V32:V45" si="37">IF(M32&gt;0,(P32+S32)+IF(U$27&gt;0,P32,-8),0)+IF(AE$27&gt;0,S32,0)</f>
        <v>-1</v>
      </c>
      <c r="W32" s="369">
        <v>8</v>
      </c>
      <c r="X32" s="370">
        <v>16</v>
      </c>
      <c r="Y32" s="108">
        <v>1</v>
      </c>
      <c r="Z32" s="109">
        <f t="shared" ref="Z32:Z45" si="38">+X32-W32-Y32</f>
        <v>7</v>
      </c>
      <c r="AA32" s="370"/>
      <c r="AB32" s="18"/>
      <c r="AC32" s="109">
        <f t="shared" ref="AC32:AC45" si="39">+AB32-AA32</f>
        <v>0</v>
      </c>
      <c r="AD32" s="108"/>
      <c r="AE32" s="110">
        <f t="shared" ref="AE32:AE45" si="40">+AC32+Z32-AF32</f>
        <v>8</v>
      </c>
      <c r="AF32" s="111">
        <f t="shared" ref="AF32:AF45" si="41">IF(W32&gt;0,(Z32+AC32)+IF(AE$26&gt;0,0+Z32,-8),0)</f>
        <v>-1</v>
      </c>
      <c r="AG32" s="55"/>
      <c r="AH32" s="112">
        <v>0</v>
      </c>
      <c r="AI32" s="113">
        <f t="shared" ref="AI32:AI45" si="42">+K11+(IF(ISBLANK($K$5),-8,0))</f>
        <v>-7</v>
      </c>
      <c r="AJ32" s="113">
        <f t="shared" ref="AJ32:AJ45" si="43">IF(ISBLANK($U$5),-8,0)+U11</f>
        <v>-7</v>
      </c>
      <c r="AK32" s="113">
        <f>IF(ISBLANK($AE$5),-8,0)+AE11</f>
        <v>0.5</v>
      </c>
      <c r="AL32" s="113">
        <f t="shared" ref="AL32:AL45" si="44">IF(ISBLANK($AO$5),-8,0)+AO11+AW32</f>
        <v>0</v>
      </c>
      <c r="AM32" s="113">
        <f t="shared" ref="AM32:AM45" si="45">IF(ISBLANK($K$26),-8,0)+K32</f>
        <v>0</v>
      </c>
      <c r="AN32" s="113">
        <f t="shared" ref="AN32:AN45" si="46">IF(ISBLANK($U$26),-8,0)+U32</f>
        <v>0</v>
      </c>
      <c r="AO32" s="113">
        <f t="shared" ref="AO32:AO45" si="47">IF(ISBLANK($AE$26),-8,0)+AE32</f>
        <v>0</v>
      </c>
      <c r="AP32" s="114">
        <f t="shared" ref="AP32:AP45" si="48">SUM(AH32:AO32)</f>
        <v>-13.5</v>
      </c>
      <c r="AQ32" s="55"/>
      <c r="AR32" s="1159">
        <f t="shared" ref="AR32:AR38" si="49">+X71*Q71</f>
        <v>0</v>
      </c>
      <c r="AS32" s="1197"/>
      <c r="AT32" s="117">
        <f t="shared" ref="AT32:AT41" si="50">IF(K11+L11&gt;0,1,0)+IF(U11+V11&gt;0,1,0)+IF(AE11+AF11&gt;0,1,0)+IF(AO11&gt;3,1,0)+IF(K32+L32&gt;0,1,0)+IF(U32+V32&gt;0,1,0)+IF(AE32+AF32&gt;0,1,0)</f>
        <v>7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18</v>
      </c>
      <c r="E33" s="30">
        <v>1</v>
      </c>
      <c r="F33" s="31">
        <f t="shared" si="31"/>
        <v>10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2</v>
      </c>
      <c r="M33" s="342">
        <v>7</v>
      </c>
      <c r="N33" s="342">
        <v>18</v>
      </c>
      <c r="O33" s="30">
        <v>1</v>
      </c>
      <c r="P33" s="31">
        <f t="shared" si="34"/>
        <v>10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 t="shared" si="37"/>
        <v>2</v>
      </c>
      <c r="W33" s="334">
        <v>7</v>
      </c>
      <c r="X33" s="342">
        <v>17</v>
      </c>
      <c r="Y33" s="30">
        <v>1</v>
      </c>
      <c r="Z33" s="31">
        <f t="shared" si="38"/>
        <v>9</v>
      </c>
      <c r="AA33" s="342"/>
      <c r="AB33" s="346"/>
      <c r="AC33" s="31">
        <f t="shared" si="39"/>
        <v>0</v>
      </c>
      <c r="AD33" s="30"/>
      <c r="AE33" s="32">
        <f t="shared" si="40"/>
        <v>8</v>
      </c>
      <c r="AF33" s="20">
        <f t="shared" si="41"/>
        <v>1</v>
      </c>
      <c r="AG33" s="55"/>
      <c r="AH33" s="112">
        <v>0</v>
      </c>
      <c r="AI33" s="113">
        <f t="shared" si="42"/>
        <v>-12</v>
      </c>
      <c r="AJ33" s="113">
        <f t="shared" si="43"/>
        <v>-5</v>
      </c>
      <c r="AK33" s="113">
        <f>IF(ISBLANK($AE$5),-8,0)+AE12</f>
        <v>-4</v>
      </c>
      <c r="AL33" s="113">
        <f t="shared" si="44"/>
        <v>0</v>
      </c>
      <c r="AM33" s="113">
        <f t="shared" si="45"/>
        <v>0</v>
      </c>
      <c r="AN33" s="113">
        <f t="shared" si="46"/>
        <v>0</v>
      </c>
      <c r="AO33" s="113">
        <f t="shared" si="47"/>
        <v>0</v>
      </c>
      <c r="AP33" s="114">
        <f t="shared" si="48"/>
        <v>-21</v>
      </c>
      <c r="AQ33" s="55"/>
      <c r="AR33" s="1159">
        <f t="shared" si="49"/>
        <v>0.77857142857143202</v>
      </c>
      <c r="AS33" s="1160"/>
      <c r="AT33" s="117">
        <f t="shared" si="50"/>
        <v>6</v>
      </c>
      <c r="AU33" s="55"/>
      <c r="AV33" s="55"/>
      <c r="AW33" s="1134"/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16</v>
      </c>
      <c r="E34" s="30">
        <v>1</v>
      </c>
      <c r="F34" s="31">
        <f t="shared" si="31"/>
        <v>8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1">IF(C34&gt;0,(F34+I34)+IF(K$26&gt;0,F34,-8),0)+IF(U$26&gt;0,I34,0)</f>
        <v>0</v>
      </c>
      <c r="M34" s="334">
        <v>7</v>
      </c>
      <c r="N34" s="342">
        <v>16</v>
      </c>
      <c r="O34" s="30">
        <v>1</v>
      </c>
      <c r="P34" s="31">
        <f t="shared" si="34"/>
        <v>8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si="37"/>
        <v>0</v>
      </c>
      <c r="W34" s="334">
        <v>7</v>
      </c>
      <c r="X34" s="342">
        <v>16</v>
      </c>
      <c r="Y34" s="30">
        <v>1</v>
      </c>
      <c r="Z34" s="31">
        <f t="shared" si="38"/>
        <v>8</v>
      </c>
      <c r="AA34" s="342"/>
      <c r="AB34" s="116"/>
      <c r="AC34" s="31">
        <f t="shared" si="39"/>
        <v>0</v>
      </c>
      <c r="AD34" s="30"/>
      <c r="AE34" s="32">
        <f t="shared" si="40"/>
        <v>8</v>
      </c>
      <c r="AF34" s="20">
        <f t="shared" si="41"/>
        <v>0</v>
      </c>
      <c r="AG34" s="55"/>
      <c r="AH34" s="112">
        <v>0</v>
      </c>
      <c r="AI34" s="113">
        <f t="shared" si="42"/>
        <v>0</v>
      </c>
      <c r="AJ34" s="113">
        <f t="shared" si="43"/>
        <v>0</v>
      </c>
      <c r="AK34" s="113">
        <f>IF(ISBLANK($AE$5),-8,0)+AE13</f>
        <v>0</v>
      </c>
      <c r="AL34" s="113">
        <f t="shared" si="44"/>
        <v>0</v>
      </c>
      <c r="AM34" s="113">
        <f t="shared" si="45"/>
        <v>0</v>
      </c>
      <c r="AN34" s="113">
        <f t="shared" si="46"/>
        <v>0</v>
      </c>
      <c r="AO34" s="113">
        <f t="shared" si="47"/>
        <v>0</v>
      </c>
      <c r="AP34" s="114">
        <f t="shared" si="48"/>
        <v>0</v>
      </c>
      <c r="AQ34" s="55"/>
      <c r="AR34" s="1159">
        <f t="shared" si="49"/>
        <v>0</v>
      </c>
      <c r="AS34" s="1160"/>
      <c r="AT34" s="118">
        <f t="shared" si="50"/>
        <v>5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12</v>
      </c>
      <c r="E35" s="119">
        <v>0</v>
      </c>
      <c r="F35" s="120">
        <f t="shared" si="31"/>
        <v>5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1"/>
        <v>-3</v>
      </c>
      <c r="M35" s="342"/>
      <c r="N35" s="342"/>
      <c r="O35" s="30"/>
      <c r="P35" s="31">
        <f t="shared" si="34"/>
        <v>0</v>
      </c>
      <c r="Q35" s="346"/>
      <c r="R35" s="346"/>
      <c r="S35" s="120">
        <f t="shared" si="35"/>
        <v>0</v>
      </c>
      <c r="T35" s="30"/>
      <c r="U35" s="32">
        <f t="shared" si="36"/>
        <v>0</v>
      </c>
      <c r="V35" s="20">
        <f t="shared" si="37"/>
        <v>0</v>
      </c>
      <c r="W35" s="334"/>
      <c r="X35" s="342"/>
      <c r="Y35" s="30"/>
      <c r="Z35" s="31">
        <f t="shared" si="38"/>
        <v>0</v>
      </c>
      <c r="AA35" s="342"/>
      <c r="AB35" s="342"/>
      <c r="AC35" s="31">
        <f t="shared" si="39"/>
        <v>0</v>
      </c>
      <c r="AD35" s="30"/>
      <c r="AE35" s="32">
        <f t="shared" si="40"/>
        <v>0</v>
      </c>
      <c r="AF35" s="20">
        <f t="shared" si="41"/>
        <v>0</v>
      </c>
      <c r="AG35" s="55"/>
      <c r="AH35" s="112">
        <v>0</v>
      </c>
      <c r="AI35" s="113">
        <f t="shared" si="42"/>
        <v>-12</v>
      </c>
      <c r="AJ35" s="113">
        <f t="shared" si="43"/>
        <v>-5</v>
      </c>
      <c r="AK35" s="113">
        <f>IF(ISBLANK($AE$5),-8,0)+AE14</f>
        <v>-5</v>
      </c>
      <c r="AL35" s="113">
        <f t="shared" si="44"/>
        <v>0</v>
      </c>
      <c r="AM35" s="113">
        <f t="shared" si="45"/>
        <v>0</v>
      </c>
      <c r="AN35" s="113">
        <f t="shared" si="46"/>
        <v>-8</v>
      </c>
      <c r="AO35" s="113">
        <f t="shared" si="47"/>
        <v>-8</v>
      </c>
      <c r="AP35" s="114">
        <f t="shared" si="48"/>
        <v>-38</v>
      </c>
      <c r="AQ35" s="55"/>
      <c r="AR35" s="1159">
        <f t="shared" si="49"/>
        <v>8.5165714285714316</v>
      </c>
      <c r="AS35" s="1160"/>
      <c r="AT35" s="118">
        <f t="shared" si="50"/>
        <v>4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17</v>
      </c>
      <c r="E36" s="30">
        <v>1</v>
      </c>
      <c r="F36" s="31">
        <f t="shared" si="31"/>
        <v>8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1"/>
        <v>0</v>
      </c>
      <c r="M36" s="342">
        <v>8</v>
      </c>
      <c r="N36" s="342">
        <v>18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37"/>
        <v>1</v>
      </c>
      <c r="W36" s="334">
        <v>8</v>
      </c>
      <c r="X36" s="342">
        <v>17</v>
      </c>
      <c r="Y36" s="30">
        <v>1</v>
      </c>
      <c r="Z36" s="31">
        <f t="shared" si="38"/>
        <v>8</v>
      </c>
      <c r="AA36" s="342"/>
      <c r="AB36" s="342"/>
      <c r="AC36" s="31">
        <f t="shared" si="39"/>
        <v>0</v>
      </c>
      <c r="AD36" s="30"/>
      <c r="AE36" s="32">
        <f t="shared" si="40"/>
        <v>8</v>
      </c>
      <c r="AF36" s="20">
        <f t="shared" si="41"/>
        <v>0</v>
      </c>
      <c r="AG36" s="55"/>
      <c r="AH36" s="112">
        <v>0</v>
      </c>
      <c r="AI36" s="113">
        <f t="shared" si="42"/>
        <v>0</v>
      </c>
      <c r="AJ36" s="113">
        <f t="shared" si="43"/>
        <v>0</v>
      </c>
      <c r="AK36" s="113">
        <f>IF(ISBLANK($AE$5),-8,0)+AE15</f>
        <v>0</v>
      </c>
      <c r="AL36" s="113">
        <f t="shared" si="44"/>
        <v>0</v>
      </c>
      <c r="AM36" s="113">
        <f t="shared" si="45"/>
        <v>0</v>
      </c>
      <c r="AN36" s="113">
        <f t="shared" si="46"/>
        <v>0</v>
      </c>
      <c r="AO36" s="113">
        <f t="shared" si="47"/>
        <v>0</v>
      </c>
      <c r="AP36" s="114">
        <f t="shared" si="48"/>
        <v>0</v>
      </c>
      <c r="AQ36" s="55"/>
      <c r="AR36" s="1159">
        <f t="shared" si="49"/>
        <v>0</v>
      </c>
      <c r="AS36" s="1160"/>
      <c r="AT36" s="118">
        <f t="shared" si="50"/>
        <v>4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8</v>
      </c>
      <c r="D37" s="342">
        <v>16</v>
      </c>
      <c r="E37" s="30">
        <v>1</v>
      </c>
      <c r="F37" s="31">
        <f>+D37-C37-E37</f>
        <v>7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1"/>
        <v>-1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>IF(M37&gt;0,(P37+S37)+IF(U$27&gt;0,P37,-8),0)+IF(AE$27&gt;0,S37,0)</f>
        <v>0</v>
      </c>
      <c r="W37" s="334">
        <v>8</v>
      </c>
      <c r="X37" s="342">
        <v>16</v>
      </c>
      <c r="Y37" s="30">
        <v>1</v>
      </c>
      <c r="Z37" s="31">
        <f>+X37-W37-Y37</f>
        <v>7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1"/>
        <v>-1</v>
      </c>
      <c r="AG37" s="55"/>
      <c r="AH37" s="112">
        <v>0</v>
      </c>
      <c r="AI37" s="113">
        <f t="shared" si="42"/>
        <v>0</v>
      </c>
      <c r="AJ37" s="113">
        <f t="shared" si="43"/>
        <v>0</v>
      </c>
      <c r="AK37" s="124">
        <f>IF(ISBLANK($AE$5),-5,0)+AE16</f>
        <v>0</v>
      </c>
      <c r="AL37" s="113">
        <f t="shared" si="44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9"/>
        <v>0</v>
      </c>
      <c r="AS37" s="1160"/>
      <c r="AT37" s="118">
        <f t="shared" si="50"/>
        <v>4</v>
      </c>
      <c r="AU37" s="55"/>
      <c r="AV37" s="55"/>
      <c r="AW37" s="1134"/>
      <c r="AX37" s="1135"/>
    </row>
    <row r="38" spans="1:56" ht="14.1" customHeight="1">
      <c r="B38" s="48" t="str">
        <f t="shared" si="30"/>
        <v>Antony Tejada Ch.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1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37"/>
        <v>0</v>
      </c>
      <c r="W38" s="334"/>
      <c r="X38" s="342"/>
      <c r="Y38" s="30"/>
      <c r="Z38" s="31">
        <f t="shared" si="38"/>
        <v>0</v>
      </c>
      <c r="AA38" s="342"/>
      <c r="AB38" s="342"/>
      <c r="AC38" s="31">
        <f>+AB38-AA38</f>
        <v>0</v>
      </c>
      <c r="AD38" s="30"/>
      <c r="AE38" s="32">
        <f t="shared" si="40"/>
        <v>0</v>
      </c>
      <c r="AF38" s="20">
        <f t="shared" si="41"/>
        <v>0</v>
      </c>
      <c r="AG38" s="55"/>
      <c r="AH38" s="112">
        <v>0</v>
      </c>
      <c r="AI38" s="113">
        <f t="shared" si="42"/>
        <v>0</v>
      </c>
      <c r="AJ38" s="113">
        <f t="shared" si="43"/>
        <v>0</v>
      </c>
      <c r="AK38" s="113">
        <f t="shared" ref="AK38:AK45" si="52">IF(ISBLANK($AE$5),-8,0)+AE17</f>
        <v>-8</v>
      </c>
      <c r="AL38" s="113">
        <f t="shared" si="44"/>
        <v>0</v>
      </c>
      <c r="AM38" s="113">
        <f t="shared" si="45"/>
        <v>-8</v>
      </c>
      <c r="AN38" s="113">
        <f t="shared" si="46"/>
        <v>-8</v>
      </c>
      <c r="AO38" s="113">
        <f t="shared" si="47"/>
        <v>-8</v>
      </c>
      <c r="AP38" s="114">
        <f t="shared" si="48"/>
        <v>-32</v>
      </c>
      <c r="AQ38" s="55"/>
      <c r="AR38" s="1159">
        <f t="shared" si="49"/>
        <v>0</v>
      </c>
      <c r="AS38" s="1160"/>
      <c r="AT38" s="118">
        <f t="shared" si="50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1"/>
        <v>2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106"/>
      <c r="R39" s="106"/>
      <c r="S39" s="31">
        <f t="shared" si="35"/>
        <v>0</v>
      </c>
      <c r="T39" s="30"/>
      <c r="U39" s="32">
        <f t="shared" si="36"/>
        <v>8</v>
      </c>
      <c r="V39" s="20">
        <f t="shared" si="37"/>
        <v>2</v>
      </c>
      <c r="W39" s="334">
        <v>7</v>
      </c>
      <c r="X39" s="342">
        <v>18</v>
      </c>
      <c r="Y39" s="30">
        <v>1</v>
      </c>
      <c r="Z39" s="31">
        <f t="shared" si="38"/>
        <v>10</v>
      </c>
      <c r="AA39" s="342"/>
      <c r="AB39" s="342"/>
      <c r="AC39" s="31">
        <f t="shared" si="39"/>
        <v>0</v>
      </c>
      <c r="AD39" s="30"/>
      <c r="AE39" s="32">
        <f t="shared" si="40"/>
        <v>8</v>
      </c>
      <c r="AF39" s="20">
        <f t="shared" si="41"/>
        <v>2</v>
      </c>
      <c r="AG39" s="55"/>
      <c r="AH39" s="112">
        <v>0</v>
      </c>
      <c r="AI39" s="113">
        <f t="shared" si="42"/>
        <v>-8</v>
      </c>
      <c r="AJ39" s="113">
        <f t="shared" si="43"/>
        <v>-9</v>
      </c>
      <c r="AK39" s="113">
        <f t="shared" si="52"/>
        <v>0</v>
      </c>
      <c r="AL39" s="113">
        <f t="shared" si="44"/>
        <v>0</v>
      </c>
      <c r="AM39" s="125">
        <f t="shared" si="45"/>
        <v>0</v>
      </c>
      <c r="AN39" s="125">
        <f t="shared" si="46"/>
        <v>0</v>
      </c>
      <c r="AO39" s="125">
        <f t="shared" si="47"/>
        <v>0</v>
      </c>
      <c r="AP39" s="114">
        <f t="shared" si="48"/>
        <v>-17</v>
      </c>
      <c r="AQ39" s="55"/>
      <c r="AR39" s="1159">
        <f>+X76*Q76</f>
        <v>0</v>
      </c>
      <c r="AS39" s="1160"/>
      <c r="AT39" s="118">
        <f t="shared" si="50"/>
        <v>7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1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37"/>
        <v>0</v>
      </c>
      <c r="W40" s="334"/>
      <c r="X40" s="342"/>
      <c r="Y40" s="30"/>
      <c r="Z40" s="31">
        <f t="shared" si="38"/>
        <v>0</v>
      </c>
      <c r="AA40" s="342"/>
      <c r="AB40" s="346"/>
      <c r="AC40" s="44">
        <f t="shared" si="39"/>
        <v>0</v>
      </c>
      <c r="AD40" s="30"/>
      <c r="AE40" s="32">
        <f t="shared" si="40"/>
        <v>0</v>
      </c>
      <c r="AF40" s="20">
        <f t="shared" si="41"/>
        <v>0</v>
      </c>
      <c r="AG40" s="126"/>
      <c r="AH40" s="127">
        <v>0</v>
      </c>
      <c r="AI40" s="113">
        <f t="shared" si="42"/>
        <v>0</v>
      </c>
      <c r="AJ40" s="113">
        <f t="shared" si="43"/>
        <v>0</v>
      </c>
      <c r="AK40" s="128">
        <f t="shared" si="52"/>
        <v>-8</v>
      </c>
      <c r="AL40" s="113">
        <f t="shared" si="44"/>
        <v>0</v>
      </c>
      <c r="AM40" s="113">
        <f t="shared" si="45"/>
        <v>-8</v>
      </c>
      <c r="AN40" s="113">
        <f t="shared" si="46"/>
        <v>-8</v>
      </c>
      <c r="AO40" s="113">
        <f t="shared" si="47"/>
        <v>-8</v>
      </c>
      <c r="AP40" s="114">
        <f t="shared" si="48"/>
        <v>-32</v>
      </c>
      <c r="AQ40" s="55"/>
      <c r="AR40" s="1159">
        <f>+X78*Q78</f>
        <v>0</v>
      </c>
      <c r="AS40" s="1160"/>
      <c r="AT40" s="118">
        <f t="shared" si="50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1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37"/>
        <v>0</v>
      </c>
      <c r="W41" s="526"/>
      <c r="X41" s="522"/>
      <c r="Y41" s="522"/>
      <c r="Z41" s="523">
        <f t="shared" si="38"/>
        <v>0</v>
      </c>
      <c r="AA41" s="522"/>
      <c r="AB41" s="522"/>
      <c r="AC41" s="523">
        <f t="shared" si="39"/>
        <v>0</v>
      </c>
      <c r="AD41" s="522"/>
      <c r="AE41" s="523">
        <f t="shared" si="40"/>
        <v>0</v>
      </c>
      <c r="AF41" s="524">
        <f t="shared" si="41"/>
        <v>0</v>
      </c>
      <c r="AG41" s="514"/>
      <c r="AH41" s="529">
        <v>0</v>
      </c>
      <c r="AI41" s="530">
        <f t="shared" si="42"/>
        <v>0</v>
      </c>
      <c r="AJ41" s="530">
        <f t="shared" si="43"/>
        <v>0</v>
      </c>
      <c r="AK41" s="530">
        <f t="shared" si="52"/>
        <v>-8</v>
      </c>
      <c r="AL41" s="530">
        <f t="shared" si="44"/>
        <v>0</v>
      </c>
      <c r="AM41" s="530">
        <f t="shared" si="45"/>
        <v>-8</v>
      </c>
      <c r="AN41" s="530">
        <f t="shared" si="46"/>
        <v>-8</v>
      </c>
      <c r="AO41" s="530">
        <f t="shared" si="47"/>
        <v>-8</v>
      </c>
      <c r="AP41" s="531">
        <f t="shared" si="48"/>
        <v>-32</v>
      </c>
      <c r="AQ41" s="55"/>
      <c r="AR41" s="1191"/>
      <c r="AS41" s="1192"/>
      <c r="AT41" s="532">
        <f t="shared" si="50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>Eddie Uchupe C.</v>
      </c>
      <c r="C42" s="516"/>
      <c r="D42" s="516"/>
      <c r="E42" s="516"/>
      <c r="F42" s="517">
        <f t="shared" si="31"/>
        <v>0</v>
      </c>
      <c r="G42" s="516"/>
      <c r="H42" s="516"/>
      <c r="I42" s="517">
        <f t="shared" si="32"/>
        <v>0</v>
      </c>
      <c r="J42" s="516"/>
      <c r="K42" s="517">
        <f t="shared" si="33"/>
        <v>0</v>
      </c>
      <c r="L42" s="518">
        <f t="shared" si="51"/>
        <v>0</v>
      </c>
      <c r="M42" s="516">
        <v>7</v>
      </c>
      <c r="N42" s="516">
        <v>17</v>
      </c>
      <c r="O42" s="516">
        <v>1</v>
      </c>
      <c r="P42" s="517">
        <f t="shared" si="34"/>
        <v>9</v>
      </c>
      <c r="Q42" s="519"/>
      <c r="R42" s="519"/>
      <c r="S42" s="517">
        <f t="shared" si="35"/>
        <v>0</v>
      </c>
      <c r="T42" s="516"/>
      <c r="U42" s="517">
        <f t="shared" si="36"/>
        <v>8</v>
      </c>
      <c r="V42" s="518">
        <f t="shared" si="37"/>
        <v>1</v>
      </c>
      <c r="W42" s="520">
        <v>7</v>
      </c>
      <c r="X42" s="516">
        <v>17</v>
      </c>
      <c r="Y42" s="516">
        <v>1</v>
      </c>
      <c r="Z42" s="517">
        <f t="shared" si="38"/>
        <v>9</v>
      </c>
      <c r="AA42" s="516"/>
      <c r="AB42" s="516"/>
      <c r="AC42" s="517">
        <f t="shared" si="39"/>
        <v>0</v>
      </c>
      <c r="AD42" s="516"/>
      <c r="AE42" s="517">
        <f t="shared" si="40"/>
        <v>8</v>
      </c>
      <c r="AF42" s="518">
        <f t="shared" si="41"/>
        <v>1</v>
      </c>
      <c r="AG42" s="55"/>
      <c r="AH42" s="490">
        <v>0</v>
      </c>
      <c r="AI42" s="527">
        <f t="shared" si="42"/>
        <v>-8</v>
      </c>
      <c r="AJ42" s="527">
        <f t="shared" si="43"/>
        <v>-9</v>
      </c>
      <c r="AK42" s="527">
        <f t="shared" si="52"/>
        <v>0</v>
      </c>
      <c r="AL42" s="527">
        <f t="shared" si="44"/>
        <v>0</v>
      </c>
      <c r="AM42" s="527">
        <f t="shared" si="45"/>
        <v>-8</v>
      </c>
      <c r="AN42" s="527">
        <f t="shared" si="46"/>
        <v>0</v>
      </c>
      <c r="AO42" s="527">
        <f t="shared" si="47"/>
        <v>0</v>
      </c>
      <c r="AP42" s="492">
        <f t="shared" si="48"/>
        <v>-25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5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18</v>
      </c>
      <c r="E43" s="459">
        <v>1</v>
      </c>
      <c r="F43" s="460">
        <f t="shared" si="31"/>
        <v>10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1"/>
        <v>2</v>
      </c>
      <c r="M43" s="459">
        <v>7</v>
      </c>
      <c r="N43" s="459">
        <v>18</v>
      </c>
      <c r="O43" s="459">
        <v>1</v>
      </c>
      <c r="P43" s="460">
        <f t="shared" si="34"/>
        <v>10</v>
      </c>
      <c r="Q43" s="489"/>
      <c r="R43" s="489"/>
      <c r="S43" s="460">
        <f t="shared" si="35"/>
        <v>0</v>
      </c>
      <c r="T43" s="459"/>
      <c r="U43" s="460">
        <f t="shared" si="36"/>
        <v>8</v>
      </c>
      <c r="V43" s="461">
        <f t="shared" si="37"/>
        <v>2</v>
      </c>
      <c r="W43" s="334">
        <v>7</v>
      </c>
      <c r="X43" s="342">
        <v>18</v>
      </c>
      <c r="Y43" s="30">
        <v>1</v>
      </c>
      <c r="Z43" s="31">
        <f t="shared" si="38"/>
        <v>10</v>
      </c>
      <c r="AA43" s="342"/>
      <c r="AB43" s="342"/>
      <c r="AC43" s="44">
        <f t="shared" si="39"/>
        <v>0</v>
      </c>
      <c r="AD43" s="30"/>
      <c r="AE43" s="32">
        <f t="shared" si="40"/>
        <v>8</v>
      </c>
      <c r="AF43" s="20">
        <f t="shared" si="41"/>
        <v>2</v>
      </c>
      <c r="AG43" s="55"/>
      <c r="AH43" s="143">
        <v>0</v>
      </c>
      <c r="AI43" s="144">
        <f t="shared" si="42"/>
        <v>-8</v>
      </c>
      <c r="AJ43" s="144">
        <f t="shared" si="43"/>
        <v>-9</v>
      </c>
      <c r="AK43" s="144">
        <f t="shared" si="52"/>
        <v>0</v>
      </c>
      <c r="AL43" s="113">
        <f t="shared" si="44"/>
        <v>0</v>
      </c>
      <c r="AM43" s="144">
        <f t="shared" si="45"/>
        <v>0</v>
      </c>
      <c r="AN43" s="144">
        <f t="shared" si="46"/>
        <v>0</v>
      </c>
      <c r="AO43" s="144">
        <f t="shared" si="47"/>
        <v>0</v>
      </c>
      <c r="AP43" s="145">
        <f t="shared" si="48"/>
        <v>-17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6</v>
      </c>
      <c r="AU43" s="55"/>
      <c r="AV43" s="55"/>
      <c r="AW43" s="1185"/>
      <c r="AX43" s="1186"/>
    </row>
    <row r="44" spans="1:56" ht="14.1" customHeight="1">
      <c r="B44" s="513" t="str">
        <f t="shared" si="30"/>
        <v>Jose Flores Z.</v>
      </c>
      <c r="C44" s="662"/>
      <c r="D44" s="662"/>
      <c r="E44" s="662"/>
      <c r="F44" s="663">
        <f t="shared" si="31"/>
        <v>0</v>
      </c>
      <c r="G44" s="662"/>
      <c r="H44" s="662"/>
      <c r="I44" s="663">
        <f t="shared" si="32"/>
        <v>0</v>
      </c>
      <c r="J44" s="662"/>
      <c r="K44" s="663">
        <f t="shared" si="33"/>
        <v>0</v>
      </c>
      <c r="L44" s="664">
        <f t="shared" si="51"/>
        <v>0</v>
      </c>
      <c r="M44" s="665"/>
      <c r="N44" s="665"/>
      <c r="O44" s="665"/>
      <c r="P44" s="666">
        <f t="shared" si="34"/>
        <v>0</v>
      </c>
      <c r="Q44" s="667"/>
      <c r="R44" s="667"/>
      <c r="S44" s="666">
        <f t="shared" si="35"/>
        <v>0</v>
      </c>
      <c r="T44" s="665"/>
      <c r="U44" s="666">
        <f t="shared" si="36"/>
        <v>0</v>
      </c>
      <c r="V44" s="668">
        <f t="shared" si="37"/>
        <v>0</v>
      </c>
      <c r="W44" s="669"/>
      <c r="X44" s="665"/>
      <c r="Y44" s="665"/>
      <c r="Z44" s="666">
        <f t="shared" si="38"/>
        <v>0</v>
      </c>
      <c r="AA44" s="665"/>
      <c r="AB44" s="670"/>
      <c r="AC44" s="666">
        <f t="shared" si="39"/>
        <v>0</v>
      </c>
      <c r="AD44" s="665"/>
      <c r="AE44" s="666">
        <f t="shared" si="40"/>
        <v>0</v>
      </c>
      <c r="AF44" s="668">
        <f t="shared" si="41"/>
        <v>0</v>
      </c>
      <c r="AG44" s="55"/>
      <c r="AH44" s="127">
        <v>0</v>
      </c>
      <c r="AI44" s="113">
        <f t="shared" si="42"/>
        <v>0</v>
      </c>
      <c r="AJ44" s="113">
        <f t="shared" si="43"/>
        <v>0</v>
      </c>
      <c r="AK44" s="128">
        <f t="shared" si="52"/>
        <v>-8</v>
      </c>
      <c r="AL44" s="113">
        <f t="shared" si="44"/>
        <v>0</v>
      </c>
      <c r="AM44" s="113">
        <f t="shared" si="45"/>
        <v>-8</v>
      </c>
      <c r="AN44" s="113">
        <f t="shared" si="46"/>
        <v>-8</v>
      </c>
      <c r="AO44" s="113">
        <f t="shared" si="47"/>
        <v>-8</v>
      </c>
      <c r="AP44" s="114">
        <f t="shared" si="48"/>
        <v>-32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0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1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37"/>
        <v>0</v>
      </c>
      <c r="W45" s="360"/>
      <c r="X45" s="361"/>
      <c r="Y45" s="96"/>
      <c r="Z45" s="97">
        <f t="shared" si="38"/>
        <v>0</v>
      </c>
      <c r="AA45" s="361"/>
      <c r="AB45" s="361"/>
      <c r="AC45" s="97">
        <f t="shared" si="39"/>
        <v>0</v>
      </c>
      <c r="AD45" s="96"/>
      <c r="AE45" s="98">
        <f t="shared" si="40"/>
        <v>0</v>
      </c>
      <c r="AF45" s="99">
        <f t="shared" si="41"/>
        <v>0</v>
      </c>
      <c r="AG45" s="55"/>
      <c r="AH45" s="112">
        <v>0</v>
      </c>
      <c r="AI45" s="113">
        <f t="shared" si="42"/>
        <v>0</v>
      </c>
      <c r="AJ45" s="113">
        <f t="shared" si="43"/>
        <v>0</v>
      </c>
      <c r="AK45" s="113">
        <f t="shared" si="52"/>
        <v>-8</v>
      </c>
      <c r="AL45" s="113">
        <f t="shared" si="44"/>
        <v>0</v>
      </c>
      <c r="AM45" s="113">
        <f t="shared" si="45"/>
        <v>-8</v>
      </c>
      <c r="AN45" s="113">
        <f t="shared" si="46"/>
        <v>-8</v>
      </c>
      <c r="AO45" s="113">
        <f t="shared" si="47"/>
        <v>-8</v>
      </c>
      <c r="AP45" s="114">
        <f t="shared" si="48"/>
        <v>-32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240</v>
      </c>
      <c r="AS46" s="1162"/>
      <c r="AT46" s="167">
        <f>SUM(AT32:AT45)</f>
        <v>48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48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43188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43189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43190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43191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4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43192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43193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43194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1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-121.5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573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57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573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573"/>
      <c r="AB68" s="573"/>
      <c r="AC68" s="573"/>
      <c r="AD68" s="573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573"/>
      <c r="AB69" s="573"/>
      <c r="AC69" s="573"/>
      <c r="AD69" s="573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573"/>
      <c r="AB70" s="573"/>
      <c r="AC70" s="573"/>
      <c r="AD70" s="573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5" si="56">+I71/6*7</f>
        <v>5.3041666666666654</v>
      </c>
      <c r="O71" s="1020"/>
      <c r="P71" s="5"/>
      <c r="Q71" s="1056">
        <f t="shared" ref="Q71:Q85" si="57">+$I$69-I71</f>
        <v>0.68482142857142936</v>
      </c>
      <c r="R71" s="1057"/>
      <c r="U71" s="238">
        <f t="shared" ref="U71:U77" si="58">+AE32+U32+K32+AO11+AE11+U11+K11</f>
        <v>34.5</v>
      </c>
      <c r="V71" s="239">
        <v>48</v>
      </c>
      <c r="W71" s="240">
        <f t="shared" ref="W71:W85" si="59">+V71-U71</f>
        <v>13.5</v>
      </c>
      <c r="X71" s="241">
        <f t="shared" ref="X71:X77" si="60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11</v>
      </c>
      <c r="V72" s="239">
        <v>48</v>
      </c>
      <c r="W72" s="240">
        <f t="shared" si="59"/>
        <v>37</v>
      </c>
      <c r="X72" s="241">
        <f t="shared" si="60"/>
        <v>8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48</v>
      </c>
      <c r="V73" s="239">
        <v>48</v>
      </c>
      <c r="W73" s="240">
        <f t="shared" si="59"/>
        <v>0</v>
      </c>
      <c r="X73" s="241">
        <f t="shared" si="60"/>
        <v>0</v>
      </c>
      <c r="Z73" s="389"/>
      <c r="AA73" s="571"/>
      <c r="AB73" s="571"/>
      <c r="AC73" s="571"/>
      <c r="AD73" s="571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-6</v>
      </c>
      <c r="V74" s="239">
        <v>48</v>
      </c>
      <c r="W74" s="240">
        <f t="shared" si="59"/>
        <v>54</v>
      </c>
      <c r="X74" s="241">
        <f t="shared" si="60"/>
        <v>8</v>
      </c>
      <c r="Z74" s="1045" t="s">
        <v>53</v>
      </c>
      <c r="AA74" s="1045"/>
      <c r="AB74" s="1045"/>
      <c r="AC74" s="1045"/>
      <c r="AD74" s="389" t="s">
        <v>54</v>
      </c>
      <c r="AE74" s="571"/>
      <c r="AF74" s="386"/>
      <c r="AG74" s="570"/>
      <c r="AH74" s="570"/>
      <c r="AI74" s="386"/>
      <c r="AJ74" s="386"/>
      <c r="AK74" s="569"/>
      <c r="AL74" s="569"/>
      <c r="AM74" s="569"/>
      <c r="AN74" s="569"/>
      <c r="AO74" s="569"/>
      <c r="AP74" s="569"/>
      <c r="AQ74" s="569"/>
      <c r="AR74" s="569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32</v>
      </c>
      <c r="V75" s="239">
        <v>48</v>
      </c>
      <c r="W75" s="240">
        <f t="shared" si="59"/>
        <v>16</v>
      </c>
      <c r="X75" s="241">
        <f t="shared" si="60"/>
        <v>0</v>
      </c>
      <c r="Z75" s="571"/>
      <c r="AA75" s="571"/>
      <c r="AB75" s="571"/>
      <c r="AC75" s="571"/>
      <c r="AD75" s="571"/>
      <c r="AE75" s="386"/>
      <c r="AF75" s="386"/>
      <c r="AG75" s="244"/>
      <c r="AH75" s="244"/>
      <c r="AI75" s="570"/>
      <c r="AJ75" s="570"/>
      <c r="AK75" s="570"/>
      <c r="AL75" s="570"/>
      <c r="AM75" s="570"/>
      <c r="AN75" s="570"/>
      <c r="AO75" s="570"/>
      <c r="AP75" s="570"/>
      <c r="AQ75" s="570"/>
      <c r="AR75" s="570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29</v>
      </c>
      <c r="V76" s="239">
        <v>48</v>
      </c>
      <c r="W76" s="240">
        <f>+V76-U76</f>
        <v>19</v>
      </c>
      <c r="X76" s="241">
        <f t="shared" si="60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570"/>
      <c r="AN76" s="570"/>
      <c r="AO76" s="570"/>
      <c r="AP76" s="570"/>
      <c r="AQ76" s="570"/>
      <c r="AR76" s="570"/>
      <c r="AS76" s="386"/>
      <c r="AT76" s="386"/>
    </row>
    <row r="77" spans="1:50" s="249" customFormat="1" ht="16.5">
      <c r="A77" s="247">
        <v>6</v>
      </c>
      <c r="B77" s="245" t="s">
        <v>62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571"/>
      <c r="AA77" s="571"/>
      <c r="AB77" s="571"/>
      <c r="AC77" s="571"/>
      <c r="AD77" s="571"/>
      <c r="AE77" s="386"/>
      <c r="AF77" s="386"/>
      <c r="AG77" s="570"/>
      <c r="AH77" s="570"/>
      <c r="AI77" s="393"/>
      <c r="AJ77" s="393"/>
      <c r="AK77" s="393"/>
      <c r="AL77" s="393"/>
      <c r="AM77" s="570"/>
      <c r="AN77" s="570"/>
      <c r="AO77" s="570"/>
      <c r="AP77" s="570"/>
      <c r="AQ77" s="570"/>
      <c r="AR77" s="570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3"/>
        <v>28.333328571428574</v>
      </c>
      <c r="F78" s="1049"/>
      <c r="G78" s="1050">
        <v>25.761900000000001</v>
      </c>
      <c r="H78" s="1051"/>
      <c r="I78" s="1052">
        <f t="shared" si="54"/>
        <v>3.5416660714285717</v>
      </c>
      <c r="J78" s="1058"/>
      <c r="K78" s="1059">
        <f>+E78*30</f>
        <v>849.99985714285719</v>
      </c>
      <c r="L78" s="1059"/>
      <c r="M78" s="5"/>
      <c r="N78" s="1020">
        <f t="shared" si="56"/>
        <v>4.1319437500000005</v>
      </c>
      <c r="O78" s="1020"/>
      <c r="P78" s="5"/>
      <c r="Q78" s="1056">
        <f t="shared" si="57"/>
        <v>1.6895839285714285</v>
      </c>
      <c r="R78" s="1057"/>
      <c r="S78" s="573"/>
      <c r="T78" s="573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>+J19+T19+AD19+J40+T40+AD40</f>
        <v>0</v>
      </c>
      <c r="Y78" s="573"/>
      <c r="Z78" s="571"/>
      <c r="AA78" s="571"/>
      <c r="AB78" s="571"/>
      <c r="AC78" s="571"/>
      <c r="AD78" s="571"/>
      <c r="AE78" s="386"/>
      <c r="AF78" s="386"/>
      <c r="AG78" s="570"/>
      <c r="AH78" s="570"/>
      <c r="AI78" s="393"/>
      <c r="AJ78" s="393"/>
      <c r="AK78" s="393"/>
      <c r="AL78" s="393"/>
      <c r="AM78" s="570"/>
      <c r="AN78" s="570"/>
      <c r="AO78" s="570"/>
      <c r="AP78" s="570"/>
      <c r="AQ78" s="570"/>
      <c r="AR78" s="570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0</v>
      </c>
      <c r="V79" s="239">
        <v>48</v>
      </c>
      <c r="W79" s="240">
        <f>+V79-U79</f>
        <v>48</v>
      </c>
      <c r="X79" s="241" t="e">
        <f>+#REF!+#REF!+#REF!+#REF!+#REF!+#REF!</f>
        <v>#REF!</v>
      </c>
      <c r="Z79" s="246"/>
      <c r="AA79" s="246"/>
      <c r="AB79" s="571"/>
      <c r="AC79" s="571"/>
      <c r="AD79" s="571"/>
      <c r="AE79" s="386"/>
      <c r="AF79" s="386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>+J20+T20+AD20+J41+T41+AD41</f>
        <v>0</v>
      </c>
      <c r="Z80" s="1045">
        <f>+K80/E80</f>
        <v>30</v>
      </c>
      <c r="AA80" s="1045"/>
      <c r="AB80" s="1045"/>
      <c r="AC80" s="1045"/>
      <c r="AD80" s="571"/>
      <c r="AE80" s="386"/>
      <c r="AF80" s="386"/>
      <c r="AG80" s="244"/>
      <c r="AH80" s="244"/>
      <c r="AI80" s="570"/>
      <c r="AJ80" s="570"/>
      <c r="AK80" s="570"/>
      <c r="AL80" s="570"/>
      <c r="AM80" s="570"/>
      <c r="AN80" s="570"/>
      <c r="AO80" s="570"/>
      <c r="AP80" s="570"/>
      <c r="AQ80" s="570"/>
      <c r="AR80" s="570"/>
      <c r="AS80" s="386"/>
      <c r="AT80" s="386"/>
    </row>
    <row r="81" spans="1:46" ht="16.5">
      <c r="A81" s="1">
        <v>3</v>
      </c>
      <c r="B81" s="237" t="s">
        <v>118</v>
      </c>
      <c r="C81" s="1046">
        <f>6*3+7*34.0952</f>
        <v>256.66639999999995</v>
      </c>
      <c r="D81" s="1047"/>
      <c r="E81" s="1048">
        <f t="shared" si="61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0.6479214285714292</v>
      </c>
      <c r="R81" s="1057"/>
      <c r="U81" s="238">
        <f>+AE42+U42+K42+AO21+AE21+U21+K21</f>
        <v>7</v>
      </c>
      <c r="V81" s="239">
        <v>48</v>
      </c>
      <c r="W81" s="240">
        <f>+V81-U81</f>
        <v>41</v>
      </c>
      <c r="X81" s="241">
        <f>+J21+T21+AD21+J42+T42+AD42</f>
        <v>0</v>
      </c>
      <c r="Z81" s="252"/>
      <c r="AA81" s="394"/>
      <c r="AB81" s="389"/>
      <c r="AC81" s="571"/>
      <c r="AD81" s="571"/>
      <c r="AE81" s="386"/>
      <c r="AF81" s="386"/>
      <c r="AG81" s="570"/>
      <c r="AH81" s="570"/>
      <c r="AI81" s="393"/>
      <c r="AJ81" s="393"/>
      <c r="AK81" s="393"/>
      <c r="AL81" s="393"/>
      <c r="AM81" s="570"/>
      <c r="AN81" s="570"/>
      <c r="AO81" s="570"/>
      <c r="AP81" s="570"/>
      <c r="AQ81" s="570"/>
      <c r="AR81" s="570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1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6"/>
        <v>4.1319395833333337</v>
      </c>
      <c r="O82" s="1044"/>
      <c r="P82" s="5"/>
      <c r="Q82" s="1004">
        <f t="shared" si="57"/>
        <v>1.6895875</v>
      </c>
      <c r="R82" s="1005"/>
      <c r="U82" s="238">
        <f>+AE44+U44+K44+AO23+AE23+U23+K23</f>
        <v>0</v>
      </c>
      <c r="V82" s="239">
        <v>48</v>
      </c>
      <c r="W82" s="240">
        <f t="shared" si="59"/>
        <v>48</v>
      </c>
      <c r="X82" s="241">
        <f>+J22+T22+AD22+J43+T43+AD43</f>
        <v>0</v>
      </c>
      <c r="Z82" s="252"/>
      <c r="AA82" s="394"/>
      <c r="AB82" s="389"/>
      <c r="AC82" s="571"/>
      <c r="AD82" s="571"/>
      <c r="AE82" s="386"/>
      <c r="AF82" s="386"/>
      <c r="AG82" s="393"/>
      <c r="AH82" s="393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386"/>
      <c r="AT82" s="386"/>
    </row>
    <row r="83" spans="1:46" ht="16.5">
      <c r="B83" s="250" t="s">
        <v>124</v>
      </c>
      <c r="C83" s="1035">
        <f>+G83*6</f>
        <v>199.99979999999999</v>
      </c>
      <c r="D83" s="1036"/>
      <c r="E83" s="1037">
        <f t="shared" si="61"/>
        <v>28.571400000000001</v>
      </c>
      <c r="F83" s="1038"/>
      <c r="G83" s="1039">
        <v>33.333300000000001</v>
      </c>
      <c r="H83" s="1040"/>
      <c r="I83" s="1037">
        <f>+G83/8</f>
        <v>4.1666625000000002</v>
      </c>
      <c r="J83" s="1038"/>
      <c r="K83" s="1041">
        <f>+G83*30</f>
        <v>999.99900000000002</v>
      </c>
      <c r="L83" s="1042"/>
      <c r="M83" s="5"/>
      <c r="N83" s="1043">
        <f>+I83/6*7</f>
        <v>4.8611062500000006</v>
      </c>
      <c r="O83" s="1044"/>
      <c r="P83" s="5"/>
      <c r="Q83" s="1004">
        <f>+$I$69-I83</f>
        <v>1.0645875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+J23+T23+AD23+J44+T44+AD44</f>
        <v>0</v>
      </c>
      <c r="Z83" s="246"/>
      <c r="AA83" s="246"/>
      <c r="AB83" s="571"/>
      <c r="AC83" s="571"/>
      <c r="AD83" s="571">
        <v>200</v>
      </c>
      <c r="AE83" s="386"/>
      <c r="AF83" s="1023">
        <f>+AD83/6</f>
        <v>33.333333333333336</v>
      </c>
      <c r="AG83" s="1023"/>
      <c r="AH83" s="1023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1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3.1479166666666667</v>
      </c>
      <c r="R84" s="1034"/>
      <c r="U84" s="238">
        <f>+AE44+U44+K44+AO23+AE23+U23+K23</f>
        <v>0</v>
      </c>
      <c r="V84" s="239">
        <v>48</v>
      </c>
      <c r="W84" s="240">
        <f t="shared" si="59"/>
        <v>48</v>
      </c>
      <c r="X84" s="241">
        <f>+J23+T23+AD23+J44+T44+AD44</f>
        <v>0</v>
      </c>
      <c r="Y84" s="248"/>
      <c r="Z84" s="571"/>
      <c r="AA84" s="571"/>
      <c r="AB84" s="571"/>
      <c r="AC84" s="571"/>
      <c r="AG84" s="570"/>
      <c r="AH84" s="570"/>
      <c r="AI84" s="386"/>
      <c r="AJ84" s="386"/>
      <c r="AK84" s="569"/>
      <c r="AL84" s="569"/>
      <c r="AM84" s="569"/>
      <c r="AN84" s="569"/>
      <c r="AO84" s="569"/>
      <c r="AP84" s="569"/>
      <c r="AQ84" s="569"/>
      <c r="AR84" s="569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1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6"/>
        <v>11.423610416666666</v>
      </c>
      <c r="O85" s="1020"/>
      <c r="P85" s="5"/>
      <c r="Q85" s="1004">
        <f t="shared" si="57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59"/>
        <v>48</v>
      </c>
      <c r="X85" s="241">
        <f>+J27+T27+AD27+J48+T48+AD48</f>
        <v>0</v>
      </c>
      <c r="Z85" s="246"/>
      <c r="AA85" s="246"/>
      <c r="AB85" s="571"/>
      <c r="AC85" s="571"/>
      <c r="AD85" s="571"/>
      <c r="AE85" s="386"/>
      <c r="AF85" s="386"/>
      <c r="AG85" s="570"/>
      <c r="AH85" s="570"/>
      <c r="AI85" s="570"/>
      <c r="AJ85" s="570"/>
      <c r="AK85" s="570"/>
      <c r="AL85" s="570"/>
      <c r="AM85" s="570"/>
      <c r="AN85" s="570"/>
      <c r="AO85" s="570"/>
      <c r="AP85" s="570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570"/>
      <c r="AF89" s="570"/>
      <c r="AG89" s="386"/>
      <c r="AH89" s="386"/>
      <c r="AI89" s="386"/>
      <c r="AJ89" s="570"/>
      <c r="AK89" s="570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570"/>
      <c r="AF90" s="570"/>
      <c r="AG90" s="386"/>
      <c r="AH90" s="386"/>
      <c r="AI90" s="386"/>
      <c r="AJ90" s="570"/>
      <c r="AK90" s="570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570"/>
      <c r="AF92" s="570"/>
      <c r="AG92" s="386"/>
      <c r="AH92" s="386"/>
      <c r="AI92" s="386"/>
      <c r="AJ92" s="570"/>
      <c r="AK92" s="570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570"/>
      <c r="AF95" s="570"/>
      <c r="AG95" s="386"/>
      <c r="AH95" s="386"/>
      <c r="AI95" s="386"/>
      <c r="AJ95" s="570"/>
      <c r="AK95" s="570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569"/>
      <c r="AM97" s="570"/>
      <c r="AN97" s="569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570"/>
      <c r="AF107" s="570"/>
      <c r="AG107" s="386"/>
      <c r="AH107" s="386"/>
      <c r="AI107" s="386"/>
      <c r="AJ107" s="570"/>
      <c r="AK107" s="570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569"/>
      <c r="AM115" s="570"/>
      <c r="AN115" s="569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570"/>
      <c r="AF126" s="570"/>
      <c r="AG126" s="386"/>
      <c r="AH126" s="386"/>
      <c r="AI126" s="386"/>
      <c r="AJ126" s="570"/>
      <c r="AK126" s="570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570"/>
      <c r="AF127" s="570"/>
      <c r="AG127" s="386"/>
      <c r="AH127" s="386"/>
      <c r="AI127" s="386"/>
      <c r="AJ127" s="570"/>
      <c r="AK127" s="570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570"/>
      <c r="AF129" s="570"/>
      <c r="AG129" s="386"/>
      <c r="AH129" s="386"/>
      <c r="AI129" s="386"/>
      <c r="AJ129" s="570"/>
      <c r="AK129" s="570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570"/>
      <c r="AF132" s="570"/>
      <c r="AG132" s="386"/>
      <c r="AH132" s="386"/>
      <c r="AI132" s="386"/>
      <c r="AJ132" s="570"/>
      <c r="AK132" s="570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569"/>
      <c r="AM134" s="570"/>
      <c r="AN134" s="569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570"/>
      <c r="AF144" s="570"/>
      <c r="AG144" s="386"/>
      <c r="AH144" s="386"/>
      <c r="AI144" s="386"/>
      <c r="AJ144" s="570"/>
      <c r="AK144" s="570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570"/>
      <c r="AF145" s="570"/>
      <c r="AG145" s="386"/>
      <c r="AH145" s="386"/>
      <c r="AI145" s="386"/>
      <c r="AJ145" s="570"/>
      <c r="AK145" s="570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570"/>
      <c r="AF147" s="570"/>
      <c r="AG147" s="386"/>
      <c r="AH147" s="386"/>
      <c r="AI147" s="386"/>
      <c r="AJ147" s="570"/>
      <c r="AK147" s="570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570"/>
      <c r="AF150" s="570"/>
      <c r="AG150" s="386"/>
      <c r="AH150" s="386"/>
      <c r="AI150" s="386"/>
      <c r="AJ150" s="570"/>
      <c r="AK150" s="570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569"/>
      <c r="AM152" s="570"/>
      <c r="AN152" s="569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570"/>
      <c r="AF164" s="570"/>
      <c r="AG164" s="386"/>
      <c r="AH164" s="386"/>
      <c r="AI164" s="386"/>
      <c r="AJ164" s="570"/>
      <c r="AK164" s="570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569"/>
      <c r="AM172" s="570"/>
      <c r="AN172" s="569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C181" s="591"/>
      <c r="D181" s="591"/>
      <c r="G181" s="591"/>
      <c r="H181" s="591"/>
      <c r="J181" s="591"/>
      <c r="M181" s="591"/>
      <c r="N181" s="591"/>
      <c r="O181" s="591"/>
      <c r="P181" s="591"/>
      <c r="Q181" s="591"/>
      <c r="R181" s="591"/>
      <c r="S181" s="591"/>
      <c r="T181" s="591"/>
      <c r="U181" s="591"/>
      <c r="V181" s="591"/>
      <c r="W181" s="591"/>
      <c r="X181" s="591"/>
      <c r="Y181" s="591"/>
      <c r="Z181" s="591"/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588"/>
      <c r="AF183" s="588"/>
      <c r="AG183" s="386"/>
      <c r="AH183" s="386"/>
      <c r="AI183" s="386"/>
      <c r="AJ183" s="588"/>
      <c r="AK183" s="588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588"/>
      <c r="AF184" s="588"/>
      <c r="AG184" s="386"/>
      <c r="AH184" s="386"/>
      <c r="AI184" s="386"/>
      <c r="AJ184" s="588"/>
      <c r="AK184" s="588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588"/>
      <c r="AF186" s="588"/>
      <c r="AG186" s="386"/>
      <c r="AH186" s="386"/>
      <c r="AI186" s="386"/>
      <c r="AJ186" s="588"/>
      <c r="AK186" s="588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640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588"/>
      <c r="AF189" s="588"/>
      <c r="AG189" s="386"/>
      <c r="AH189" s="386"/>
      <c r="AI189" s="386"/>
      <c r="AJ189" s="588"/>
      <c r="AK189" s="588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587"/>
      <c r="AM191" s="588"/>
      <c r="AN191" s="587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C198" s="591"/>
      <c r="D198" s="591"/>
      <c r="G198" s="591"/>
      <c r="H198" s="591"/>
      <c r="J198" s="591"/>
      <c r="M198" s="591"/>
      <c r="N198" s="591"/>
      <c r="O198" s="591"/>
      <c r="P198" s="591"/>
      <c r="Q198" s="591"/>
      <c r="R198" s="591"/>
      <c r="S198" s="591"/>
      <c r="T198" s="591"/>
      <c r="U198" s="591"/>
      <c r="V198" s="591"/>
      <c r="W198" s="591"/>
      <c r="X198" s="591"/>
      <c r="Y198" s="591"/>
      <c r="Z198" s="591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C199" s="591"/>
      <c r="D199" s="591"/>
      <c r="G199" s="591"/>
      <c r="H199" s="591"/>
      <c r="J199" s="591"/>
      <c r="M199" s="591"/>
      <c r="N199" s="591"/>
      <c r="O199" s="591"/>
      <c r="P199" s="591"/>
      <c r="Q199" s="211"/>
      <c r="R199" s="212"/>
      <c r="S199" s="213"/>
      <c r="T199" s="214"/>
      <c r="U199" s="591"/>
      <c r="V199" s="591"/>
      <c r="W199" s="591"/>
      <c r="X199" s="591"/>
      <c r="Y199" s="591"/>
      <c r="Z199" s="591"/>
      <c r="AA199" s="59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S200" s="591"/>
      <c r="T200" s="591"/>
      <c r="U200" s="1101" t="s">
        <v>40</v>
      </c>
      <c r="V200" s="1104" t="s">
        <v>41</v>
      </c>
      <c r="W200" s="1107" t="s">
        <v>42</v>
      </c>
      <c r="X200" s="1110" t="s">
        <v>43</v>
      </c>
      <c r="Y200" s="591"/>
      <c r="Z200" s="591"/>
      <c r="AA200" s="59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S201" s="591"/>
      <c r="T201" s="591"/>
      <c r="U201" s="1102"/>
      <c r="V201" s="1105"/>
      <c r="W201" s="1108"/>
      <c r="X201" s="1111"/>
      <c r="Y201" s="591"/>
      <c r="Z201" s="591"/>
      <c r="AA201" s="59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S202" s="591"/>
      <c r="T202" s="591"/>
      <c r="U202" s="1102"/>
      <c r="V202" s="1105"/>
      <c r="W202" s="1108"/>
      <c r="X202" s="1111"/>
      <c r="Y202" s="591"/>
      <c r="Z202" s="591"/>
      <c r="AA202" s="59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S203" s="591"/>
      <c r="T203" s="591"/>
      <c r="U203" s="1102"/>
      <c r="V203" s="1105"/>
      <c r="W203" s="1108"/>
      <c r="X203" s="1111"/>
      <c r="Y203" s="591"/>
      <c r="Z203" s="591"/>
      <c r="AA203" s="591"/>
      <c r="AB203" s="591"/>
      <c r="AC203" s="591"/>
      <c r="AD203" s="591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S204" s="591"/>
      <c r="T204" s="591"/>
      <c r="U204" s="1102"/>
      <c r="V204" s="1105"/>
      <c r="W204" s="1108"/>
      <c r="X204" s="1111"/>
      <c r="Y204" s="591"/>
      <c r="Z204" s="389"/>
      <c r="AA204" s="589"/>
      <c r="AB204" s="589"/>
      <c r="AC204" s="589"/>
      <c r="AD204" s="589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S205" s="591"/>
      <c r="T205" s="591"/>
      <c r="U205" s="1103"/>
      <c r="V205" s="1106"/>
      <c r="W205" s="1109"/>
      <c r="X205" s="1112"/>
      <c r="Y205" s="591"/>
      <c r="Z205" s="389"/>
      <c r="AA205" s="589"/>
      <c r="AB205" s="589"/>
      <c r="AC205" s="589"/>
      <c r="AD205" s="589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2">+C206/7</f>
        <v>36.371428571428567</v>
      </c>
      <c r="F206" s="1049"/>
      <c r="G206" s="388"/>
      <c r="H206" s="388"/>
      <c r="I206" s="1052">
        <f t="shared" ref="I206:I213" si="63">+E206/8</f>
        <v>4.5464285714285708</v>
      </c>
      <c r="J206" s="1058"/>
      <c r="K206" s="1059">
        <f t="shared" ref="K206:K210" si="64">+E206*30</f>
        <v>1091.1428571428569</v>
      </c>
      <c r="L206" s="1059"/>
      <c r="M206" s="5"/>
      <c r="N206" s="1020">
        <f t="shared" ref="N206:N210" si="65">+I206/6*7</f>
        <v>5.3041666666666654</v>
      </c>
      <c r="O206" s="1020"/>
      <c r="P206" s="5"/>
      <c r="Q206" s="1056">
        <f t="shared" ref="Q206:Q210" si="66">+$I$69-I206</f>
        <v>0.68482142857142936</v>
      </c>
      <c r="R206" s="1057"/>
      <c r="S206" s="591"/>
      <c r="T206" s="591"/>
      <c r="U206" s="238">
        <f t="shared" ref="U206:U212" si="67">+AE167+U167+K167+AO146+AE146+U146+K146</f>
        <v>0</v>
      </c>
      <c r="V206" s="239">
        <v>48</v>
      </c>
      <c r="W206" s="240">
        <f t="shared" ref="W206:W210" si="68">+V206-U206</f>
        <v>48</v>
      </c>
      <c r="X206" s="241" t="e">
        <f t="shared" ref="X206:X212" si="69">+J146+T146+AD146+J167+T167+AD167</f>
        <v>#VALUE!</v>
      </c>
      <c r="Y206" s="591"/>
      <c r="Z206" s="389"/>
      <c r="AA206" s="589"/>
      <c r="AB206" s="589"/>
      <c r="AC206" s="589"/>
      <c r="AD206" s="589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2"/>
        <v>41.071428571428569</v>
      </c>
      <c r="F207" s="1049"/>
      <c r="G207" s="388"/>
      <c r="H207" s="388"/>
      <c r="I207" s="1052">
        <f t="shared" si="63"/>
        <v>5.1339285714285712</v>
      </c>
      <c r="J207" s="1058"/>
      <c r="K207" s="1059">
        <f t="shared" si="64"/>
        <v>1232.1428571428571</v>
      </c>
      <c r="L207" s="1059"/>
      <c r="M207" s="5"/>
      <c r="N207" s="1020">
        <f t="shared" si="65"/>
        <v>5.989583333333333</v>
      </c>
      <c r="O207" s="1020"/>
      <c r="P207" s="5"/>
      <c r="Q207" s="1056">
        <f t="shared" si="66"/>
        <v>9.7321428571429003E-2</v>
      </c>
      <c r="R207" s="1057"/>
      <c r="S207" s="591"/>
      <c r="T207" s="591"/>
      <c r="U207" s="238">
        <f t="shared" si="67"/>
        <v>0</v>
      </c>
      <c r="V207" s="239">
        <v>48</v>
      </c>
      <c r="W207" s="240">
        <f t="shared" si="68"/>
        <v>48</v>
      </c>
      <c r="X207" s="241" t="e">
        <f t="shared" si="69"/>
        <v>#VALUE!</v>
      </c>
      <c r="Y207" s="591"/>
      <c r="Z207" s="389"/>
      <c r="AA207" s="589"/>
      <c r="AB207" s="589"/>
      <c r="AC207" s="589"/>
      <c r="AD207" s="589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S208" s="591"/>
      <c r="T208" s="591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Y208" s="591"/>
      <c r="Z208" s="389"/>
      <c r="AA208" s="589"/>
      <c r="AB208" s="589"/>
      <c r="AC208" s="589"/>
      <c r="AD208" s="589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2"/>
        <v>33.33342857142857</v>
      </c>
      <c r="F209" s="1049"/>
      <c r="G209" s="388"/>
      <c r="H209" s="388"/>
      <c r="I209" s="1052">
        <f t="shared" si="63"/>
        <v>4.1666785714285712</v>
      </c>
      <c r="J209" s="1058"/>
      <c r="K209" s="1059">
        <f t="shared" si="64"/>
        <v>1000.0028571428571</v>
      </c>
      <c r="L209" s="1059"/>
      <c r="M209" s="5"/>
      <c r="N209" s="1020">
        <f t="shared" si="65"/>
        <v>4.8611250000000004</v>
      </c>
      <c r="O209" s="1020"/>
      <c r="P209" s="5"/>
      <c r="Q209" s="1056">
        <f t="shared" si="66"/>
        <v>1.0645714285714289</v>
      </c>
      <c r="R209" s="1057"/>
      <c r="S209" s="1066">
        <f>20*30/180*117</f>
        <v>390</v>
      </c>
      <c r="T209" s="1067"/>
      <c r="U209" s="238">
        <f t="shared" si="67"/>
        <v>0</v>
      </c>
      <c r="V209" s="239">
        <v>48</v>
      </c>
      <c r="W209" s="240">
        <f t="shared" si="68"/>
        <v>48</v>
      </c>
      <c r="X209" s="241">
        <f t="shared" si="69"/>
        <v>0</v>
      </c>
      <c r="Y209" s="591"/>
      <c r="Z209" s="1045" t="s">
        <v>53</v>
      </c>
      <c r="AA209" s="1045"/>
      <c r="AB209" s="1045"/>
      <c r="AC209" s="1045"/>
      <c r="AD209" s="389" t="s">
        <v>54</v>
      </c>
      <c r="AE209" s="589"/>
      <c r="AF209" s="386"/>
      <c r="AG209" s="588"/>
      <c r="AH209" s="588"/>
      <c r="AI209" s="386"/>
      <c r="AJ209" s="386"/>
      <c r="AK209" s="587"/>
      <c r="AL209" s="587"/>
      <c r="AM209" s="587"/>
      <c r="AN209" s="587"/>
      <c r="AO209" s="587"/>
      <c r="AP209" s="587"/>
      <c r="AQ209" s="587"/>
      <c r="AR209" s="587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2"/>
        <v>41.071428571428569</v>
      </c>
      <c r="F210" s="1049"/>
      <c r="G210" s="388"/>
      <c r="H210" s="388"/>
      <c r="I210" s="1052">
        <f t="shared" si="63"/>
        <v>5.1339285714285712</v>
      </c>
      <c r="J210" s="1058"/>
      <c r="K210" s="1059">
        <f t="shared" si="64"/>
        <v>1232.1428571428571</v>
      </c>
      <c r="L210" s="1059"/>
      <c r="M210" s="5"/>
      <c r="N210" s="1020">
        <f t="shared" si="65"/>
        <v>5.989583333333333</v>
      </c>
      <c r="O210" s="1020"/>
      <c r="P210" s="5"/>
      <c r="Q210" s="1056">
        <f t="shared" si="66"/>
        <v>9.7321428571429003E-2</v>
      </c>
      <c r="R210" s="1057"/>
      <c r="S210" s="591"/>
      <c r="T210" s="591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Y210" s="591"/>
      <c r="Z210" s="589"/>
      <c r="AA210" s="589"/>
      <c r="AB210" s="589"/>
      <c r="AC210" s="589"/>
      <c r="AD210" s="589"/>
      <c r="AE210" s="386"/>
      <c r="AF210" s="386"/>
      <c r="AG210" s="244"/>
      <c r="AH210" s="244"/>
      <c r="AI210" s="588"/>
      <c r="AJ210" s="588"/>
      <c r="AK210" s="588"/>
      <c r="AL210" s="588"/>
      <c r="AM210" s="588"/>
      <c r="AN210" s="588"/>
      <c r="AO210" s="588"/>
      <c r="AP210" s="588"/>
      <c r="AQ210" s="588"/>
      <c r="AR210" s="588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2"/>
        <v>41.071428571428569</v>
      </c>
      <c r="F211" s="1049"/>
      <c r="G211" s="1068"/>
      <c r="H211" s="1069"/>
      <c r="I211" s="1052">
        <f t="shared" si="63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S211" s="591"/>
      <c r="T211" s="591"/>
      <c r="U211" s="238">
        <f t="shared" si="67"/>
        <v>0</v>
      </c>
      <c r="V211" s="239">
        <v>48</v>
      </c>
      <c r="W211" s="240">
        <f>+V211-U211</f>
        <v>48</v>
      </c>
      <c r="X211" s="241">
        <f t="shared" si="69"/>
        <v>0</v>
      </c>
      <c r="Y211" s="591"/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588"/>
      <c r="AN211" s="588"/>
      <c r="AO211" s="588"/>
      <c r="AP211" s="588"/>
      <c r="AQ211" s="588"/>
      <c r="AR211" s="588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2"/>
        <v>29.571428571428573</v>
      </c>
      <c r="F212" s="1049"/>
      <c r="G212" s="1062"/>
      <c r="H212" s="1063"/>
      <c r="I212" s="1052">
        <f t="shared" si="63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0">+I212/6*7</f>
        <v>4.3125</v>
      </c>
      <c r="O212" s="1020"/>
      <c r="P212" s="5"/>
      <c r="Q212" s="1056">
        <f t="shared" ref="Q212:Q213" si="71">+$I$69-I212</f>
        <v>1.5348214285714286</v>
      </c>
      <c r="R212" s="1057"/>
      <c r="S212" s="1066">
        <f>20*30/180*117</f>
        <v>390</v>
      </c>
      <c r="T212" s="1067"/>
      <c r="U212" s="238">
        <f t="shared" si="67"/>
        <v>0</v>
      </c>
      <c r="V212" s="239">
        <v>48</v>
      </c>
      <c r="W212" s="240">
        <f t="shared" ref="W212:W213" si="72">+V212-U212</f>
        <v>48</v>
      </c>
      <c r="X212" s="241">
        <f t="shared" si="69"/>
        <v>0</v>
      </c>
      <c r="Y212" s="248"/>
      <c r="Z212" s="589"/>
      <c r="AA212" s="589"/>
      <c r="AB212" s="589"/>
      <c r="AC212" s="589"/>
      <c r="AD212" s="589"/>
      <c r="AE212" s="386"/>
      <c r="AF212" s="386"/>
      <c r="AG212" s="588"/>
      <c r="AH212" s="588"/>
      <c r="AI212" s="393"/>
      <c r="AJ212" s="393"/>
      <c r="AK212" s="393"/>
      <c r="AL212" s="393"/>
      <c r="AM212" s="588"/>
      <c r="AN212" s="588"/>
      <c r="AO212" s="588"/>
      <c r="AP212" s="588"/>
      <c r="AQ212" s="588"/>
      <c r="AR212" s="588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2"/>
        <v>28.333328571428574</v>
      </c>
      <c r="F213" s="1049"/>
      <c r="G213" s="1050">
        <v>25.761900000000001</v>
      </c>
      <c r="H213" s="1051"/>
      <c r="I213" s="1052">
        <f t="shared" si="63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0"/>
        <v>4.1319437500000005</v>
      </c>
      <c r="O213" s="1020"/>
      <c r="P213" s="5"/>
      <c r="Q213" s="1056">
        <f t="shared" si="71"/>
        <v>1.6895839285714285</v>
      </c>
      <c r="R213" s="1057"/>
      <c r="S213" s="591"/>
      <c r="T213" s="591"/>
      <c r="U213" s="238">
        <f>+AE175+U175+K175+AO154+AE154+U154+K154</f>
        <v>0</v>
      </c>
      <c r="V213" s="239">
        <v>48</v>
      </c>
      <c r="W213" s="240">
        <f t="shared" si="72"/>
        <v>48</v>
      </c>
      <c r="X213" s="241">
        <f>+J154+T154+AD154+J175+T175+AD175</f>
        <v>0</v>
      </c>
      <c r="Y213" s="591"/>
      <c r="Z213" s="589"/>
      <c r="AA213" s="589"/>
      <c r="AB213" s="589"/>
      <c r="AC213" s="589"/>
      <c r="AD213" s="589"/>
      <c r="AE213" s="386"/>
      <c r="AF213" s="386"/>
      <c r="AG213" s="588"/>
      <c r="AH213" s="588"/>
      <c r="AI213" s="393"/>
      <c r="AJ213" s="393"/>
      <c r="AK213" s="393"/>
      <c r="AL213" s="393"/>
      <c r="AM213" s="588"/>
      <c r="AN213" s="588"/>
      <c r="AO213" s="588"/>
      <c r="AP213" s="588"/>
      <c r="AQ213" s="588"/>
      <c r="AR213" s="588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3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S214" s="591"/>
      <c r="T214" s="591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Y214" s="591"/>
      <c r="Z214" s="246"/>
      <c r="AA214" s="246"/>
      <c r="AB214" s="589"/>
      <c r="AC214" s="589"/>
      <c r="AD214" s="589"/>
      <c r="AE214" s="386"/>
      <c r="AF214" s="386"/>
      <c r="AG214" s="588"/>
      <c r="AH214" s="588"/>
      <c r="AI214" s="588"/>
      <c r="AJ214" s="588"/>
      <c r="AK214" s="588"/>
      <c r="AL214" s="588"/>
      <c r="AM214" s="588"/>
      <c r="AN214" s="588"/>
      <c r="AO214" s="588"/>
      <c r="AP214" s="588"/>
      <c r="AQ214" s="588"/>
      <c r="AR214" s="588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4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S215" s="591"/>
      <c r="T215" s="591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Y215" s="591"/>
      <c r="Z215" s="1045">
        <f>+K215/E215</f>
        <v>30</v>
      </c>
      <c r="AA215" s="1045"/>
      <c r="AB215" s="1045"/>
      <c r="AC215" s="1045"/>
      <c r="AD215" s="589"/>
      <c r="AE215" s="386"/>
      <c r="AF215" s="386"/>
      <c r="AG215" s="244"/>
      <c r="AH215" s="244"/>
      <c r="AI215" s="588"/>
      <c r="AJ215" s="588"/>
      <c r="AK215" s="588"/>
      <c r="AL215" s="588"/>
      <c r="AM215" s="588"/>
      <c r="AN215" s="588"/>
      <c r="AO215" s="588"/>
      <c r="AP215" s="588"/>
      <c r="AQ215" s="588"/>
      <c r="AR215" s="588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4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S216" s="591"/>
      <c r="T216" s="591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Y216" s="591"/>
      <c r="Z216" s="252"/>
      <c r="AA216" s="394"/>
      <c r="AB216" s="389"/>
      <c r="AC216" s="589"/>
      <c r="AD216" s="589"/>
      <c r="AE216" s="386"/>
      <c r="AF216" s="386"/>
      <c r="AG216" s="588"/>
      <c r="AH216" s="588"/>
      <c r="AI216" s="393"/>
      <c r="AJ216" s="393"/>
      <c r="AK216" s="393"/>
      <c r="AL216" s="393"/>
      <c r="AM216" s="588"/>
      <c r="AN216" s="588"/>
      <c r="AO216" s="588"/>
      <c r="AP216" s="588"/>
      <c r="AQ216" s="588"/>
      <c r="AR216" s="588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4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5">+I217/6*7</f>
        <v>4.1319395833333337</v>
      </c>
      <c r="O217" s="1044"/>
      <c r="P217" s="5"/>
      <c r="Q217" s="1004">
        <f t="shared" ref="Q217" si="76">+$I$69-I217</f>
        <v>1.6895875</v>
      </c>
      <c r="R217" s="1005"/>
      <c r="S217" s="591"/>
      <c r="T217" s="591"/>
      <c r="U217" s="238">
        <f>+AE179+U179+K179+AO158+AE158+U158+K158</f>
        <v>0</v>
      </c>
      <c r="V217" s="239">
        <v>48</v>
      </c>
      <c r="W217" s="240">
        <f t="shared" ref="W217" si="77">+V217-U217</f>
        <v>48</v>
      </c>
      <c r="X217" s="241">
        <f>+J157+T157+AD157+J178+T178+AD178</f>
        <v>0</v>
      </c>
      <c r="Y217" s="591"/>
      <c r="Z217" s="252"/>
      <c r="AA217" s="394"/>
      <c r="AB217" s="389"/>
      <c r="AC217" s="589"/>
      <c r="AD217" s="589"/>
      <c r="AE217" s="386"/>
      <c r="AF217" s="386"/>
      <c r="AG217" s="393"/>
      <c r="AH217" s="393"/>
      <c r="AI217" s="588"/>
      <c r="AJ217" s="588"/>
      <c r="AK217" s="588"/>
      <c r="AL217" s="588"/>
      <c r="AM217" s="588"/>
      <c r="AN217" s="588"/>
      <c r="AO217" s="588"/>
      <c r="AP217" s="588"/>
      <c r="AQ217" s="588"/>
      <c r="AR217" s="588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4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S218" s="591"/>
      <c r="T218" s="591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Y218" s="591"/>
      <c r="Z218" s="246"/>
      <c r="AA218" s="246"/>
      <c r="AB218" s="589"/>
      <c r="AC218" s="589"/>
      <c r="AD218" s="589">
        <v>200</v>
      </c>
      <c r="AE218" s="386"/>
      <c r="AF218" s="1023">
        <f>+AD218/6</f>
        <v>33.333333333333336</v>
      </c>
      <c r="AG218" s="1023"/>
      <c r="AH218" s="1023"/>
      <c r="AI218" s="588"/>
      <c r="AJ218" s="588"/>
      <c r="AK218" s="588"/>
      <c r="AL218" s="588"/>
      <c r="AM218" s="588"/>
      <c r="AN218" s="588"/>
      <c r="AO218" s="588"/>
      <c r="AP218" s="588"/>
      <c r="AQ218" s="588"/>
      <c r="AR218" s="588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4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S219" s="591"/>
      <c r="T219" s="591"/>
      <c r="U219" s="238">
        <f>+AE179+U179+K179+AO158+AE158+U158+K158</f>
        <v>0</v>
      </c>
      <c r="V219" s="239">
        <v>48</v>
      </c>
      <c r="W219" s="240">
        <f t="shared" ref="W219:W220" si="78">+V219-U219</f>
        <v>48</v>
      </c>
      <c r="X219" s="241">
        <f>+J158+T158+AD158+J179+T179+AD179</f>
        <v>0</v>
      </c>
      <c r="Y219" s="248"/>
      <c r="Z219" s="589"/>
      <c r="AA219" s="589"/>
      <c r="AB219" s="589"/>
      <c r="AC219" s="589"/>
      <c r="AG219" s="588"/>
      <c r="AH219" s="588"/>
      <c r="AI219" s="386"/>
      <c r="AJ219" s="386"/>
      <c r="AK219" s="587"/>
      <c r="AL219" s="587"/>
      <c r="AM219" s="587"/>
      <c r="AN219" s="587"/>
      <c r="AO219" s="587"/>
      <c r="AP219" s="587"/>
      <c r="AQ219" s="587"/>
      <c r="AR219" s="587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4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79">+I220/6*7</f>
        <v>11.423610416666666</v>
      </c>
      <c r="O220" s="1020"/>
      <c r="P220" s="5"/>
      <c r="Q220" s="1004">
        <f t="shared" ref="Q220" si="80">+$I$69-I220</f>
        <v>-4.5604160714285706</v>
      </c>
      <c r="R220" s="1005"/>
      <c r="S220" s="591"/>
      <c r="T220" s="591"/>
      <c r="U220" s="238">
        <f>+AE183+U183+K183+AO162+AE162+U162+K162</f>
        <v>0</v>
      </c>
      <c r="V220" s="239">
        <v>48</v>
      </c>
      <c r="W220" s="240">
        <f t="shared" si="78"/>
        <v>48</v>
      </c>
      <c r="X220" s="241">
        <f>+J162+T162+AD162+J183+T183+AD183</f>
        <v>0</v>
      </c>
      <c r="Y220" s="591"/>
      <c r="Z220" s="246"/>
      <c r="AA220" s="246"/>
      <c r="AB220" s="589"/>
      <c r="AC220" s="589"/>
      <c r="AD220" s="589"/>
      <c r="AE220" s="386"/>
      <c r="AF220" s="386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386"/>
      <c r="AR220" s="386"/>
      <c r="AS220" s="386"/>
      <c r="AT220" s="386"/>
    </row>
    <row r="221" spans="1:46">
      <c r="C221" s="591"/>
      <c r="D221" s="591"/>
      <c r="G221" s="591"/>
      <c r="H221" s="591"/>
      <c r="J221" s="591"/>
      <c r="M221" s="591"/>
      <c r="N221" s="591"/>
      <c r="O221" s="591"/>
      <c r="P221" s="591"/>
      <c r="Q221" s="591"/>
      <c r="R221" s="591"/>
      <c r="S221" s="591"/>
      <c r="T221" s="591"/>
      <c r="U221" s="591"/>
      <c r="V221" s="591"/>
      <c r="W221" s="591"/>
      <c r="X221" s="591"/>
      <c r="Y221" s="591"/>
      <c r="Z221" s="591"/>
      <c r="AE221" s="255"/>
      <c r="AF221" s="255"/>
      <c r="AJ221" s="255"/>
      <c r="AK221" s="255"/>
    </row>
    <row r="222" spans="1:46" ht="15.75" thickBot="1">
      <c r="C222" s="591"/>
      <c r="D222" s="591"/>
      <c r="G222" s="591"/>
      <c r="H222" s="591"/>
      <c r="J222" s="591"/>
      <c r="M222" s="591"/>
      <c r="N222" s="591"/>
      <c r="O222" s="591"/>
      <c r="P222" s="591"/>
      <c r="Q222" s="591"/>
      <c r="R222" s="591"/>
      <c r="S222" s="591"/>
      <c r="T222" s="591"/>
      <c r="U222" s="591"/>
      <c r="V222" s="591"/>
      <c r="W222" s="591"/>
      <c r="X222" s="591"/>
      <c r="Y222" s="591"/>
      <c r="Z222" s="591"/>
      <c r="AE222" s="255"/>
      <c r="AF222" s="255"/>
      <c r="AJ222" s="255"/>
      <c r="AK222" s="255"/>
    </row>
    <row r="223" spans="1:46">
      <c r="C223" s="321"/>
      <c r="D223" s="590"/>
      <c r="E223" s="304"/>
      <c r="F223" s="305"/>
      <c r="G223" s="590"/>
      <c r="H223" s="590"/>
      <c r="I223" s="305"/>
      <c r="J223" s="590"/>
      <c r="K223" s="306"/>
      <c r="L223" s="306"/>
      <c r="M223" s="590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2" si="81">+I227+L227+O227</f>
        <v>33.762</v>
      </c>
      <c r="S227" s="1001"/>
      <c r="T227" s="1001"/>
      <c r="U227" s="961">
        <f t="shared" ref="U227:U232" si="82">+I227*7+(L227+O227)*6</f>
        <v>233.334</v>
      </c>
      <c r="V227" s="961"/>
      <c r="W227" s="962"/>
      <c r="X227" s="963">
        <f t="shared" ref="X227:X232" si="83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1"/>
        <v>28.762</v>
      </c>
      <c r="S228" s="998"/>
      <c r="T228" s="998"/>
      <c r="U228" s="953">
        <f t="shared" si="82"/>
        <v>198.334</v>
      </c>
      <c r="V228" s="953"/>
      <c r="W228" s="954"/>
      <c r="X228" s="947">
        <f t="shared" si="83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4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41.5</v>
      </c>
      <c r="S229" s="998"/>
      <c r="T229" s="998"/>
      <c r="U229" s="953">
        <f t="shared" si="82"/>
        <v>287.5</v>
      </c>
      <c r="V229" s="953"/>
      <c r="W229" s="954"/>
      <c r="X229" s="947">
        <f t="shared" si="83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36.799999999999997</v>
      </c>
      <c r="S232" s="998"/>
      <c r="T232" s="998"/>
      <c r="U232" s="953">
        <f t="shared" si="82"/>
        <v>254.59999999999997</v>
      </c>
      <c r="V232" s="953"/>
      <c r="W232" s="954"/>
      <c r="X232" s="947">
        <f t="shared" si="83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ref="R233" si="85">+I233+L233+O233</f>
        <v>41.5</v>
      </c>
      <c r="S233" s="998"/>
      <c r="T233" s="998"/>
      <c r="U233" s="953">
        <f t="shared" ref="U233" si="86">+I233*7+(L233+O233)*6</f>
        <v>287.5</v>
      </c>
      <c r="V233" s="953"/>
      <c r="W233" s="954"/>
      <c r="X233" s="947">
        <f t="shared" ref="X233" si="87">+U233/7*30</f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ref="R234" si="88">+I234+L234+O234</f>
        <v>37.095199999999998</v>
      </c>
      <c r="S234" s="998"/>
      <c r="T234" s="998"/>
      <c r="U234" s="953">
        <f t="shared" ref="U234" si="89">+I234*7+(L234+O234)*6</f>
        <v>256.66639999999995</v>
      </c>
      <c r="V234" s="953"/>
      <c r="W234" s="954"/>
      <c r="X234" s="947">
        <f t="shared" ref="X234" si="90">+U234/7*30</f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C240" s="591"/>
      <c r="D240" s="591"/>
      <c r="G240" s="591"/>
      <c r="H240" s="591"/>
      <c r="J240" s="591"/>
      <c r="M240" s="591"/>
      <c r="N240" s="591"/>
      <c r="O240" s="591"/>
      <c r="P240" s="591"/>
      <c r="Q240" s="591"/>
      <c r="R240" s="591"/>
      <c r="S240" s="591"/>
      <c r="T240" s="591"/>
      <c r="U240" s="591"/>
      <c r="V240" s="591"/>
      <c r="W240" s="591"/>
      <c r="X240" s="591"/>
      <c r="Y240" s="591"/>
      <c r="Z240" s="591"/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570"/>
      <c r="AF243" s="570"/>
      <c r="AG243" s="386"/>
      <c r="AH243" s="386"/>
      <c r="AI243" s="386"/>
      <c r="AJ243" s="570"/>
      <c r="AK243" s="570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570"/>
      <c r="AF244" s="570"/>
      <c r="AG244" s="386"/>
      <c r="AH244" s="386"/>
      <c r="AI244" s="386"/>
      <c r="AJ244" s="570"/>
      <c r="AK244" s="570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570"/>
      <c r="AF246" s="570"/>
      <c r="AG246" s="386"/>
      <c r="AH246" s="386"/>
      <c r="AI246" s="386"/>
      <c r="AJ246" s="570"/>
      <c r="AK246" s="570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570"/>
      <c r="AF249" s="570"/>
      <c r="AG249" s="386"/>
      <c r="AH249" s="386"/>
      <c r="AI249" s="386"/>
      <c r="AJ249" s="570"/>
      <c r="AK249" s="570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569"/>
      <c r="AM251" s="570"/>
      <c r="AN251" s="569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572"/>
      <c r="E260" s="304"/>
      <c r="F260" s="305"/>
      <c r="G260" s="572"/>
      <c r="H260" s="572"/>
      <c r="I260" s="305"/>
      <c r="J260" s="572"/>
      <c r="K260" s="306"/>
      <c r="L260" s="306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91">+I264+L264+O264</f>
        <v>41.5</v>
      </c>
      <c r="S264" s="960"/>
      <c r="T264" s="960"/>
      <c r="U264" s="961">
        <f t="shared" ref="U264:U270" si="92">+I264*7+(L264+O264)*6</f>
        <v>287.5</v>
      </c>
      <c r="V264" s="961"/>
      <c r="W264" s="962"/>
      <c r="X264" s="963">
        <f t="shared" ref="X264:X270" si="93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4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91"/>
        <v>41.5</v>
      </c>
      <c r="S265" s="938"/>
      <c r="T265" s="938"/>
      <c r="U265" s="953">
        <f t="shared" si="92"/>
        <v>287.5</v>
      </c>
      <c r="V265" s="953"/>
      <c r="W265" s="954"/>
      <c r="X265" s="947">
        <f t="shared" si="93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4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91"/>
        <v>41.5</v>
      </c>
      <c r="S266" s="938"/>
      <c r="T266" s="938"/>
      <c r="U266" s="953">
        <f t="shared" si="92"/>
        <v>287.5</v>
      </c>
      <c r="V266" s="953"/>
      <c r="W266" s="954"/>
      <c r="X266" s="947">
        <f t="shared" si="93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4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91"/>
        <v>38</v>
      </c>
      <c r="S267" s="938"/>
      <c r="T267" s="938"/>
      <c r="U267" s="953">
        <f t="shared" si="92"/>
        <v>263</v>
      </c>
      <c r="V267" s="953"/>
      <c r="W267" s="954"/>
      <c r="X267" s="947">
        <f t="shared" si="93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4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91"/>
        <v>36.799999999999997</v>
      </c>
      <c r="S268" s="938"/>
      <c r="T268" s="938"/>
      <c r="U268" s="953">
        <f t="shared" si="92"/>
        <v>254.59999999999997</v>
      </c>
      <c r="V268" s="953"/>
      <c r="W268" s="954"/>
      <c r="X268" s="947">
        <f t="shared" si="93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4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91"/>
        <v>36.799999999999997</v>
      </c>
      <c r="S269" s="938"/>
      <c r="T269" s="938"/>
      <c r="U269" s="953">
        <f t="shared" si="92"/>
        <v>254.59999999999997</v>
      </c>
      <c r="V269" s="953"/>
      <c r="W269" s="954"/>
      <c r="X269" s="947">
        <f t="shared" si="93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4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91"/>
        <v>29</v>
      </c>
      <c r="S270" s="938"/>
      <c r="T270" s="938"/>
      <c r="U270" s="953">
        <f t="shared" si="92"/>
        <v>200</v>
      </c>
      <c r="V270" s="953"/>
      <c r="W270" s="954"/>
      <c r="X270" s="947">
        <f t="shared" si="93"/>
        <v>857.14285714285722</v>
      </c>
      <c r="Y270" s="948"/>
      <c r="Z270" s="949"/>
      <c r="AA270" s="935">
        <v>25</v>
      </c>
      <c r="AB270" s="936"/>
      <c r="AC270" s="936"/>
      <c r="AD270" s="937">
        <f t="shared" si="94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7">
    <mergeCell ref="D237:F237"/>
    <mergeCell ref="D238:F238"/>
    <mergeCell ref="M238:O238"/>
    <mergeCell ref="D234:H234"/>
    <mergeCell ref="I234:K234"/>
    <mergeCell ref="L234:N234"/>
    <mergeCell ref="O234:Q234"/>
    <mergeCell ref="R234:T234"/>
    <mergeCell ref="U234:W234"/>
    <mergeCell ref="S236:U236"/>
    <mergeCell ref="O235:Q235"/>
    <mergeCell ref="R235:T235"/>
    <mergeCell ref="U235:W235"/>
    <mergeCell ref="C217:D217"/>
    <mergeCell ref="E217:F217"/>
    <mergeCell ref="G217:H217"/>
    <mergeCell ref="I217:J217"/>
    <mergeCell ref="K217:L217"/>
    <mergeCell ref="N217:O217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5:D215"/>
    <mergeCell ref="E215:F215"/>
    <mergeCell ref="I215:J215"/>
    <mergeCell ref="K215:L215"/>
    <mergeCell ref="N215:O215"/>
    <mergeCell ref="Q215:R215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3:D213"/>
    <mergeCell ref="E213:F213"/>
    <mergeCell ref="G213:H213"/>
    <mergeCell ref="I213:J213"/>
    <mergeCell ref="K213:L213"/>
    <mergeCell ref="N213:O213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1:D211"/>
    <mergeCell ref="E211:F211"/>
    <mergeCell ref="G211:H211"/>
    <mergeCell ref="I211:J211"/>
    <mergeCell ref="K211:L211"/>
    <mergeCell ref="N211:O211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09:D209"/>
    <mergeCell ref="E209:F209"/>
    <mergeCell ref="I209:J209"/>
    <mergeCell ref="K209:L209"/>
    <mergeCell ref="N209:O209"/>
    <mergeCell ref="Q209:R209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7:D207"/>
    <mergeCell ref="E207:F207"/>
    <mergeCell ref="I207:J207"/>
    <mergeCell ref="K207:L207"/>
    <mergeCell ref="N207:O207"/>
    <mergeCell ref="Q207:R207"/>
    <mergeCell ref="C208:D208"/>
    <mergeCell ref="E208:F208"/>
    <mergeCell ref="I208:J208"/>
    <mergeCell ref="K208:L208"/>
    <mergeCell ref="N208:O208"/>
    <mergeCell ref="Q208:R208"/>
    <mergeCell ref="I204:J204"/>
    <mergeCell ref="K204:L204"/>
    <mergeCell ref="N204:O204"/>
    <mergeCell ref="Q204:R204"/>
    <mergeCell ref="C206:D206"/>
    <mergeCell ref="E206:F206"/>
    <mergeCell ref="I206:J206"/>
    <mergeCell ref="K206:L206"/>
    <mergeCell ref="N206:O206"/>
    <mergeCell ref="Q206:R206"/>
    <mergeCell ref="AD236:AF236"/>
    <mergeCell ref="AD238:AF238"/>
    <mergeCell ref="C200:D202"/>
    <mergeCell ref="E200:F202"/>
    <mergeCell ref="G200:H204"/>
    <mergeCell ref="I200:J202"/>
    <mergeCell ref="K200:L202"/>
    <mergeCell ref="N200:O202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Q203:R203"/>
    <mergeCell ref="C204:D204"/>
    <mergeCell ref="D235:H235"/>
    <mergeCell ref="I235:K235"/>
    <mergeCell ref="L235:N235"/>
    <mergeCell ref="E204:F204"/>
    <mergeCell ref="AA235:AC235"/>
    <mergeCell ref="AD235:AF235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AA225:AC225"/>
    <mergeCell ref="AD225:AF225"/>
    <mergeCell ref="AF218:AH218"/>
    <mergeCell ref="D226:H226"/>
    <mergeCell ref="I226:K226"/>
    <mergeCell ref="L226:N226"/>
    <mergeCell ref="O226:Q226"/>
    <mergeCell ref="R226:T226"/>
    <mergeCell ref="U226:W226"/>
    <mergeCell ref="X226:Z226"/>
    <mergeCell ref="AA226:AC226"/>
    <mergeCell ref="AD226:AF226"/>
    <mergeCell ref="C219:D219"/>
    <mergeCell ref="E219:F219"/>
    <mergeCell ref="G219:H219"/>
    <mergeCell ref="I219:J219"/>
    <mergeCell ref="K219:L219"/>
    <mergeCell ref="N219:O219"/>
    <mergeCell ref="Q219:R219"/>
    <mergeCell ref="C220:D220"/>
    <mergeCell ref="E220:F220"/>
    <mergeCell ref="G220:H220"/>
    <mergeCell ref="I220:J220"/>
    <mergeCell ref="K220:L220"/>
    <mergeCell ref="AA193:AB193"/>
    <mergeCell ref="AD271:AF271"/>
    <mergeCell ref="X267:Z267"/>
    <mergeCell ref="AA267:AC267"/>
    <mergeCell ref="AD267:AF267"/>
    <mergeCell ref="AA268:AC268"/>
    <mergeCell ref="AD268:AF268"/>
    <mergeCell ref="O257:P257"/>
    <mergeCell ref="AA262:AC262"/>
    <mergeCell ref="AD262:AF262"/>
    <mergeCell ref="O254:P254"/>
    <mergeCell ref="Q254:Z254"/>
    <mergeCell ref="O255:P255"/>
    <mergeCell ref="Q255:Z255"/>
    <mergeCell ref="O256:P256"/>
    <mergeCell ref="Q256:Z256"/>
    <mergeCell ref="AF248:AJ248"/>
    <mergeCell ref="O194:P194"/>
    <mergeCell ref="Q194:Z194"/>
    <mergeCell ref="O195:P195"/>
    <mergeCell ref="Q195:Z195"/>
    <mergeCell ref="O196:P196"/>
    <mergeCell ref="Q196:Z196"/>
    <mergeCell ref="O197:P197"/>
    <mergeCell ref="L273:N273"/>
    <mergeCell ref="AD273:AF273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S271:U271"/>
    <mergeCell ref="X271:Z271"/>
    <mergeCell ref="D268:H268"/>
    <mergeCell ref="I268:K268"/>
    <mergeCell ref="L268:N268"/>
    <mergeCell ref="O268:Q268"/>
    <mergeCell ref="R268:T268"/>
    <mergeCell ref="U268:W268"/>
    <mergeCell ref="X268:Z268"/>
    <mergeCell ref="D267:H267"/>
    <mergeCell ref="I267:K267"/>
    <mergeCell ref="L267:N267"/>
    <mergeCell ref="O267:Q267"/>
    <mergeCell ref="R267:T267"/>
    <mergeCell ref="U267:W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49:P249"/>
    <mergeCell ref="O251:Z251"/>
    <mergeCell ref="O252:P252"/>
    <mergeCell ref="Q252:Z252"/>
    <mergeCell ref="O253:P253"/>
    <mergeCell ref="Q253:Z253"/>
    <mergeCell ref="AA253:AB253"/>
    <mergeCell ref="AA245:AB245"/>
    <mergeCell ref="O246:P246"/>
    <mergeCell ref="Q246:Z246"/>
    <mergeCell ref="O247:P247"/>
    <mergeCell ref="Q247:Z247"/>
    <mergeCell ref="O248:P248"/>
    <mergeCell ref="Q248:Z248"/>
    <mergeCell ref="O243:Z243"/>
    <mergeCell ref="O244:P244"/>
    <mergeCell ref="Q244:Z244"/>
    <mergeCell ref="O245:P245"/>
    <mergeCell ref="Q245:Z245"/>
    <mergeCell ref="O183:Z183"/>
    <mergeCell ref="O184:P184"/>
    <mergeCell ref="Q184:Z184"/>
    <mergeCell ref="O185:P185"/>
    <mergeCell ref="Q185:Z185"/>
    <mergeCell ref="Q188:Z188"/>
    <mergeCell ref="O189:P189"/>
    <mergeCell ref="O191:Z191"/>
    <mergeCell ref="O192:P192"/>
    <mergeCell ref="Q192:Z192"/>
    <mergeCell ref="O193:P193"/>
    <mergeCell ref="Q193:Z193"/>
    <mergeCell ref="X235:Z235"/>
    <mergeCell ref="X236:Z236"/>
    <mergeCell ref="N220:O220"/>
    <mergeCell ref="Q220:R220"/>
    <mergeCell ref="AA185:AB185"/>
    <mergeCell ref="O186:P186"/>
    <mergeCell ref="Q186:Z186"/>
    <mergeCell ref="O187:P187"/>
    <mergeCell ref="Q187:Z187"/>
    <mergeCell ref="O188:P188"/>
    <mergeCell ref="O175:P175"/>
    <mergeCell ref="Q175:Z175"/>
    <mergeCell ref="O176:P176"/>
    <mergeCell ref="Q176:Z176"/>
    <mergeCell ref="O177:P177"/>
    <mergeCell ref="Q177:Z177"/>
    <mergeCell ref="O178:P178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AF83:AH83"/>
    <mergeCell ref="C84:D84"/>
    <mergeCell ref="E84:F84"/>
    <mergeCell ref="G84:H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I227:AK227"/>
    <mergeCell ref="AI228:AK228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7 AH60 AP60 AH32:AH48 AP32:AP48">
    <cfRule type="cellIs" dxfId="317" priority="28" stopIfTrue="1" operator="lessThanOrEqual">
      <formula>0</formula>
    </cfRule>
  </conditionalFormatting>
  <conditionalFormatting sqref="L287:L288 K258:L258 K287:K290 L290 K158:L159 K275:L278 K179:L179 K85:L141 L79:L81 K79:K83">
    <cfRule type="cellIs" dxfId="316" priority="27" stopIfTrue="1" operator="greaterThanOrEqual">
      <formula>$K$72</formula>
    </cfRule>
  </conditionalFormatting>
  <conditionalFormatting sqref="AR48:AT48 AR46:AT46 AP56:AT57 AR60:AS60 AR43:AS45 AR32:AS32 AR33:AR42 AP22:AT26 AT19:AT21 AP19:AP21 AR19:AR21 AT5 AP11:AT18 AQ20:AQ21 AS20:AS21">
    <cfRule type="cellIs" dxfId="315" priority="26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314" priority="25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313" priority="24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AE42:AE43 U42:U45 V43:V44 U32:V32 U25:V26 K25:L26 AE32:AF32 AE25:AF26 U24 K22:L23 K24 K32:L32 U22:V23 U33:U40 AE33:AE40 K33:K43 AE14:AF14 K11:L11 AE11:AE13 U11:V11 K17:L17 V17 K12:K16 U12:U21 K18:K21 AO11:AO26 AE15:AE24">
    <cfRule type="cellIs" dxfId="312" priority="23" stopIfTrue="1" operator="lessThanOrEqual">
      <formula>0</formula>
    </cfRule>
  </conditionalFormatting>
  <conditionalFormatting sqref="Z49:AA53 Z61:AA66 W85:X85 W74:X83">
    <cfRule type="cellIs" dxfId="311" priority="22" stopIfTrue="1" operator="lessThan">
      <formula>0</formula>
    </cfRule>
  </conditionalFormatting>
  <conditionalFormatting sqref="X49:X53 X61:X66 U85 U74:U83">
    <cfRule type="cellIs" dxfId="310" priority="21" stopIfTrue="1" operator="greaterThan">
      <formula>48</formula>
    </cfRule>
  </conditionalFormatting>
  <conditionalFormatting sqref="C275:C279 C287:D290 C158:D158 D275:D286 C86:D141">
    <cfRule type="cellIs" dxfId="309" priority="20" stopIfTrue="1" operator="lessThan">
      <formula>$C$71</formula>
    </cfRule>
  </conditionalFormatting>
  <conditionalFormatting sqref="AI60:AO60 AI32:AO48">
    <cfRule type="cellIs" dxfId="308" priority="18" stopIfTrue="1" operator="equal">
      <formula>0</formula>
    </cfRule>
    <cfRule type="cellIs" dxfId="307" priority="19" stopIfTrue="1" operator="lessThan">
      <formula>0</formula>
    </cfRule>
  </conditionalFormatting>
  <conditionalFormatting sqref="AT60 AT32:AT45">
    <cfRule type="cellIs" dxfId="306" priority="16" stopIfTrue="1" operator="greaterThan">
      <formula>0</formula>
    </cfRule>
    <cfRule type="cellIs" dxfId="305" priority="17" stopIfTrue="1" operator="lessThan">
      <formula>1</formula>
    </cfRule>
  </conditionalFormatting>
  <conditionalFormatting sqref="K84:L84 K71:L81">
    <cfRule type="cellIs" dxfId="304" priority="15" stopIfTrue="1" operator="greaterThanOrEqual">
      <formula>$K$69</formula>
    </cfRule>
  </conditionalFormatting>
  <conditionalFormatting sqref="AF56:AF57 AF33:AF45 V32:V45 L32:L45 L12:L24 V12:V24 AF11:AF24">
    <cfRule type="cellIs" dxfId="303" priority="13" stopIfTrue="1" operator="equal">
      <formula>0</formula>
    </cfRule>
    <cfRule type="cellIs" dxfId="302" priority="14" stopIfTrue="1" operator="lessThan">
      <formula>0</formula>
    </cfRule>
  </conditionalFormatting>
  <conditionalFormatting sqref="K198:L240">
    <cfRule type="cellIs" dxfId="301" priority="12" stopIfTrue="1" operator="greaterThanOrEqual">
      <formula>$K$72</formula>
    </cfRule>
  </conditionalFormatting>
  <conditionalFormatting sqref="K240:L240">
    <cfRule type="cellIs" dxfId="300" priority="11" stopIfTrue="1" operator="greaterThanOrEqual">
      <formula>$K$72</formula>
    </cfRule>
  </conditionalFormatting>
  <conditionalFormatting sqref="C240:D240">
    <cfRule type="cellIs" dxfId="299" priority="10" stopIfTrue="1" operator="lessThan">
      <formula>$C$71</formula>
    </cfRule>
  </conditionalFormatting>
  <conditionalFormatting sqref="AP199:AP202">
    <cfRule type="cellIs" dxfId="298" priority="9" stopIfTrue="1" operator="lessThanOrEqual">
      <formula>0</formula>
    </cfRule>
  </conditionalFormatting>
  <conditionalFormatting sqref="K220:L221 L214:L216 K214:K218">
    <cfRule type="cellIs" dxfId="297" priority="8" stopIfTrue="1" operator="greaterThanOrEqual">
      <formula>$K$72</formula>
    </cfRule>
  </conditionalFormatting>
  <conditionalFormatting sqref="P199:P201">
    <cfRule type="cellIs" dxfId="296" priority="7" stopIfTrue="1" operator="lessThanOrEqual">
      <formula>0</formula>
    </cfRule>
  </conditionalFormatting>
  <conditionalFormatting sqref="S199:S201">
    <cfRule type="cellIs" dxfId="295" priority="6" stopIfTrue="1" operator="lessThanOrEqual">
      <formula>0</formula>
    </cfRule>
  </conditionalFormatting>
  <conditionalFormatting sqref="U199:V201">
    <cfRule type="cellIs" dxfId="294" priority="5" stopIfTrue="1" operator="lessThanOrEqual">
      <formula>0</formula>
    </cfRule>
  </conditionalFormatting>
  <conditionalFormatting sqref="Z199:AA201 W220:X220 W209:X218">
    <cfRule type="cellIs" dxfId="293" priority="4" stopIfTrue="1" operator="lessThan">
      <formula>0</formula>
    </cfRule>
  </conditionalFormatting>
  <conditionalFormatting sqref="X199:X201 U220 U209:U218">
    <cfRule type="cellIs" dxfId="292" priority="3" stopIfTrue="1" operator="greaterThan">
      <formula>48</formula>
    </cfRule>
  </conditionalFormatting>
  <conditionalFormatting sqref="C221:D221">
    <cfRule type="cellIs" dxfId="291" priority="2" stopIfTrue="1" operator="lessThan">
      <formula>$C$71</formula>
    </cfRule>
  </conditionalFormatting>
  <conditionalFormatting sqref="K219:L219 K206:L216">
    <cfRule type="cellIs" dxfId="290" priority="1" stopIfTrue="1" operator="greaterThanOrEqual">
      <formula>$K$69</formula>
    </cfRule>
  </conditionalFormatting>
  <hyperlinks>
    <hyperlink ref="AB76" r:id="rId1"/>
    <hyperlink ref="AB211" r:id="rId2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3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K37 AF16" formula="1"/>
  </ignoredErrors>
  <drawing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17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A47" sqref="AA47:AA48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556" customWidth="1"/>
    <col min="5" max="5" width="4.28515625" style="3" customWidth="1"/>
    <col min="6" max="6" width="4.28515625" style="4" customWidth="1"/>
    <col min="7" max="8" width="4.28515625" style="556" customWidth="1"/>
    <col min="9" max="9" width="4.28515625" style="4" customWidth="1"/>
    <col min="10" max="10" width="4.28515625" style="556" customWidth="1"/>
    <col min="11" max="12" width="4.28515625" style="5" customWidth="1"/>
    <col min="13" max="26" width="4.28515625" style="556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43187</v>
      </c>
      <c r="C1" s="556" t="s">
        <v>0</v>
      </c>
      <c r="AN1" s="7"/>
      <c r="AO1" s="7"/>
      <c r="AR1" s="1340">
        <f>+AR46+AT46</f>
        <v>166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43188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556">
        <v>0</v>
      </c>
    </row>
    <row r="5" spans="1:58" ht="10.9" customHeight="1">
      <c r="B5" s="1244" t="s">
        <v>1</v>
      </c>
      <c r="C5" s="1140">
        <v>43181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43182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43183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43184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43181</v>
      </c>
      <c r="AW7" s="1296">
        <f>+M5</f>
        <v>43182</v>
      </c>
      <c r="AX7" s="1296">
        <f>+W5</f>
        <v>43183</v>
      </c>
      <c r="AY7" s="1309">
        <f>+AG5</f>
        <v>43184</v>
      </c>
      <c r="AZ7" s="1296">
        <f>+C26</f>
        <v>43185</v>
      </c>
      <c r="BA7" s="1296">
        <f>+M26</f>
        <v>43186</v>
      </c>
      <c r="BB7" s="1296">
        <f>+W26</f>
        <v>43187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8</v>
      </c>
      <c r="D11" s="335">
        <v>16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-1</v>
      </c>
      <c r="M11" s="336">
        <v>7</v>
      </c>
      <c r="N11" s="335">
        <v>16</v>
      </c>
      <c r="O11" s="16">
        <v>1</v>
      </c>
      <c r="P11" s="17">
        <f t="shared" ref="P11:P20" si="5">+N11-M11-O11</f>
        <v>8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-1</v>
      </c>
      <c r="AQ11" s="1298"/>
      <c r="AR11" s="1299">
        <f t="shared" ref="AR11:AR20" si="16">ROUND(BD11*AP11,1)</f>
        <v>-4.5</v>
      </c>
      <c r="AS11" s="1300"/>
      <c r="AT11" s="338">
        <f t="shared" ref="AT11:AT24" si="17">IF(AT32&gt;0,AT32*$AT$10,0)</f>
        <v>24</v>
      </c>
      <c r="AV11" s="26">
        <f t="shared" ref="AV11:AV20" si="18">+L11</f>
        <v>-1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-4.5464285714285708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24</v>
      </c>
      <c r="E12" s="30">
        <v>2</v>
      </c>
      <c r="F12" s="31">
        <f t="shared" si="1"/>
        <v>15</v>
      </c>
      <c r="G12" s="342">
        <v>0</v>
      </c>
      <c r="H12" s="342">
        <v>7</v>
      </c>
      <c r="I12" s="31">
        <f t="shared" si="2"/>
        <v>7</v>
      </c>
      <c r="J12" s="30">
        <v>8</v>
      </c>
      <c r="K12" s="32">
        <f t="shared" si="3"/>
        <v>8</v>
      </c>
      <c r="L12" s="20">
        <f t="shared" si="4"/>
        <v>14</v>
      </c>
      <c r="M12" s="550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48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25</v>
      </c>
      <c r="AQ12" s="1283"/>
      <c r="AR12" s="1284">
        <f t="shared" si="16"/>
        <v>128.30000000000001</v>
      </c>
      <c r="AS12" s="1285"/>
      <c r="AT12" s="345">
        <f t="shared" si="17"/>
        <v>24</v>
      </c>
      <c r="AV12" s="26">
        <f t="shared" si="18"/>
        <v>14</v>
      </c>
      <c r="AW12" s="26">
        <f t="shared" si="19"/>
        <v>0</v>
      </c>
      <c r="AX12" s="26">
        <f t="shared" si="20"/>
        <v>0</v>
      </c>
      <c r="AY12" s="27">
        <f t="shared" si="21"/>
        <v>0</v>
      </c>
      <c r="AZ12" s="26">
        <f t="shared" si="22"/>
        <v>6</v>
      </c>
      <c r="BA12" s="26">
        <f t="shared" si="23"/>
        <v>0</v>
      </c>
      <c r="BB12" s="26">
        <f t="shared" si="24"/>
        <v>5</v>
      </c>
      <c r="BC12" s="28"/>
      <c r="BD12" s="339">
        <f t="shared" si="25"/>
        <v>5.1339285714285712</v>
      </c>
      <c r="BE12" s="340">
        <f t="shared" si="26"/>
        <v>128.34821428571428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550">
        <v>7</v>
      </c>
      <c r="N13" s="342">
        <v>12</v>
      </c>
      <c r="O13" s="30">
        <v>0</v>
      </c>
      <c r="P13" s="31">
        <f t="shared" si="5"/>
        <v>5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-3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>IF(W13&gt;0,IF(AE$5&gt;0,(Z13+AC13)*2,(Z13+AC13-8)),0)*IF(Z13&lt;9,IF(AE$5&gt;0,1,2),1)+IF(Z13&gt;8,AC13,0)</f>
        <v>0</v>
      </c>
      <c r="AG13" s="33">
        <v>7</v>
      </c>
      <c r="AH13" s="346">
        <v>17</v>
      </c>
      <c r="AI13" s="42">
        <v>1</v>
      </c>
      <c r="AJ13" s="38">
        <f>+AH13-AG13-AI13</f>
        <v>9</v>
      </c>
      <c r="AK13" s="342"/>
      <c r="AL13" s="346"/>
      <c r="AM13" s="31">
        <f t="shared" si="13"/>
        <v>0</v>
      </c>
      <c r="AN13" s="43">
        <f>8+0-4</f>
        <v>4</v>
      </c>
      <c r="AO13" s="40">
        <f t="shared" si="14"/>
        <v>18</v>
      </c>
      <c r="AP13" s="1282">
        <f t="shared" si="15"/>
        <v>12</v>
      </c>
      <c r="AQ13" s="1283"/>
      <c r="AR13" s="1284">
        <f t="shared" si="16"/>
        <v>61.6</v>
      </c>
      <c r="AS13" s="1285"/>
      <c r="AT13" s="345">
        <f t="shared" si="17"/>
        <v>24</v>
      </c>
      <c r="AV13" s="26">
        <f t="shared" si="18"/>
        <v>0</v>
      </c>
      <c r="AW13" s="26">
        <f t="shared" si="19"/>
        <v>-3</v>
      </c>
      <c r="AX13" s="26">
        <f t="shared" si="20"/>
        <v>0</v>
      </c>
      <c r="AY13" s="27">
        <f t="shared" si="21"/>
        <v>18</v>
      </c>
      <c r="AZ13" s="26">
        <f t="shared" si="22"/>
        <v>1</v>
      </c>
      <c r="BA13" s="26">
        <f t="shared" si="23"/>
        <v>0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61.607142857142854</v>
      </c>
      <c r="BF13" s="341">
        <f t="shared" si="27"/>
        <v>92.410714285714278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24</v>
      </c>
      <c r="E14" s="42">
        <v>2</v>
      </c>
      <c r="F14" s="44">
        <f t="shared" si="1"/>
        <v>15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14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7</v>
      </c>
      <c r="X14" s="346">
        <v>17</v>
      </c>
      <c r="Y14" s="42">
        <v>1</v>
      </c>
      <c r="Z14" s="44">
        <f t="shared" si="9"/>
        <v>9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1</v>
      </c>
      <c r="AG14" s="37">
        <v>7</v>
      </c>
      <c r="AH14" s="342">
        <v>16</v>
      </c>
      <c r="AI14" s="30">
        <v>1</v>
      </c>
      <c r="AJ14" s="38">
        <f t="shared" si="12"/>
        <v>8</v>
      </c>
      <c r="AK14" s="342"/>
      <c r="AL14" s="342"/>
      <c r="AM14" s="31">
        <f t="shared" si="13"/>
        <v>0</v>
      </c>
      <c r="AN14" s="47"/>
      <c r="AO14" s="40">
        <f t="shared" si="14"/>
        <v>16</v>
      </c>
      <c r="AP14" s="1282">
        <f t="shared" si="15"/>
        <v>45</v>
      </c>
      <c r="AQ14" s="1283"/>
      <c r="AR14" s="1284">
        <f t="shared" si="16"/>
        <v>187.5</v>
      </c>
      <c r="AS14" s="1285"/>
      <c r="AT14" s="345">
        <f t="shared" si="17"/>
        <v>28</v>
      </c>
      <c r="AV14" s="26">
        <f t="shared" si="18"/>
        <v>14</v>
      </c>
      <c r="AW14" s="26">
        <f t="shared" si="19"/>
        <v>1</v>
      </c>
      <c r="AX14" s="26">
        <f t="shared" si="20"/>
        <v>1</v>
      </c>
      <c r="AY14" s="27">
        <f t="shared" si="21"/>
        <v>16</v>
      </c>
      <c r="AZ14" s="26">
        <f t="shared" si="22"/>
        <v>7</v>
      </c>
      <c r="BA14" s="26">
        <f t="shared" si="23"/>
        <v>1</v>
      </c>
      <c r="BB14" s="26">
        <f t="shared" si="24"/>
        <v>5</v>
      </c>
      <c r="BC14" s="28"/>
      <c r="BD14" s="339">
        <f t="shared" si="25"/>
        <v>4.1666785714285712</v>
      </c>
      <c r="BE14" s="340">
        <f t="shared" si="26"/>
        <v>187.50053571428572</v>
      </c>
      <c r="BF14" s="341">
        <f t="shared" si="27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17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550">
        <v>8</v>
      </c>
      <c r="N15" s="342">
        <v>16</v>
      </c>
      <c r="O15" s="30">
        <v>1</v>
      </c>
      <c r="P15" s="31">
        <f t="shared" si="5"/>
        <v>7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-1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>
        <v>8</v>
      </c>
      <c r="AH15" s="342">
        <v>17</v>
      </c>
      <c r="AI15" s="30">
        <v>1</v>
      </c>
      <c r="AJ15" s="38">
        <f t="shared" si="12"/>
        <v>8</v>
      </c>
      <c r="AK15" s="342"/>
      <c r="AL15" s="342"/>
      <c r="AM15" s="31">
        <f t="shared" si="13"/>
        <v>0</v>
      </c>
      <c r="AN15" s="39"/>
      <c r="AO15" s="40">
        <f t="shared" si="14"/>
        <v>16</v>
      </c>
      <c r="AP15" s="1294">
        <f t="shared" si="15"/>
        <v>16</v>
      </c>
      <c r="AQ15" s="1295"/>
      <c r="AR15" s="1284">
        <f t="shared" si="16"/>
        <v>82.1</v>
      </c>
      <c r="AS15" s="1285"/>
      <c r="AT15" s="345">
        <f t="shared" si="17"/>
        <v>28</v>
      </c>
      <c r="AV15" s="26">
        <f t="shared" si="18"/>
        <v>0</v>
      </c>
      <c r="AW15" s="26">
        <f t="shared" si="19"/>
        <v>-1</v>
      </c>
      <c r="AX15" s="26">
        <f t="shared" si="20"/>
        <v>0</v>
      </c>
      <c r="AY15" s="27">
        <f t="shared" si="21"/>
        <v>16</v>
      </c>
      <c r="AZ15" s="26">
        <f t="shared" si="22"/>
        <v>1</v>
      </c>
      <c r="BA15" s="26">
        <f t="shared" si="23"/>
        <v>0</v>
      </c>
      <c r="BB15" s="26">
        <f t="shared" si="24"/>
        <v>0</v>
      </c>
      <c r="BC15" s="28"/>
      <c r="BD15" s="339">
        <f t="shared" si="25"/>
        <v>5.1339285714285712</v>
      </c>
      <c r="BE15" s="349">
        <f t="shared" si="26"/>
        <v>82.142857142857139</v>
      </c>
      <c r="BF15" s="350">
        <f t="shared" si="27"/>
        <v>82.142857142857139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8</v>
      </c>
      <c r="D16" s="342">
        <v>16</v>
      </c>
      <c r="E16" s="30">
        <v>1</v>
      </c>
      <c r="F16" s="31">
        <f>+D16-C16-E16</f>
        <v>7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-1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-4</v>
      </c>
      <c r="AQ16" s="1283"/>
      <c r="AR16" s="1284">
        <f>ROUND(BD16*AP16,1)</f>
        <v>-20.5</v>
      </c>
      <c r="AS16" s="1285"/>
      <c r="AT16" s="345">
        <f t="shared" si="17"/>
        <v>24</v>
      </c>
      <c r="AU16" s="6"/>
      <c r="AV16" s="26">
        <f>+L16</f>
        <v>-1</v>
      </c>
      <c r="AW16" s="26">
        <f>+V16</f>
        <v>-1</v>
      </c>
      <c r="AX16" s="26">
        <f>+AF16</f>
        <v>0</v>
      </c>
      <c r="AY16" s="27">
        <f>+AO16</f>
        <v>0</v>
      </c>
      <c r="AZ16" s="26">
        <f t="shared" si="22"/>
        <v>-2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-20.535714285714285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>Antony Tejada Ch.</v>
      </c>
      <c r="C17" s="334">
        <v>8</v>
      </c>
      <c r="D17" s="342">
        <v>17</v>
      </c>
      <c r="E17" s="30">
        <v>1</v>
      </c>
      <c r="F17" s="31">
        <f>+D17-C17-E17</f>
        <v>8</v>
      </c>
      <c r="G17" s="342"/>
      <c r="H17" s="342"/>
      <c r="I17" s="31">
        <f>+H17-G17</f>
        <v>0</v>
      </c>
      <c r="J17" s="30"/>
      <c r="K17" s="32">
        <f>+I17+F17-L17</f>
        <v>8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12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8</v>
      </c>
      <c r="N18" s="342">
        <v>17</v>
      </c>
      <c r="O18" s="30">
        <v>1</v>
      </c>
      <c r="P18" s="31">
        <f>+N18-M18-O18</f>
        <v>8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0</v>
      </c>
      <c r="W18" s="30">
        <v>7</v>
      </c>
      <c r="X18" s="342">
        <v>17</v>
      </c>
      <c r="Y18" s="30">
        <v>1</v>
      </c>
      <c r="Z18" s="31">
        <f>+X18-W18-Y18</f>
        <v>9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1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7</v>
      </c>
      <c r="AQ18" s="1283"/>
      <c r="AR18" s="1284">
        <f t="shared" si="16"/>
        <v>24.8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0</v>
      </c>
      <c r="AX18" s="26">
        <f t="shared" si="20"/>
        <v>1</v>
      </c>
      <c r="AY18" s="27">
        <f t="shared" si="21"/>
        <v>0</v>
      </c>
      <c r="AZ18" s="26">
        <f t="shared" si="22"/>
        <v>2</v>
      </c>
      <c r="BA18" s="26">
        <f t="shared" si="23"/>
        <v>1</v>
      </c>
      <c r="BB18" s="26">
        <f t="shared" si="24"/>
        <v>1</v>
      </c>
      <c r="BC18" s="28"/>
      <c r="BD18" s="339">
        <f>+I78</f>
        <v>3.5416660714285717</v>
      </c>
      <c r="BE18" s="349">
        <f t="shared" si="26"/>
        <v>24.791662500000001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553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0"/>
        <v>Eddie Uchupe C.</v>
      </c>
      <c r="C21" s="520">
        <v>7</v>
      </c>
      <c r="D21" s="516">
        <v>16</v>
      </c>
      <c r="E21" s="516">
        <v>1</v>
      </c>
      <c r="F21" s="517">
        <f>+D21-C21-E21</f>
        <v>8</v>
      </c>
      <c r="G21" s="516"/>
      <c r="H21" s="516"/>
      <c r="I21" s="517">
        <f>+H21-G21</f>
        <v>0</v>
      </c>
      <c r="J21" s="516"/>
      <c r="K21" s="517">
        <f>+I21+F21-L21</f>
        <v>8</v>
      </c>
      <c r="L21" s="518">
        <f t="shared" si="4"/>
        <v>0</v>
      </c>
      <c r="M21" s="551">
        <v>7</v>
      </c>
      <c r="N21" s="516">
        <v>16</v>
      </c>
      <c r="O21" s="516">
        <v>1</v>
      </c>
      <c r="P21" s="517">
        <f>+N21-M21-O21</f>
        <v>8</v>
      </c>
      <c r="Q21" s="516"/>
      <c r="R21" s="516"/>
      <c r="S21" s="517">
        <f>+R21-Q21</f>
        <v>0</v>
      </c>
      <c r="T21" s="516"/>
      <c r="U21" s="517">
        <f>+S21+P21-V21</f>
        <v>8</v>
      </c>
      <c r="V21" s="518">
        <f>IF(M21&gt;0,(P21+S21)+IF(U$5&gt;0,P21,-8),0)+IF(AE$5&gt;0,S21,0)</f>
        <v>0</v>
      </c>
      <c r="W21" s="516">
        <v>7</v>
      </c>
      <c r="X21" s="516">
        <v>16</v>
      </c>
      <c r="Y21" s="516">
        <v>1</v>
      </c>
      <c r="Z21" s="517">
        <f>+X21-W21-Y21</f>
        <v>8</v>
      </c>
      <c r="AA21" s="516"/>
      <c r="AB21" s="534"/>
      <c r="AC21" s="517">
        <f>+AB21-AA21</f>
        <v>0</v>
      </c>
      <c r="AD21" s="516"/>
      <c r="AE21" s="517">
        <f>+AC21+Z21-IF(AE$5&gt;0,AF21/2,AF21)</f>
        <v>8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3</v>
      </c>
      <c r="AQ21" s="1275"/>
      <c r="AR21" s="1276">
        <f>ROUND(BD21*AP21,1)</f>
        <v>13.7</v>
      </c>
      <c r="AS21" s="1277"/>
      <c r="AT21" s="537">
        <f t="shared" si="17"/>
        <v>24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1</v>
      </c>
      <c r="BA21" s="538">
        <f>+V42</f>
        <v>1</v>
      </c>
      <c r="BB21" s="538">
        <f>+AF42</f>
        <v>1</v>
      </c>
      <c r="BC21" s="28"/>
      <c r="BD21" s="539">
        <f>+I81</f>
        <v>4.583328571428571</v>
      </c>
      <c r="BE21" s="539">
        <f>+BD21*AP21</f>
        <v>13.749985714285714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460">
        <f>+I22+F22-L22</f>
        <v>8</v>
      </c>
      <c r="L22" s="461">
        <f t="shared" si="4"/>
        <v>2</v>
      </c>
      <c r="M22" s="552">
        <v>8</v>
      </c>
      <c r="N22" s="459">
        <v>17</v>
      </c>
      <c r="O22" s="459">
        <v>1</v>
      </c>
      <c r="P22" s="460">
        <f>+N22-M22-O22</f>
        <v>8</v>
      </c>
      <c r="Q22" s="459"/>
      <c r="R22" s="459"/>
      <c r="S22" s="460">
        <f>+R22-Q22</f>
        <v>0</v>
      </c>
      <c r="T22" s="459"/>
      <c r="U22" s="460">
        <f>+S22+P22-V22</f>
        <v>8</v>
      </c>
      <c r="V22" s="461">
        <f>IF(M22&gt;0,(P22+S22)+IF(U$5&gt;0,P22,-8),0)+IF(AE$5&gt;0,S22,0)</f>
        <v>0</v>
      </c>
      <c r="W22" s="459">
        <v>7</v>
      </c>
      <c r="X22" s="459">
        <v>17</v>
      </c>
      <c r="Y22" s="459">
        <v>1</v>
      </c>
      <c r="Z22" s="460">
        <f>+X22-W22-Y22</f>
        <v>9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1</v>
      </c>
      <c r="AG22" s="459"/>
      <c r="AH22" s="459"/>
      <c r="AI22" s="459"/>
      <c r="AJ22" s="464">
        <f t="shared" si="12"/>
        <v>0</v>
      </c>
      <c r="AK22" s="459"/>
      <c r="AL22" s="459"/>
      <c r="AM22" s="460">
        <f>+AL22-AK22</f>
        <v>0</v>
      </c>
      <c r="AN22" s="459"/>
      <c r="AO22" s="465">
        <f>(AJ22*2+AM22)</f>
        <v>0</v>
      </c>
      <c r="AP22" s="1290">
        <f t="shared" si="15"/>
        <v>7</v>
      </c>
      <c r="AQ22" s="1291"/>
      <c r="AR22" s="1292">
        <f>ROUND(BD22*AP22,1)</f>
        <v>24.8</v>
      </c>
      <c r="AS22" s="1293"/>
      <c r="AT22" s="488">
        <f t="shared" si="17"/>
        <v>24</v>
      </c>
      <c r="AV22" s="69">
        <f>+L22</f>
        <v>2</v>
      </c>
      <c r="AW22" s="69">
        <f>+V22</f>
        <v>0</v>
      </c>
      <c r="AX22" s="69">
        <f>+AF22</f>
        <v>1</v>
      </c>
      <c r="AY22" s="70">
        <f>+AO22</f>
        <v>0</v>
      </c>
      <c r="AZ22" s="69">
        <f>+L43</f>
        <v>2</v>
      </c>
      <c r="BA22" s="69">
        <f>+V43</f>
        <v>1</v>
      </c>
      <c r="BB22" s="69">
        <f>+AF43</f>
        <v>1</v>
      </c>
      <c r="BC22" s="28"/>
      <c r="BD22" s="339">
        <f>+I82</f>
        <v>3.5416625000000002</v>
      </c>
      <c r="BE22" s="351">
        <f>+BD22*AP22</f>
        <v>24.7916375</v>
      </c>
      <c r="BF22" s="352">
        <f>+BD22*AY22</f>
        <v>0</v>
      </c>
    </row>
    <row r="23" spans="1:58" s="55" customFormat="1" ht="14.1" customHeight="1">
      <c r="A23" s="50"/>
      <c r="B23" s="513" t="str">
        <f t="shared" si="0"/>
        <v>Jose Flores Z.</v>
      </c>
      <c r="C23" s="560"/>
      <c r="D23" s="561"/>
      <c r="E23" s="561"/>
      <c r="F23" s="562">
        <f>+D23-C23-E23</f>
        <v>0</v>
      </c>
      <c r="G23" s="561"/>
      <c r="H23" s="561"/>
      <c r="I23" s="562">
        <f>+H23-G23</f>
        <v>0</v>
      </c>
      <c r="J23" s="561"/>
      <c r="K23" s="562">
        <f>+I23+F23-L23</f>
        <v>0</v>
      </c>
      <c r="L23" s="563">
        <f t="shared" si="4"/>
        <v>0</v>
      </c>
      <c r="M23" s="564"/>
      <c r="N23" s="561"/>
      <c r="O23" s="561"/>
      <c r="P23" s="562">
        <f>+N23-M23-O23</f>
        <v>0</v>
      </c>
      <c r="Q23" s="561"/>
      <c r="R23" s="561"/>
      <c r="S23" s="562">
        <f>+R23-Q23</f>
        <v>0</v>
      </c>
      <c r="T23" s="561"/>
      <c r="U23" s="562">
        <f>+S23+P23-V23</f>
        <v>0</v>
      </c>
      <c r="V23" s="563">
        <f>IF(M23&gt;0,(P23+S23)+IF(U$5&gt;0,P23,-8),0)+IF(AE$5&gt;0,S23,0)</f>
        <v>0</v>
      </c>
      <c r="W23" s="561"/>
      <c r="X23" s="561"/>
      <c r="Y23" s="561"/>
      <c r="Z23" s="562">
        <f>+X23-W23-Y23</f>
        <v>0</v>
      </c>
      <c r="AA23" s="561"/>
      <c r="AB23" s="565"/>
      <c r="AC23" s="562">
        <f>+AB23-AA23</f>
        <v>0</v>
      </c>
      <c r="AD23" s="561"/>
      <c r="AE23" s="562">
        <f>+AC23+Z23-IF(AE$5&gt;0,AF23/2,AF23)</f>
        <v>0</v>
      </c>
      <c r="AF23" s="563">
        <f t="shared" si="28"/>
        <v>0</v>
      </c>
      <c r="AG23" s="561"/>
      <c r="AH23" s="561"/>
      <c r="AI23" s="561"/>
      <c r="AJ23" s="566">
        <f t="shared" si="12"/>
        <v>0</v>
      </c>
      <c r="AK23" s="561"/>
      <c r="AL23" s="561"/>
      <c r="AM23" s="562">
        <f>+AL23-AK23</f>
        <v>0</v>
      </c>
      <c r="AN23" s="567"/>
      <c r="AO23" s="568">
        <f>(AJ23*2+AM23)</f>
        <v>0</v>
      </c>
      <c r="AP23" s="1282">
        <f t="shared" si="15"/>
        <v>-4</v>
      </c>
      <c r="AQ23" s="1283"/>
      <c r="AR23" s="1272">
        <f>ROUND(BD23*AP23,1)</f>
        <v>-16.7</v>
      </c>
      <c r="AS23" s="1273"/>
      <c r="AT23" s="359">
        <f t="shared" si="17"/>
        <v>4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-4</v>
      </c>
      <c r="BA23" s="69">
        <f>+V44</f>
        <v>0</v>
      </c>
      <c r="BB23" s="69">
        <f>+AF44</f>
        <v>0</v>
      </c>
      <c r="BC23" s="54"/>
      <c r="BD23" s="339">
        <f>+I83</f>
        <v>4.1666625000000002</v>
      </c>
      <c r="BE23" s="351">
        <f>+BD23*AP23</f>
        <v>-16.666650000000001</v>
      </c>
      <c r="BF23" s="352">
        <f>+BD23*AY23</f>
        <v>0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481.18324285714277</v>
      </c>
      <c r="BF25" s="1242">
        <f>SUM(BF11:BF24)</f>
        <v>241.22042857142856</v>
      </c>
    </row>
    <row r="26" spans="1:58" ht="10.9" customHeight="1">
      <c r="B26" s="1244" t="s">
        <v>1</v>
      </c>
      <c r="C26" s="1140">
        <f>1+AG5</f>
        <v>43185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43186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43187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43181</v>
      </c>
      <c r="AJ26" s="1218">
        <f t="shared" ref="AJ26:AO26" si="29">1+AI26</f>
        <v>43182</v>
      </c>
      <c r="AK26" s="1218">
        <f t="shared" si="29"/>
        <v>43183</v>
      </c>
      <c r="AL26" s="1219">
        <f t="shared" si="29"/>
        <v>43184</v>
      </c>
      <c r="AM26" s="1219">
        <f t="shared" si="29"/>
        <v>43185</v>
      </c>
      <c r="AN26" s="1220">
        <f t="shared" si="29"/>
        <v>43186</v>
      </c>
      <c r="AO26" s="1220">
        <f t="shared" si="29"/>
        <v>43187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43184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110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60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 t="shared" ref="V32:V45" si="37">IF(M32&gt;0,(P32+S32)+IF(U$27&gt;0,P32,-8),0)+IF(AE$27&gt;0,S32,0)</f>
        <v>0</v>
      </c>
      <c r="W32" s="369">
        <v>7</v>
      </c>
      <c r="X32" s="370">
        <v>16</v>
      </c>
      <c r="Y32" s="108">
        <v>1</v>
      </c>
      <c r="Z32" s="109">
        <f t="shared" ref="Z32:Z45" si="38">+X32-W32-Y32</f>
        <v>8</v>
      </c>
      <c r="AA32" s="578"/>
      <c r="AB32" s="579"/>
      <c r="AC32" s="109">
        <f t="shared" ref="AC32:AC45" si="39">+AB32-AA32</f>
        <v>0</v>
      </c>
      <c r="AD32" s="108"/>
      <c r="AE32" s="110">
        <f t="shared" ref="AE32:AE45" si="40">+AC32+Z32-AF32</f>
        <v>8</v>
      </c>
      <c r="AF32" s="111">
        <f t="shared" ref="AF32:AF45" si="41">IF(W32&gt;0,(Z32+AC32)+IF(AE$26&gt;0,0+Z32,-8),0)</f>
        <v>0</v>
      </c>
      <c r="AG32" s="55"/>
      <c r="AH32" s="112">
        <v>0</v>
      </c>
      <c r="AI32" s="113">
        <f t="shared" ref="AI32:AI45" si="42">+K11+(IF(ISBLANK($K$5),-8,0))</f>
        <v>0</v>
      </c>
      <c r="AJ32" s="113">
        <f t="shared" ref="AJ32:AJ45" si="43">IF(ISBLANK($U$5),-8,0)+U11</f>
        <v>0</v>
      </c>
      <c r="AK32" s="113">
        <f>IF(ISBLANK($AE$5),-8,0)+AE11</f>
        <v>0</v>
      </c>
      <c r="AL32" s="113">
        <f t="shared" ref="AL32:AL45" si="44">IF(ISBLANK($AO$5),-8,0)+AO11+AW32</f>
        <v>0</v>
      </c>
      <c r="AM32" s="113">
        <f t="shared" ref="AM32:AM45" si="45">IF(ISBLANK($K$26),-8,0)+K32</f>
        <v>0</v>
      </c>
      <c r="AN32" s="113">
        <f t="shared" ref="AN32:AN45" si="46">IF(ISBLANK($U$26),-8,0)+U32</f>
        <v>0</v>
      </c>
      <c r="AO32" s="113">
        <f t="shared" ref="AO32:AO45" si="47">IF(ISBLANK($AE$26),-8,0)+AE32</f>
        <v>0</v>
      </c>
      <c r="AP32" s="114">
        <f t="shared" ref="AP32:AP45" si="48">SUM(AH32:AO32)</f>
        <v>0</v>
      </c>
      <c r="AQ32" s="55"/>
      <c r="AR32" s="1159">
        <f t="shared" ref="AR32:AR38" si="49">+X71*Q71</f>
        <v>0</v>
      </c>
      <c r="AS32" s="1197"/>
      <c r="AT32" s="117">
        <f t="shared" ref="AT32:AT41" si="50">IF(K11+L11&gt;0,1,0)+IF(U11+V11&gt;0,1,0)+IF(AE11+AF11&gt;0,1,0)+IF(AO11&gt;3,1,0)+IF(K32+L32&gt;0,1,0)+IF(U32+V32&gt;0,1,0)+IF(AE32+AF32&gt;0,1,0)</f>
        <v>6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23</v>
      </c>
      <c r="E33" s="30">
        <v>2</v>
      </c>
      <c r="F33" s="31">
        <f t="shared" si="31"/>
        <v>14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6</v>
      </c>
      <c r="M33" s="342">
        <v>7</v>
      </c>
      <c r="N33" s="342">
        <v>16</v>
      </c>
      <c r="O33" s="30">
        <v>1</v>
      </c>
      <c r="P33" s="31">
        <f t="shared" si="34"/>
        <v>8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 t="shared" si="37"/>
        <v>0</v>
      </c>
      <c r="W33" s="334">
        <v>7</v>
      </c>
      <c r="X33" s="342">
        <v>16</v>
      </c>
      <c r="Y33" s="30">
        <v>1</v>
      </c>
      <c r="Z33" s="31">
        <f t="shared" si="38"/>
        <v>8</v>
      </c>
      <c r="AA33" s="580">
        <v>16</v>
      </c>
      <c r="AB33" s="580">
        <v>21</v>
      </c>
      <c r="AC33" s="31">
        <f t="shared" si="39"/>
        <v>5</v>
      </c>
      <c r="AD33" s="30"/>
      <c r="AE33" s="32">
        <f t="shared" si="40"/>
        <v>8</v>
      </c>
      <c r="AF33" s="585">
        <f t="shared" si="41"/>
        <v>5</v>
      </c>
      <c r="AG33" s="55"/>
      <c r="AH33" s="112">
        <v>0</v>
      </c>
      <c r="AI33" s="113">
        <f t="shared" si="42"/>
        <v>0</v>
      </c>
      <c r="AJ33" s="113">
        <f t="shared" si="43"/>
        <v>0</v>
      </c>
      <c r="AK33" s="113">
        <f>IF(ISBLANK($AE$5),-8,0)+AE12</f>
        <v>0</v>
      </c>
      <c r="AL33" s="113">
        <f t="shared" si="44"/>
        <v>0</v>
      </c>
      <c r="AM33" s="113">
        <f t="shared" si="45"/>
        <v>0</v>
      </c>
      <c r="AN33" s="113">
        <f t="shared" si="46"/>
        <v>0</v>
      </c>
      <c r="AO33" s="113">
        <f t="shared" si="47"/>
        <v>0</v>
      </c>
      <c r="AP33" s="114">
        <f t="shared" si="48"/>
        <v>0</v>
      </c>
      <c r="AQ33" s="55"/>
      <c r="AR33" s="1159">
        <f t="shared" si="49"/>
        <v>-2.8214285714285694</v>
      </c>
      <c r="AS33" s="1160"/>
      <c r="AT33" s="117">
        <f t="shared" si="50"/>
        <v>6</v>
      </c>
      <c r="AU33" s="55"/>
      <c r="AV33" s="55"/>
      <c r="AW33" s="1134"/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17</v>
      </c>
      <c r="E34" s="30">
        <v>1</v>
      </c>
      <c r="F34" s="31">
        <f t="shared" si="31"/>
        <v>9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1">IF(C34&gt;0,(F34+I34)+IF(K$26&gt;0,F34,-8),0)+IF(U$26&gt;0,I34,0)</f>
        <v>1</v>
      </c>
      <c r="M34" s="334">
        <v>7</v>
      </c>
      <c r="N34" s="342">
        <v>16</v>
      </c>
      <c r="O34" s="30">
        <v>1</v>
      </c>
      <c r="P34" s="31">
        <f t="shared" si="34"/>
        <v>8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si="37"/>
        <v>0</v>
      </c>
      <c r="W34" s="334">
        <v>7</v>
      </c>
      <c r="X34" s="342">
        <v>16</v>
      </c>
      <c r="Y34" s="30">
        <v>1</v>
      </c>
      <c r="Z34" s="31">
        <f t="shared" si="38"/>
        <v>8</v>
      </c>
      <c r="AA34" s="580"/>
      <c r="AB34" s="581"/>
      <c r="AC34" s="31">
        <f t="shared" si="39"/>
        <v>0</v>
      </c>
      <c r="AD34" s="30"/>
      <c r="AE34" s="32">
        <f t="shared" si="40"/>
        <v>8</v>
      </c>
      <c r="AF34" s="20">
        <f t="shared" si="41"/>
        <v>0</v>
      </c>
      <c r="AG34" s="55"/>
      <c r="AH34" s="112">
        <v>0</v>
      </c>
      <c r="AI34" s="113">
        <f t="shared" si="42"/>
        <v>0</v>
      </c>
      <c r="AJ34" s="113">
        <f t="shared" si="43"/>
        <v>0</v>
      </c>
      <c r="AK34" s="113">
        <f>IF(ISBLANK($AE$5),-8,0)+AE13</f>
        <v>-8</v>
      </c>
      <c r="AL34" s="113">
        <f t="shared" si="44"/>
        <v>0</v>
      </c>
      <c r="AM34" s="113">
        <f t="shared" si="45"/>
        <v>0</v>
      </c>
      <c r="AN34" s="113">
        <f t="shared" si="46"/>
        <v>0</v>
      </c>
      <c r="AO34" s="113">
        <f t="shared" si="47"/>
        <v>0</v>
      </c>
      <c r="AP34" s="114">
        <f t="shared" si="48"/>
        <v>-8</v>
      </c>
      <c r="AQ34" s="55"/>
      <c r="AR34" s="1159">
        <f t="shared" si="49"/>
        <v>0</v>
      </c>
      <c r="AS34" s="1160"/>
      <c r="AT34" s="118">
        <f t="shared" si="50"/>
        <v>6</v>
      </c>
      <c r="AU34" s="55"/>
      <c r="AV34" s="55"/>
      <c r="AW34" s="1134">
        <v>-18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23</v>
      </c>
      <c r="E35" s="119">
        <v>1</v>
      </c>
      <c r="F35" s="120">
        <f t="shared" si="31"/>
        <v>15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1"/>
        <v>7</v>
      </c>
      <c r="M35" s="342">
        <v>7</v>
      </c>
      <c r="N35" s="342">
        <v>17</v>
      </c>
      <c r="O35" s="30">
        <v>1</v>
      </c>
      <c r="P35" s="31">
        <f t="shared" si="34"/>
        <v>9</v>
      </c>
      <c r="Q35" s="346"/>
      <c r="R35" s="346"/>
      <c r="S35" s="120">
        <f t="shared" si="35"/>
        <v>0</v>
      </c>
      <c r="T35" s="30"/>
      <c r="U35" s="32">
        <f t="shared" si="36"/>
        <v>8</v>
      </c>
      <c r="V35" s="20">
        <f t="shared" si="37"/>
        <v>1</v>
      </c>
      <c r="W35" s="334">
        <v>7</v>
      </c>
      <c r="X35" s="342">
        <v>16</v>
      </c>
      <c r="Y35" s="30">
        <v>1</v>
      </c>
      <c r="Z35" s="31">
        <f t="shared" si="38"/>
        <v>8</v>
      </c>
      <c r="AA35" s="580">
        <v>16</v>
      </c>
      <c r="AB35" s="580">
        <v>21</v>
      </c>
      <c r="AC35" s="31">
        <f t="shared" si="39"/>
        <v>5</v>
      </c>
      <c r="AD35" s="30"/>
      <c r="AE35" s="32">
        <f t="shared" si="40"/>
        <v>8</v>
      </c>
      <c r="AF35" s="585">
        <f t="shared" si="41"/>
        <v>5</v>
      </c>
      <c r="AG35" s="55"/>
      <c r="AH35" s="112">
        <v>0</v>
      </c>
      <c r="AI35" s="113">
        <f t="shared" si="42"/>
        <v>0</v>
      </c>
      <c r="AJ35" s="113">
        <f t="shared" si="43"/>
        <v>0</v>
      </c>
      <c r="AK35" s="113">
        <f>IF(ISBLANK($AE$5),-8,0)+AE14</f>
        <v>0</v>
      </c>
      <c r="AL35" s="113">
        <f t="shared" si="44"/>
        <v>0</v>
      </c>
      <c r="AM35" s="113">
        <f t="shared" si="45"/>
        <v>0</v>
      </c>
      <c r="AN35" s="113">
        <f t="shared" si="46"/>
        <v>0</v>
      </c>
      <c r="AO35" s="113">
        <f t="shared" si="47"/>
        <v>0</v>
      </c>
      <c r="AP35" s="114">
        <f t="shared" si="48"/>
        <v>0</v>
      </c>
      <c r="AQ35" s="55"/>
      <c r="AR35" s="1159">
        <f t="shared" si="49"/>
        <v>4.9165714285714301</v>
      </c>
      <c r="AS35" s="1160"/>
      <c r="AT35" s="118">
        <f t="shared" si="50"/>
        <v>7</v>
      </c>
      <c r="AU35" s="55"/>
      <c r="AV35" s="55"/>
      <c r="AW35" s="1195">
        <v>-16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18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1"/>
        <v>1</v>
      </c>
      <c r="M36" s="342">
        <v>7</v>
      </c>
      <c r="N36" s="342">
        <v>16</v>
      </c>
      <c r="O36" s="30">
        <v>1</v>
      </c>
      <c r="P36" s="31">
        <f t="shared" si="34"/>
        <v>8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37"/>
        <v>0</v>
      </c>
      <c r="W36" s="334">
        <v>7</v>
      </c>
      <c r="X36" s="342">
        <v>16</v>
      </c>
      <c r="Y36" s="30">
        <v>1</v>
      </c>
      <c r="Z36" s="31">
        <f t="shared" si="38"/>
        <v>8</v>
      </c>
      <c r="AA36" s="580"/>
      <c r="AB36" s="580"/>
      <c r="AC36" s="31">
        <f t="shared" si="39"/>
        <v>0</v>
      </c>
      <c r="AD36" s="30"/>
      <c r="AE36" s="32">
        <f t="shared" si="40"/>
        <v>8</v>
      </c>
      <c r="AF36" s="20">
        <f t="shared" si="41"/>
        <v>0</v>
      </c>
      <c r="AG36" s="55"/>
      <c r="AH36" s="112">
        <v>0</v>
      </c>
      <c r="AI36" s="113">
        <f t="shared" si="42"/>
        <v>0</v>
      </c>
      <c r="AJ36" s="113">
        <f t="shared" si="43"/>
        <v>0</v>
      </c>
      <c r="AK36" s="113">
        <f>IF(ISBLANK($AE$5),-8,0)+AE15</f>
        <v>0</v>
      </c>
      <c r="AL36" s="113">
        <f t="shared" si="44"/>
        <v>0</v>
      </c>
      <c r="AM36" s="113">
        <f t="shared" si="45"/>
        <v>0</v>
      </c>
      <c r="AN36" s="113">
        <f t="shared" si="46"/>
        <v>0</v>
      </c>
      <c r="AO36" s="113">
        <f t="shared" si="47"/>
        <v>0</v>
      </c>
      <c r="AP36" s="114">
        <f t="shared" si="48"/>
        <v>0</v>
      </c>
      <c r="AQ36" s="55"/>
      <c r="AR36" s="1159">
        <f t="shared" si="49"/>
        <v>0</v>
      </c>
      <c r="AS36" s="1160"/>
      <c r="AT36" s="118">
        <f t="shared" si="50"/>
        <v>7</v>
      </c>
      <c r="AU36" s="55"/>
      <c r="AV36" s="55"/>
      <c r="AW36" s="1195">
        <v>-16</v>
      </c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11</v>
      </c>
      <c r="D37" s="342">
        <v>18</v>
      </c>
      <c r="E37" s="30">
        <v>1</v>
      </c>
      <c r="F37" s="31">
        <f>+D37-C37-E37</f>
        <v>6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1"/>
        <v>-2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>IF(M37&gt;0,(P37+S37)+IF(U$27&gt;0,P37,-8),0)+IF(AE$27&gt;0,S37,0)</f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580"/>
      <c r="AB37" s="580"/>
      <c r="AC37" s="31">
        <f>+AB37-AA37</f>
        <v>0</v>
      </c>
      <c r="AD37" s="30"/>
      <c r="AE37" s="32">
        <f>+AC37+Z37-AF37</f>
        <v>8</v>
      </c>
      <c r="AF37" s="20">
        <f t="shared" si="41"/>
        <v>0</v>
      </c>
      <c r="AG37" s="55"/>
      <c r="AH37" s="112">
        <v>0</v>
      </c>
      <c r="AI37" s="113">
        <f t="shared" si="42"/>
        <v>0</v>
      </c>
      <c r="AJ37" s="113">
        <f t="shared" si="43"/>
        <v>0</v>
      </c>
      <c r="AK37" s="124">
        <f>IF(ISBLANK($AE$5),-5,0)+AE16</f>
        <v>0</v>
      </c>
      <c r="AL37" s="113">
        <f t="shared" si="44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9"/>
        <v>0</v>
      </c>
      <c r="AS37" s="1160"/>
      <c r="AT37" s="118">
        <f t="shared" si="50"/>
        <v>6</v>
      </c>
      <c r="AU37" s="55"/>
      <c r="AV37" s="55"/>
      <c r="AW37" s="1134"/>
      <c r="AX37" s="1135"/>
    </row>
    <row r="38" spans="1:56" ht="14.1" customHeight="1">
      <c r="B38" s="48" t="str">
        <f t="shared" si="30"/>
        <v>Antony Tejada Ch.</v>
      </c>
      <c r="C38" s="334">
        <v>8</v>
      </c>
      <c r="D38" s="342">
        <v>17</v>
      </c>
      <c r="E38" s="30">
        <v>1</v>
      </c>
      <c r="F38" s="31">
        <f t="shared" si="31"/>
        <v>8</v>
      </c>
      <c r="G38" s="33"/>
      <c r="H38" s="346"/>
      <c r="I38" s="31">
        <f t="shared" si="32"/>
        <v>0</v>
      </c>
      <c r="J38" s="30"/>
      <c r="K38" s="32">
        <f t="shared" si="33"/>
        <v>8</v>
      </c>
      <c r="L38" s="20">
        <f t="shared" si="51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37"/>
        <v>0</v>
      </c>
      <c r="W38" s="334">
        <v>7</v>
      </c>
      <c r="X38" s="342">
        <v>16</v>
      </c>
      <c r="Y38" s="30">
        <v>1</v>
      </c>
      <c r="Z38" s="31">
        <f t="shared" si="38"/>
        <v>8</v>
      </c>
      <c r="AA38" s="580"/>
      <c r="AB38" s="580"/>
      <c r="AC38" s="31">
        <f>+AB38-AA38</f>
        <v>0</v>
      </c>
      <c r="AD38" s="30"/>
      <c r="AE38" s="32">
        <f t="shared" si="40"/>
        <v>8</v>
      </c>
      <c r="AF38" s="20">
        <f t="shared" si="41"/>
        <v>0</v>
      </c>
      <c r="AG38" s="55"/>
      <c r="AH38" s="112">
        <v>0</v>
      </c>
      <c r="AI38" s="113">
        <f t="shared" si="42"/>
        <v>0</v>
      </c>
      <c r="AJ38" s="113">
        <f t="shared" si="43"/>
        <v>-8</v>
      </c>
      <c r="AK38" s="113">
        <f t="shared" ref="AK38:AK45" si="52">IF(ISBLANK($AE$5),-8,0)+AE17</f>
        <v>-8</v>
      </c>
      <c r="AL38" s="113">
        <f t="shared" si="44"/>
        <v>0</v>
      </c>
      <c r="AM38" s="113">
        <f t="shared" si="45"/>
        <v>0</v>
      </c>
      <c r="AN38" s="113">
        <f t="shared" si="46"/>
        <v>-8</v>
      </c>
      <c r="AO38" s="113">
        <f t="shared" si="47"/>
        <v>0</v>
      </c>
      <c r="AP38" s="114">
        <f t="shared" si="48"/>
        <v>-24</v>
      </c>
      <c r="AQ38" s="55"/>
      <c r="AR38" s="1159">
        <f t="shared" si="49"/>
        <v>0</v>
      </c>
      <c r="AS38" s="1160"/>
      <c r="AT38" s="118">
        <f t="shared" si="50"/>
        <v>3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1"/>
        <v>2</v>
      </c>
      <c r="M39" s="342">
        <v>7</v>
      </c>
      <c r="N39" s="342">
        <v>17</v>
      </c>
      <c r="O39" s="30">
        <v>1</v>
      </c>
      <c r="P39" s="31">
        <f t="shared" si="34"/>
        <v>9</v>
      </c>
      <c r="Q39" s="106"/>
      <c r="R39" s="106"/>
      <c r="S39" s="31">
        <f t="shared" si="35"/>
        <v>0</v>
      </c>
      <c r="T39" s="30"/>
      <c r="U39" s="32">
        <f t="shared" si="36"/>
        <v>8</v>
      </c>
      <c r="V39" s="20">
        <f t="shared" si="37"/>
        <v>1</v>
      </c>
      <c r="W39" s="334">
        <v>7</v>
      </c>
      <c r="X39" s="342">
        <v>16</v>
      </c>
      <c r="Y39" s="30">
        <v>1</v>
      </c>
      <c r="Z39" s="31">
        <f t="shared" si="38"/>
        <v>8</v>
      </c>
      <c r="AA39" s="580">
        <v>16</v>
      </c>
      <c r="AB39" s="580">
        <v>17</v>
      </c>
      <c r="AC39" s="31">
        <f t="shared" si="39"/>
        <v>1</v>
      </c>
      <c r="AD39" s="30"/>
      <c r="AE39" s="32">
        <f t="shared" si="40"/>
        <v>8</v>
      </c>
      <c r="AF39" s="585">
        <f t="shared" si="41"/>
        <v>1</v>
      </c>
      <c r="AG39" s="55"/>
      <c r="AH39" s="112">
        <v>0</v>
      </c>
      <c r="AI39" s="113">
        <f t="shared" si="42"/>
        <v>0</v>
      </c>
      <c r="AJ39" s="113">
        <f t="shared" si="43"/>
        <v>0</v>
      </c>
      <c r="AK39" s="113">
        <f t="shared" si="52"/>
        <v>0</v>
      </c>
      <c r="AL39" s="113">
        <f t="shared" si="44"/>
        <v>0</v>
      </c>
      <c r="AM39" s="125">
        <f t="shared" si="45"/>
        <v>0</v>
      </c>
      <c r="AN39" s="125">
        <f t="shared" si="46"/>
        <v>0</v>
      </c>
      <c r="AO39" s="125">
        <f t="shared" si="47"/>
        <v>0</v>
      </c>
      <c r="AP39" s="114">
        <f t="shared" si="48"/>
        <v>0</v>
      </c>
      <c r="AQ39" s="55"/>
      <c r="AR39" s="1159">
        <f>+X76*Q76</f>
        <v>0</v>
      </c>
      <c r="AS39" s="1160"/>
      <c r="AT39" s="118">
        <f t="shared" si="50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1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37"/>
        <v>0</v>
      </c>
      <c r="W40" s="334"/>
      <c r="X40" s="342"/>
      <c r="Y40" s="30"/>
      <c r="Z40" s="31">
        <f t="shared" si="38"/>
        <v>0</v>
      </c>
      <c r="AA40" s="580"/>
      <c r="AB40" s="580"/>
      <c r="AC40" s="44">
        <f t="shared" si="39"/>
        <v>0</v>
      </c>
      <c r="AD40" s="30"/>
      <c r="AE40" s="32">
        <f t="shared" si="40"/>
        <v>0</v>
      </c>
      <c r="AF40" s="20">
        <f t="shared" si="41"/>
        <v>0</v>
      </c>
      <c r="AG40" s="126"/>
      <c r="AH40" s="127">
        <v>0</v>
      </c>
      <c r="AI40" s="113">
        <f t="shared" si="42"/>
        <v>-8</v>
      </c>
      <c r="AJ40" s="113">
        <f t="shared" si="43"/>
        <v>-8</v>
      </c>
      <c r="AK40" s="128">
        <f t="shared" si="52"/>
        <v>-8</v>
      </c>
      <c r="AL40" s="113">
        <f t="shared" si="44"/>
        <v>0</v>
      </c>
      <c r="AM40" s="113">
        <f t="shared" si="45"/>
        <v>-8</v>
      </c>
      <c r="AN40" s="113">
        <f t="shared" si="46"/>
        <v>-8</v>
      </c>
      <c r="AO40" s="113">
        <f t="shared" si="47"/>
        <v>-8</v>
      </c>
      <c r="AP40" s="114">
        <f t="shared" si="48"/>
        <v>-48</v>
      </c>
      <c r="AQ40" s="55"/>
      <c r="AR40" s="1159">
        <f>+X78*Q78</f>
        <v>0</v>
      </c>
      <c r="AS40" s="1160"/>
      <c r="AT40" s="118">
        <f t="shared" si="50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1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37"/>
        <v>0</v>
      </c>
      <c r="W41" s="526"/>
      <c r="X41" s="522"/>
      <c r="Y41" s="522"/>
      <c r="Z41" s="523">
        <f t="shared" si="38"/>
        <v>0</v>
      </c>
      <c r="AA41" s="582"/>
      <c r="AB41" s="582"/>
      <c r="AC41" s="523">
        <f t="shared" si="39"/>
        <v>0</v>
      </c>
      <c r="AD41" s="522"/>
      <c r="AE41" s="523">
        <f t="shared" si="40"/>
        <v>0</v>
      </c>
      <c r="AF41" s="524">
        <f t="shared" si="41"/>
        <v>0</v>
      </c>
      <c r="AG41" s="514"/>
      <c r="AH41" s="529">
        <v>0</v>
      </c>
      <c r="AI41" s="530">
        <f t="shared" si="42"/>
        <v>-8</v>
      </c>
      <c r="AJ41" s="530">
        <f t="shared" si="43"/>
        <v>-8</v>
      </c>
      <c r="AK41" s="530">
        <f t="shared" si="52"/>
        <v>-8</v>
      </c>
      <c r="AL41" s="530">
        <f t="shared" si="44"/>
        <v>0</v>
      </c>
      <c r="AM41" s="530">
        <f t="shared" si="45"/>
        <v>-8</v>
      </c>
      <c r="AN41" s="530">
        <f t="shared" si="46"/>
        <v>-8</v>
      </c>
      <c r="AO41" s="530">
        <f t="shared" si="47"/>
        <v>-8</v>
      </c>
      <c r="AP41" s="531">
        <f t="shared" si="48"/>
        <v>-48</v>
      </c>
      <c r="AQ41" s="55"/>
      <c r="AR41" s="1191"/>
      <c r="AS41" s="1192"/>
      <c r="AT41" s="532">
        <f t="shared" si="50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 t="shared" si="30"/>
        <v>Eddie Uchupe C.</v>
      </c>
      <c r="C42" s="516">
        <v>7</v>
      </c>
      <c r="D42" s="516">
        <v>17</v>
      </c>
      <c r="E42" s="516">
        <v>1</v>
      </c>
      <c r="F42" s="517">
        <f t="shared" si="31"/>
        <v>9</v>
      </c>
      <c r="G42" s="516"/>
      <c r="H42" s="516"/>
      <c r="I42" s="517">
        <f t="shared" si="32"/>
        <v>0</v>
      </c>
      <c r="J42" s="516"/>
      <c r="K42" s="517">
        <f t="shared" si="33"/>
        <v>8</v>
      </c>
      <c r="L42" s="518">
        <f t="shared" si="51"/>
        <v>1</v>
      </c>
      <c r="M42" s="516">
        <v>7</v>
      </c>
      <c r="N42" s="516">
        <v>17</v>
      </c>
      <c r="O42" s="516">
        <v>1</v>
      </c>
      <c r="P42" s="517">
        <f t="shared" si="34"/>
        <v>9</v>
      </c>
      <c r="Q42" s="519"/>
      <c r="R42" s="519"/>
      <c r="S42" s="517">
        <f t="shared" si="35"/>
        <v>0</v>
      </c>
      <c r="T42" s="516"/>
      <c r="U42" s="517">
        <f t="shared" si="36"/>
        <v>8</v>
      </c>
      <c r="V42" s="518">
        <f t="shared" si="37"/>
        <v>1</v>
      </c>
      <c r="W42" s="520">
        <v>7</v>
      </c>
      <c r="X42" s="516">
        <v>16</v>
      </c>
      <c r="Y42" s="516">
        <v>1</v>
      </c>
      <c r="Z42" s="517">
        <f t="shared" si="38"/>
        <v>8</v>
      </c>
      <c r="AA42" s="579">
        <v>16</v>
      </c>
      <c r="AB42" s="579">
        <v>17</v>
      </c>
      <c r="AC42" s="517">
        <f t="shared" si="39"/>
        <v>1</v>
      </c>
      <c r="AD42" s="516"/>
      <c r="AE42" s="32">
        <f t="shared" si="40"/>
        <v>8</v>
      </c>
      <c r="AF42" s="586">
        <f t="shared" si="41"/>
        <v>1</v>
      </c>
      <c r="AG42" s="55"/>
      <c r="AH42" s="490">
        <v>0</v>
      </c>
      <c r="AI42" s="527">
        <f t="shared" si="42"/>
        <v>0</v>
      </c>
      <c r="AJ42" s="527">
        <f t="shared" si="43"/>
        <v>0</v>
      </c>
      <c r="AK42" s="527">
        <f t="shared" si="52"/>
        <v>0</v>
      </c>
      <c r="AL42" s="527">
        <f t="shared" si="44"/>
        <v>0</v>
      </c>
      <c r="AM42" s="527">
        <f t="shared" si="45"/>
        <v>0</v>
      </c>
      <c r="AN42" s="527">
        <f t="shared" si="46"/>
        <v>0</v>
      </c>
      <c r="AO42" s="527">
        <f t="shared" si="47"/>
        <v>0</v>
      </c>
      <c r="AP42" s="492">
        <f t="shared" si="48"/>
        <v>0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6</v>
      </c>
      <c r="AU42" s="55"/>
      <c r="AV42" s="55"/>
      <c r="AW42" s="1189"/>
      <c r="AX42" s="1190"/>
    </row>
    <row r="43" spans="1:56" ht="14.1" customHeight="1">
      <c r="B43" s="513" t="str">
        <f t="shared" si="30"/>
        <v>Jose Cortez P.</v>
      </c>
      <c r="C43" s="459">
        <v>7</v>
      </c>
      <c r="D43" s="459">
        <v>18</v>
      </c>
      <c r="E43" s="459">
        <v>1</v>
      </c>
      <c r="F43" s="460">
        <f t="shared" si="31"/>
        <v>10</v>
      </c>
      <c r="G43" s="459"/>
      <c r="H43" s="459"/>
      <c r="I43" s="460">
        <f t="shared" si="32"/>
        <v>0</v>
      </c>
      <c r="J43" s="459"/>
      <c r="K43" s="460">
        <f t="shared" si="33"/>
        <v>8</v>
      </c>
      <c r="L43" s="461">
        <f t="shared" si="51"/>
        <v>2</v>
      </c>
      <c r="M43" s="459">
        <v>7</v>
      </c>
      <c r="N43" s="459">
        <v>17</v>
      </c>
      <c r="O43" s="459">
        <v>1</v>
      </c>
      <c r="P43" s="460">
        <f t="shared" si="34"/>
        <v>9</v>
      </c>
      <c r="Q43" s="489"/>
      <c r="R43" s="489"/>
      <c r="S43" s="460">
        <f t="shared" si="35"/>
        <v>0</v>
      </c>
      <c r="T43" s="459"/>
      <c r="U43" s="460">
        <f t="shared" si="36"/>
        <v>8</v>
      </c>
      <c r="V43" s="461">
        <f t="shared" si="37"/>
        <v>1</v>
      </c>
      <c r="W43" s="334">
        <v>7</v>
      </c>
      <c r="X43" s="342">
        <v>16</v>
      </c>
      <c r="Y43" s="30">
        <v>1</v>
      </c>
      <c r="Z43" s="31">
        <f t="shared" si="38"/>
        <v>8</v>
      </c>
      <c r="AA43" s="580">
        <v>16</v>
      </c>
      <c r="AB43" s="580">
        <v>17</v>
      </c>
      <c r="AC43" s="44">
        <f t="shared" si="39"/>
        <v>1</v>
      </c>
      <c r="AD43" s="30"/>
      <c r="AE43" s="32">
        <f t="shared" si="40"/>
        <v>8</v>
      </c>
      <c r="AF43" s="585">
        <f t="shared" si="41"/>
        <v>1</v>
      </c>
      <c r="AG43" s="55"/>
      <c r="AH43" s="143">
        <v>0</v>
      </c>
      <c r="AI43" s="144">
        <f t="shared" si="42"/>
        <v>0</v>
      </c>
      <c r="AJ43" s="144">
        <f t="shared" si="43"/>
        <v>0</v>
      </c>
      <c r="AK43" s="144">
        <f t="shared" si="52"/>
        <v>0</v>
      </c>
      <c r="AL43" s="113">
        <f t="shared" si="44"/>
        <v>0</v>
      </c>
      <c r="AM43" s="144">
        <f t="shared" si="45"/>
        <v>0</v>
      </c>
      <c r="AN43" s="144">
        <f t="shared" si="46"/>
        <v>0</v>
      </c>
      <c r="AO43" s="144">
        <f t="shared" si="47"/>
        <v>0</v>
      </c>
      <c r="AP43" s="145">
        <f t="shared" si="48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6</v>
      </c>
      <c r="AU43" s="55"/>
      <c r="AV43" s="55"/>
      <c r="AW43" s="1185"/>
      <c r="AX43" s="1186"/>
    </row>
    <row r="44" spans="1:56" ht="14.1" customHeight="1">
      <c r="B44" s="513" t="str">
        <f t="shared" si="30"/>
        <v>Jose Flores Z.</v>
      </c>
      <c r="C44" s="87">
        <v>7</v>
      </c>
      <c r="D44" s="87">
        <v>11</v>
      </c>
      <c r="E44" s="87">
        <v>0</v>
      </c>
      <c r="F44" s="88">
        <f t="shared" si="31"/>
        <v>4</v>
      </c>
      <c r="G44" s="87"/>
      <c r="H44" s="87"/>
      <c r="I44" s="88">
        <f t="shared" si="32"/>
        <v>0</v>
      </c>
      <c r="J44" s="87"/>
      <c r="K44" s="88">
        <f t="shared" si="33"/>
        <v>8</v>
      </c>
      <c r="L44" s="89">
        <f t="shared" si="51"/>
        <v>-4</v>
      </c>
      <c r="M44" s="147"/>
      <c r="N44" s="147"/>
      <c r="O44" s="147"/>
      <c r="P44" s="148">
        <f t="shared" si="34"/>
        <v>0</v>
      </c>
      <c r="Q44" s="149"/>
      <c r="R44" s="149"/>
      <c r="S44" s="148">
        <f t="shared" si="35"/>
        <v>0</v>
      </c>
      <c r="T44" s="147"/>
      <c r="U44" s="148">
        <f t="shared" si="36"/>
        <v>0</v>
      </c>
      <c r="V44" s="150">
        <f t="shared" si="37"/>
        <v>0</v>
      </c>
      <c r="W44" s="151"/>
      <c r="X44" s="147"/>
      <c r="Y44" s="147"/>
      <c r="Z44" s="148">
        <f t="shared" si="38"/>
        <v>0</v>
      </c>
      <c r="AA44" s="583"/>
      <c r="AB44" s="583"/>
      <c r="AC44" s="148">
        <f t="shared" si="39"/>
        <v>0</v>
      </c>
      <c r="AD44" s="147"/>
      <c r="AE44" s="148">
        <f t="shared" si="40"/>
        <v>0</v>
      </c>
      <c r="AF44" s="150">
        <f t="shared" si="41"/>
        <v>0</v>
      </c>
      <c r="AG44" s="55"/>
      <c r="AH44" s="127">
        <v>0</v>
      </c>
      <c r="AI44" s="113">
        <f t="shared" si="42"/>
        <v>-8</v>
      </c>
      <c r="AJ44" s="113">
        <f t="shared" si="43"/>
        <v>-8</v>
      </c>
      <c r="AK44" s="128">
        <f t="shared" si="52"/>
        <v>-8</v>
      </c>
      <c r="AL44" s="113">
        <f t="shared" si="44"/>
        <v>0</v>
      </c>
      <c r="AM44" s="113">
        <f t="shared" si="45"/>
        <v>0</v>
      </c>
      <c r="AN44" s="113">
        <f t="shared" si="46"/>
        <v>-8</v>
      </c>
      <c r="AO44" s="113">
        <f t="shared" si="47"/>
        <v>-8</v>
      </c>
      <c r="AP44" s="114">
        <f t="shared" si="48"/>
        <v>-40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1</v>
      </c>
      <c r="AU44" s="55"/>
      <c r="AV44" s="55"/>
      <c r="AW44" s="1134"/>
      <c r="AX44" s="1135"/>
    </row>
    <row r="45" spans="1:56" ht="14.1" customHeight="1" thickBot="1">
      <c r="B45" s="95" t="str">
        <f t="shared" si="30"/>
        <v xml:space="preserve">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1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37"/>
        <v>0</v>
      </c>
      <c r="W45" s="360"/>
      <c r="X45" s="361"/>
      <c r="Y45" s="96"/>
      <c r="Z45" s="97">
        <f t="shared" si="38"/>
        <v>0</v>
      </c>
      <c r="AA45" s="584"/>
      <c r="AB45" s="584"/>
      <c r="AC45" s="97">
        <f t="shared" si="39"/>
        <v>0</v>
      </c>
      <c r="AD45" s="96"/>
      <c r="AE45" s="98">
        <f t="shared" si="40"/>
        <v>0</v>
      </c>
      <c r="AF45" s="99">
        <f t="shared" si="41"/>
        <v>0</v>
      </c>
      <c r="AG45" s="55"/>
      <c r="AH45" s="112">
        <v>0</v>
      </c>
      <c r="AI45" s="113">
        <f t="shared" si="42"/>
        <v>-8</v>
      </c>
      <c r="AJ45" s="113">
        <f t="shared" si="43"/>
        <v>-8</v>
      </c>
      <c r="AK45" s="113">
        <f t="shared" si="52"/>
        <v>-8</v>
      </c>
      <c r="AL45" s="113">
        <f t="shared" si="44"/>
        <v>0</v>
      </c>
      <c r="AM45" s="113">
        <f t="shared" si="45"/>
        <v>-8</v>
      </c>
      <c r="AN45" s="113">
        <f t="shared" si="46"/>
        <v>-8</v>
      </c>
      <c r="AO45" s="113">
        <f t="shared" si="47"/>
        <v>-8</v>
      </c>
      <c r="AP45" s="114">
        <f t="shared" si="48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106</v>
      </c>
      <c r="AS46" s="1162"/>
      <c r="AT46" s="167">
        <f>SUM(AT32:AT45)</f>
        <v>60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50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43181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43182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43183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43184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43185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43186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43187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-32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556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556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556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198.33333333333331</v>
      </c>
      <c r="D68" s="1113"/>
      <c r="E68" s="1114">
        <f>+K68/30</f>
        <v>28.333333333333332</v>
      </c>
      <c r="F68" s="1114"/>
      <c r="G68" s="1084"/>
      <c r="H68" s="1085"/>
      <c r="I68" s="1115">
        <f>+E68/8</f>
        <v>3.5416666666666665</v>
      </c>
      <c r="J68" s="1116"/>
      <c r="K68" s="1117">
        <v>850</v>
      </c>
      <c r="L68" s="1117"/>
      <c r="M68" s="228"/>
      <c r="N68" s="1078">
        <f>+I68/6*7</f>
        <v>4.1319444444444446</v>
      </c>
      <c r="O68" s="1079"/>
      <c r="P68" s="228"/>
      <c r="Q68" s="1072">
        <f>+$I$69-I68</f>
        <v>1.2395833333333335</v>
      </c>
      <c r="R68" s="1072"/>
      <c r="U68" s="1102"/>
      <c r="V68" s="1105"/>
      <c r="W68" s="1108"/>
      <c r="X68" s="1111"/>
      <c r="AA68" s="556"/>
      <c r="AB68" s="556"/>
      <c r="AC68" s="556"/>
      <c r="AD68" s="556"/>
    </row>
    <row r="69" spans="1:50" ht="24.75">
      <c r="B69" s="229" t="s">
        <v>48</v>
      </c>
      <c r="C69" s="1073">
        <f>+E69*7</f>
        <v>267.75</v>
      </c>
      <c r="D69" s="1073"/>
      <c r="E69" s="1074">
        <f>+K69/30</f>
        <v>38.25</v>
      </c>
      <c r="F69" s="1074"/>
      <c r="G69" s="1086"/>
      <c r="H69" s="1087"/>
      <c r="I69" s="1075">
        <f>+E69/8</f>
        <v>4.78125</v>
      </c>
      <c r="J69" s="1076"/>
      <c r="K69" s="1077">
        <f>+K68*1.35</f>
        <v>1147.5</v>
      </c>
      <c r="L69" s="1077"/>
      <c r="M69" s="228"/>
      <c r="N69" s="1078">
        <f>+I69/6*7</f>
        <v>5.578125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556"/>
      <c r="AB69" s="556"/>
      <c r="AC69" s="556"/>
      <c r="AD69" s="556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556"/>
      <c r="AB70" s="556"/>
      <c r="AC70" s="556"/>
      <c r="AD70" s="556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5" si="56">+I71/6*7</f>
        <v>5.3041666666666654</v>
      </c>
      <c r="O71" s="1020"/>
      <c r="P71" s="5"/>
      <c r="Q71" s="1056">
        <f t="shared" ref="Q71:Q85" si="57">+$I$69-I71</f>
        <v>0.23482142857142918</v>
      </c>
      <c r="R71" s="1057"/>
      <c r="U71" s="238">
        <f t="shared" ref="U71:U77" si="58">+AE32+U32+K32+AO11+AE11+U11+K11</f>
        <v>48</v>
      </c>
      <c r="V71" s="239">
        <v>48</v>
      </c>
      <c r="W71" s="240">
        <f t="shared" ref="W71:W85" si="59">+V71-U71</f>
        <v>0</v>
      </c>
      <c r="X71" s="241">
        <f t="shared" ref="X71:X77" si="60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-0.35267857142857117</v>
      </c>
      <c r="R72" s="1057"/>
      <c r="U72" s="238">
        <f t="shared" si="58"/>
        <v>48</v>
      </c>
      <c r="V72" s="239">
        <v>48</v>
      </c>
      <c r="W72" s="240">
        <f t="shared" si="59"/>
        <v>0</v>
      </c>
      <c r="X72" s="241">
        <f t="shared" si="60"/>
        <v>8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-0.35267857142857117</v>
      </c>
      <c r="R73" s="1057"/>
      <c r="U73" s="238">
        <f t="shared" si="58"/>
        <v>58</v>
      </c>
      <c r="V73" s="239">
        <v>48</v>
      </c>
      <c r="W73" s="240">
        <f t="shared" si="59"/>
        <v>-10</v>
      </c>
      <c r="X73" s="241">
        <f t="shared" si="60"/>
        <v>0</v>
      </c>
      <c r="Z73" s="389"/>
      <c r="AA73" s="557"/>
      <c r="AB73" s="557"/>
      <c r="AC73" s="557"/>
      <c r="AD73" s="557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0.61457142857142877</v>
      </c>
      <c r="R74" s="1057"/>
      <c r="S74" s="1066">
        <f>20*30/180*117</f>
        <v>390</v>
      </c>
      <c r="T74" s="1067"/>
      <c r="U74" s="238">
        <f t="shared" si="58"/>
        <v>64</v>
      </c>
      <c r="V74" s="239">
        <v>48</v>
      </c>
      <c r="W74" s="240">
        <f t="shared" si="59"/>
        <v>-16</v>
      </c>
      <c r="X74" s="241">
        <f t="shared" si="60"/>
        <v>8</v>
      </c>
      <c r="Z74" s="1045" t="s">
        <v>53</v>
      </c>
      <c r="AA74" s="1045"/>
      <c r="AB74" s="1045"/>
      <c r="AC74" s="1045"/>
      <c r="AD74" s="389" t="s">
        <v>54</v>
      </c>
      <c r="AE74" s="557"/>
      <c r="AF74" s="386"/>
      <c r="AG74" s="558"/>
      <c r="AH74" s="558"/>
      <c r="AI74" s="386"/>
      <c r="AJ74" s="386"/>
      <c r="AK74" s="554"/>
      <c r="AL74" s="554"/>
      <c r="AM74" s="554"/>
      <c r="AN74" s="554"/>
      <c r="AO74" s="554"/>
      <c r="AP74" s="554"/>
      <c r="AQ74" s="554"/>
      <c r="AR74" s="554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-0.35267857142857117</v>
      </c>
      <c r="R75" s="1057"/>
      <c r="U75" s="238">
        <f t="shared" si="58"/>
        <v>64</v>
      </c>
      <c r="V75" s="239">
        <v>48</v>
      </c>
      <c r="W75" s="240">
        <f t="shared" si="59"/>
        <v>-16</v>
      </c>
      <c r="X75" s="241">
        <f t="shared" si="60"/>
        <v>0</v>
      </c>
      <c r="Z75" s="557"/>
      <c r="AA75" s="557"/>
      <c r="AB75" s="557"/>
      <c r="AC75" s="557"/>
      <c r="AD75" s="557"/>
      <c r="AE75" s="386"/>
      <c r="AF75" s="386"/>
      <c r="AG75" s="244"/>
      <c r="AH75" s="244"/>
      <c r="AI75" s="558"/>
      <c r="AJ75" s="558"/>
      <c r="AK75" s="558"/>
      <c r="AL75" s="558"/>
      <c r="AM75" s="558"/>
      <c r="AN75" s="558"/>
      <c r="AO75" s="558"/>
      <c r="AP75" s="558"/>
      <c r="AQ75" s="558"/>
      <c r="AR75" s="558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-0.35267857142857117</v>
      </c>
      <c r="R76" s="1057"/>
      <c r="U76" s="238">
        <f t="shared" si="58"/>
        <v>45</v>
      </c>
      <c r="V76" s="239">
        <v>48</v>
      </c>
      <c r="W76" s="240">
        <f>+V76-U76</f>
        <v>3</v>
      </c>
      <c r="X76" s="241">
        <f t="shared" si="60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558"/>
      <c r="AN76" s="558"/>
      <c r="AO76" s="558"/>
      <c r="AP76" s="558"/>
      <c r="AQ76" s="558"/>
      <c r="AR76" s="558"/>
      <c r="AS76" s="386"/>
      <c r="AT76" s="386"/>
    </row>
    <row r="77" spans="1:50" s="249" customFormat="1" ht="16.5">
      <c r="A77" s="247">
        <v>6</v>
      </c>
      <c r="B77" s="245" t="s">
        <v>62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1.0848214285714284</v>
      </c>
      <c r="R77" s="1057"/>
      <c r="S77" s="1066">
        <f>20*30/180*117</f>
        <v>390</v>
      </c>
      <c r="T77" s="1067"/>
      <c r="U77" s="238">
        <f t="shared" si="58"/>
        <v>24</v>
      </c>
      <c r="V77" s="239">
        <v>48</v>
      </c>
      <c r="W77" s="240">
        <f t="shared" si="59"/>
        <v>24</v>
      </c>
      <c r="X77" s="241">
        <f t="shared" si="60"/>
        <v>0</v>
      </c>
      <c r="Y77" s="248"/>
      <c r="Z77" s="557"/>
      <c r="AA77" s="557"/>
      <c r="AB77" s="557"/>
      <c r="AC77" s="557"/>
      <c r="AD77" s="557"/>
      <c r="AE77" s="386"/>
      <c r="AF77" s="386"/>
      <c r="AG77" s="558"/>
      <c r="AH77" s="558"/>
      <c r="AI77" s="393"/>
      <c r="AJ77" s="393"/>
      <c r="AK77" s="393"/>
      <c r="AL77" s="393"/>
      <c r="AM77" s="558"/>
      <c r="AN77" s="558"/>
      <c r="AO77" s="558"/>
      <c r="AP77" s="558"/>
      <c r="AQ77" s="558"/>
      <c r="AR77" s="558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3"/>
        <v>28.333328571428574</v>
      </c>
      <c r="F78" s="1049"/>
      <c r="G78" s="1050">
        <v>25.761900000000001</v>
      </c>
      <c r="H78" s="1051"/>
      <c r="I78" s="1052">
        <f t="shared" si="54"/>
        <v>3.5416660714285717</v>
      </c>
      <c r="J78" s="1058"/>
      <c r="K78" s="1059">
        <f>+E78*30</f>
        <v>849.99985714285719</v>
      </c>
      <c r="L78" s="1059"/>
      <c r="M78" s="5"/>
      <c r="N78" s="1020">
        <f t="shared" si="56"/>
        <v>4.1319437500000005</v>
      </c>
      <c r="O78" s="1020"/>
      <c r="P78" s="5"/>
      <c r="Q78" s="1056">
        <f t="shared" si="57"/>
        <v>1.2395839285714283</v>
      </c>
      <c r="R78" s="1057"/>
      <c r="S78" s="556"/>
      <c r="T78" s="556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>+J19+T19+AD19+J40+T40+AD40</f>
        <v>0</v>
      </c>
      <c r="Y78" s="556"/>
      <c r="Z78" s="557"/>
      <c r="AA78" s="557"/>
      <c r="AB78" s="557"/>
      <c r="AC78" s="557"/>
      <c r="AD78" s="557"/>
      <c r="AE78" s="386"/>
      <c r="AF78" s="386"/>
      <c r="AG78" s="558"/>
      <c r="AH78" s="558"/>
      <c r="AI78" s="393"/>
      <c r="AJ78" s="393"/>
      <c r="AK78" s="393"/>
      <c r="AL78" s="393"/>
      <c r="AM78" s="558"/>
      <c r="AN78" s="558"/>
      <c r="AO78" s="558"/>
      <c r="AP78" s="558"/>
      <c r="AQ78" s="558"/>
      <c r="AR78" s="558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4.78125</v>
      </c>
      <c r="R79" s="1057"/>
      <c r="U79" s="238">
        <f>+AE44+U44+K44+AO23+AE23+U23+K23</f>
        <v>8</v>
      </c>
      <c r="V79" s="239">
        <v>48</v>
      </c>
      <c r="W79" s="240">
        <f>+V79-U79</f>
        <v>40</v>
      </c>
      <c r="X79" s="241" t="e">
        <f>+#REF!+#REF!+#REF!+#REF!+#REF!+#REF!</f>
        <v>#REF!</v>
      </c>
      <c r="Z79" s="246"/>
      <c r="AA79" s="246"/>
      <c r="AB79" s="557"/>
      <c r="AC79" s="557"/>
      <c r="AD79" s="557"/>
      <c r="AE79" s="386"/>
      <c r="AF79" s="386"/>
      <c r="AG79" s="558"/>
      <c r="AH79" s="558"/>
      <c r="AI79" s="558"/>
      <c r="AJ79" s="558"/>
      <c r="AK79" s="558"/>
      <c r="AL79" s="558"/>
      <c r="AM79" s="558"/>
      <c r="AN79" s="558"/>
      <c r="AO79" s="558"/>
      <c r="AP79" s="558"/>
      <c r="AQ79" s="558"/>
      <c r="AR79" s="558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8.4821428571428825E-2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>+J20+T20+AD20+J41+T41+AD41</f>
        <v>0</v>
      </c>
      <c r="Z80" s="1045">
        <f>+K80/E80</f>
        <v>30</v>
      </c>
      <c r="AA80" s="1045"/>
      <c r="AB80" s="1045"/>
      <c r="AC80" s="1045"/>
      <c r="AD80" s="557"/>
      <c r="AE80" s="386"/>
      <c r="AF80" s="386"/>
      <c r="AG80" s="244"/>
      <c r="AH80" s="244"/>
      <c r="AI80" s="558"/>
      <c r="AJ80" s="558"/>
      <c r="AK80" s="558"/>
      <c r="AL80" s="558"/>
      <c r="AM80" s="558"/>
      <c r="AN80" s="558"/>
      <c r="AO80" s="558"/>
      <c r="AP80" s="558"/>
      <c r="AQ80" s="558"/>
      <c r="AR80" s="558"/>
      <c r="AS80" s="386"/>
      <c r="AT80" s="386"/>
    </row>
    <row r="81" spans="1:46" ht="16.5">
      <c r="A81" s="1">
        <v>3</v>
      </c>
      <c r="B81" s="237" t="s">
        <v>118</v>
      </c>
      <c r="C81" s="1046">
        <f>6*3+7*34.0952</f>
        <v>256.66639999999995</v>
      </c>
      <c r="D81" s="1047"/>
      <c r="E81" s="1048">
        <f t="shared" si="61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0.19792142857142903</v>
      </c>
      <c r="R81" s="1057"/>
      <c r="U81" s="238">
        <f>+AE42+U42+K42+AO21+AE21+U21+K21</f>
        <v>48</v>
      </c>
      <c r="V81" s="239">
        <v>48</v>
      </c>
      <c r="W81" s="240">
        <f>+V81-U81</f>
        <v>0</v>
      </c>
      <c r="X81" s="241">
        <f>+J21+T21+AD21+J42+T42+AD42</f>
        <v>0</v>
      </c>
      <c r="Z81" s="252"/>
      <c r="AA81" s="394"/>
      <c r="AB81" s="389"/>
      <c r="AC81" s="557"/>
      <c r="AD81" s="557"/>
      <c r="AE81" s="386"/>
      <c r="AF81" s="386"/>
      <c r="AG81" s="558"/>
      <c r="AH81" s="558"/>
      <c r="AI81" s="393"/>
      <c r="AJ81" s="393"/>
      <c r="AK81" s="393"/>
      <c r="AL81" s="393"/>
      <c r="AM81" s="558"/>
      <c r="AN81" s="558"/>
      <c r="AO81" s="558"/>
      <c r="AP81" s="558"/>
      <c r="AQ81" s="558"/>
      <c r="AR81" s="558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1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6"/>
        <v>4.1319395833333337</v>
      </c>
      <c r="O82" s="1044"/>
      <c r="P82" s="5"/>
      <c r="Q82" s="1004">
        <f t="shared" si="57"/>
        <v>1.2395874999999998</v>
      </c>
      <c r="R82" s="1005"/>
      <c r="U82" s="238">
        <f>+AE44+U44+K44+AO23+AE23+U23+K23</f>
        <v>8</v>
      </c>
      <c r="V82" s="239">
        <v>48</v>
      </c>
      <c r="W82" s="240">
        <f t="shared" si="59"/>
        <v>40</v>
      </c>
      <c r="X82" s="241">
        <f>+J22+T22+AD22+J43+T43+AD43</f>
        <v>0</v>
      </c>
      <c r="Z82" s="252"/>
      <c r="AA82" s="394"/>
      <c r="AB82" s="389"/>
      <c r="AC82" s="557"/>
      <c r="AD82" s="557"/>
      <c r="AE82" s="386"/>
      <c r="AF82" s="386"/>
      <c r="AG82" s="393"/>
      <c r="AH82" s="393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386"/>
      <c r="AT82" s="386"/>
    </row>
    <row r="83" spans="1:46" ht="16.5">
      <c r="B83" s="250" t="s">
        <v>124</v>
      </c>
      <c r="C83" s="1035">
        <f>+G83*6</f>
        <v>199.99979999999999</v>
      </c>
      <c r="D83" s="1036"/>
      <c r="E83" s="1037">
        <f t="shared" si="61"/>
        <v>28.571400000000001</v>
      </c>
      <c r="F83" s="1038"/>
      <c r="G83" s="1039">
        <v>33.333300000000001</v>
      </c>
      <c r="H83" s="1040"/>
      <c r="I83" s="1037">
        <f>+G83/8</f>
        <v>4.1666625000000002</v>
      </c>
      <c r="J83" s="1038"/>
      <c r="K83" s="1041">
        <f>+G83*30</f>
        <v>999.99900000000002</v>
      </c>
      <c r="L83" s="1042"/>
      <c r="M83" s="5"/>
      <c r="N83" s="1043">
        <f>+I83/6*7</f>
        <v>4.8611062500000006</v>
      </c>
      <c r="O83" s="1044"/>
      <c r="P83" s="5"/>
      <c r="Q83" s="1004">
        <f>+$I$69-I83</f>
        <v>0.61458749999999984</v>
      </c>
      <c r="R83" s="1005"/>
      <c r="S83" s="559"/>
      <c r="T83" s="559"/>
      <c r="U83" s="238">
        <f>+AE45+U45+K45+AO24+AE24+U24+K24</f>
        <v>0</v>
      </c>
      <c r="V83" s="239">
        <v>48</v>
      </c>
      <c r="W83" s="240">
        <f>+V83-U83</f>
        <v>48</v>
      </c>
      <c r="X83" s="241">
        <f>+J23+T23+AD23+J44+T44+AD44</f>
        <v>0</v>
      </c>
      <c r="Z83" s="246"/>
      <c r="AA83" s="246"/>
      <c r="AB83" s="557"/>
      <c r="AC83" s="557"/>
      <c r="AD83" s="557">
        <v>200</v>
      </c>
      <c r="AE83" s="386"/>
      <c r="AF83" s="1023">
        <f>+AD83/6</f>
        <v>33.333333333333336</v>
      </c>
      <c r="AG83" s="1023"/>
      <c r="AH83" s="1023"/>
      <c r="AI83" s="558"/>
      <c r="AJ83" s="558"/>
      <c r="AK83" s="558"/>
      <c r="AL83" s="558"/>
      <c r="AM83" s="558"/>
      <c r="AN83" s="558"/>
      <c r="AO83" s="558"/>
      <c r="AP83" s="558"/>
      <c r="AQ83" s="558"/>
      <c r="AR83" s="558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1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2.6979166666666665</v>
      </c>
      <c r="R84" s="1034"/>
      <c r="U84" s="238">
        <f>+AE44+U44+K44+AO23+AE23+U23+K23</f>
        <v>8</v>
      </c>
      <c r="V84" s="239">
        <v>48</v>
      </c>
      <c r="W84" s="240">
        <f t="shared" si="59"/>
        <v>40</v>
      </c>
      <c r="X84" s="241">
        <f>+J23+T23+AD23+J44+T44+AD44</f>
        <v>0</v>
      </c>
      <c r="Y84" s="248"/>
      <c r="Z84" s="557"/>
      <c r="AA84" s="557"/>
      <c r="AB84" s="557"/>
      <c r="AC84" s="557"/>
      <c r="AG84" s="558"/>
      <c r="AH84" s="558"/>
      <c r="AI84" s="386"/>
      <c r="AJ84" s="386"/>
      <c r="AK84" s="554"/>
      <c r="AL84" s="554"/>
      <c r="AM84" s="554"/>
      <c r="AN84" s="554"/>
      <c r="AO84" s="554"/>
      <c r="AP84" s="554"/>
      <c r="AQ84" s="554"/>
      <c r="AR84" s="554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1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6"/>
        <v>11.423610416666666</v>
      </c>
      <c r="O85" s="1020"/>
      <c r="P85" s="5"/>
      <c r="Q85" s="1004">
        <f t="shared" si="57"/>
        <v>-5.0104160714285708</v>
      </c>
      <c r="R85" s="1005"/>
      <c r="U85" s="238">
        <f>+AE48+U48+K48+AO27+AE27+U27+K27</f>
        <v>0</v>
      </c>
      <c r="V85" s="239">
        <v>48</v>
      </c>
      <c r="W85" s="240">
        <f t="shared" si="59"/>
        <v>48</v>
      </c>
      <c r="X85" s="241">
        <f>+J27+T27+AD27+J48+T48+AD48</f>
        <v>0</v>
      </c>
      <c r="Z85" s="246"/>
      <c r="AA85" s="246"/>
      <c r="AB85" s="557"/>
      <c r="AC85" s="557"/>
      <c r="AD85" s="557"/>
      <c r="AE85" s="386"/>
      <c r="AF85" s="386"/>
      <c r="AG85" s="558"/>
      <c r="AH85" s="558"/>
      <c r="AI85" s="558"/>
      <c r="AJ85" s="558"/>
      <c r="AK85" s="558"/>
      <c r="AL85" s="558"/>
      <c r="AM85" s="558"/>
      <c r="AN85" s="558"/>
      <c r="AO85" s="558"/>
      <c r="AP85" s="558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558"/>
      <c r="AF89" s="558"/>
      <c r="AG89" s="386"/>
      <c r="AH89" s="386"/>
      <c r="AI89" s="386"/>
      <c r="AJ89" s="558"/>
      <c r="AK89" s="558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558"/>
      <c r="AF90" s="558"/>
      <c r="AG90" s="386"/>
      <c r="AH90" s="386"/>
      <c r="AI90" s="386"/>
      <c r="AJ90" s="558"/>
      <c r="AK90" s="558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558"/>
      <c r="AF92" s="558"/>
      <c r="AG92" s="386"/>
      <c r="AH92" s="386"/>
      <c r="AI92" s="386"/>
      <c r="AJ92" s="558"/>
      <c r="AK92" s="558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558"/>
      <c r="AF95" s="558"/>
      <c r="AG95" s="386"/>
      <c r="AH95" s="386"/>
      <c r="AI95" s="386"/>
      <c r="AJ95" s="558"/>
      <c r="AK95" s="558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554"/>
      <c r="AM97" s="558"/>
      <c r="AN97" s="554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558"/>
      <c r="AF107" s="558"/>
      <c r="AG107" s="386"/>
      <c r="AH107" s="386"/>
      <c r="AI107" s="386"/>
      <c r="AJ107" s="558"/>
      <c r="AK107" s="558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554"/>
      <c r="AM115" s="558"/>
      <c r="AN115" s="554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558"/>
      <c r="AF126" s="558"/>
      <c r="AG126" s="386"/>
      <c r="AH126" s="386"/>
      <c r="AI126" s="386"/>
      <c r="AJ126" s="558"/>
      <c r="AK126" s="558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558"/>
      <c r="AF127" s="558"/>
      <c r="AG127" s="386"/>
      <c r="AH127" s="386"/>
      <c r="AI127" s="386"/>
      <c r="AJ127" s="558"/>
      <c r="AK127" s="558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558"/>
      <c r="AF129" s="558"/>
      <c r="AG129" s="386"/>
      <c r="AH129" s="386"/>
      <c r="AI129" s="386"/>
      <c r="AJ129" s="558"/>
      <c r="AK129" s="558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558"/>
      <c r="AF132" s="558"/>
      <c r="AG132" s="386"/>
      <c r="AH132" s="386"/>
      <c r="AI132" s="386"/>
      <c r="AJ132" s="558"/>
      <c r="AK132" s="558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554"/>
      <c r="AM134" s="558"/>
      <c r="AN134" s="554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558"/>
      <c r="AF144" s="558"/>
      <c r="AG144" s="386"/>
      <c r="AH144" s="386"/>
      <c r="AI144" s="386"/>
      <c r="AJ144" s="558"/>
      <c r="AK144" s="558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558"/>
      <c r="AF145" s="558"/>
      <c r="AG145" s="386"/>
      <c r="AH145" s="386"/>
      <c r="AI145" s="386"/>
      <c r="AJ145" s="558"/>
      <c r="AK145" s="558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558"/>
      <c r="AF147" s="558"/>
      <c r="AG147" s="386"/>
      <c r="AH147" s="386"/>
      <c r="AI147" s="386"/>
      <c r="AJ147" s="558"/>
      <c r="AK147" s="558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558"/>
      <c r="AF150" s="558"/>
      <c r="AG150" s="386"/>
      <c r="AH150" s="386"/>
      <c r="AI150" s="386"/>
      <c r="AJ150" s="558"/>
      <c r="AK150" s="558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554"/>
      <c r="AM152" s="558"/>
      <c r="AN152" s="554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558"/>
      <c r="AF164" s="558"/>
      <c r="AG164" s="386"/>
      <c r="AH164" s="386"/>
      <c r="AI164" s="386"/>
      <c r="AJ164" s="558"/>
      <c r="AK164" s="558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554"/>
      <c r="AM172" s="558"/>
      <c r="AN172" s="554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6.5" thickBot="1">
      <c r="B182" s="414">
        <v>850</v>
      </c>
      <c r="C182" s="303" t="s">
        <v>66</v>
      </c>
      <c r="D182" s="555"/>
      <c r="E182" s="304"/>
      <c r="F182" s="305"/>
      <c r="G182" s="555"/>
      <c r="H182" s="555"/>
      <c r="I182" s="305"/>
      <c r="J182" s="555"/>
      <c r="K182" s="306"/>
      <c r="L182" s="306"/>
      <c r="M182" s="555"/>
      <c r="N182" s="555"/>
      <c r="O182" s="555"/>
      <c r="P182" s="555"/>
      <c r="Q182" s="555"/>
      <c r="R182" s="555"/>
      <c r="S182" s="555"/>
      <c r="T182" s="555"/>
      <c r="U182" s="555"/>
      <c r="V182" s="555"/>
      <c r="W182" s="555"/>
      <c r="X182" s="555"/>
      <c r="Y182" s="555"/>
      <c r="Z182" s="555"/>
      <c r="AA182" s="307"/>
      <c r="AB182" s="307"/>
      <c r="AC182" s="308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415">
        <f>+B182/30*7</f>
        <v>198.33333333333331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310"/>
      <c r="AD183" s="386"/>
      <c r="AE183" s="558"/>
      <c r="AF183" s="558"/>
      <c r="AG183" s="386"/>
      <c r="AH183" s="386"/>
      <c r="AI183" s="386"/>
      <c r="AJ183" s="558"/>
      <c r="AK183" s="558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415">
        <f>+B183-18</f>
        <v>180.33333333333331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850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310"/>
      <c r="AD184" s="386"/>
      <c r="AE184" s="558"/>
      <c r="AF184" s="558"/>
      <c r="AG184" s="386"/>
      <c r="AH184" s="386"/>
      <c r="AI184" s="386"/>
      <c r="AJ184" s="558"/>
      <c r="AK184" s="558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416">
        <f>+B184/7</f>
        <v>25.761904761904759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198.33333333333331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172.54999999999998</v>
      </c>
      <c r="AB185" s="1092"/>
      <c r="AC185" s="310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311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28.333333333333332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310"/>
      <c r="AD186" s="386"/>
      <c r="AE186" s="558"/>
      <c r="AF186" s="558"/>
      <c r="AG186" s="386"/>
      <c r="AH186" s="386"/>
      <c r="AI186" s="386"/>
      <c r="AJ186" s="558"/>
      <c r="AK186" s="558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417">
        <f>+B185</f>
        <v>25.761904761904759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25.761904761904759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310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415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310"/>
      <c r="AD188" s="386"/>
      <c r="AE188" s="386"/>
      <c r="AF188" s="991">
        <v>993814365</v>
      </c>
      <c r="AG188" s="991"/>
      <c r="AH188" s="991"/>
      <c r="AI188" s="991"/>
      <c r="AJ188" s="991"/>
      <c r="AK188" s="386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416">
        <f>+B188+B187</f>
        <v>28.761904761904759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28.761904761904759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310"/>
      <c r="AD189" s="386"/>
      <c r="AE189" s="558"/>
      <c r="AF189" s="558"/>
      <c r="AG189" s="386"/>
      <c r="AH189" s="386"/>
      <c r="AI189" s="386"/>
      <c r="AJ189" s="558"/>
      <c r="AK189" s="558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415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310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415">
        <f>+B189*6</f>
        <v>172.57142857142856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310"/>
      <c r="AD191" s="386"/>
      <c r="AE191" s="386"/>
      <c r="AF191" s="386"/>
      <c r="AG191" s="386"/>
      <c r="AH191" s="386"/>
      <c r="AI191" s="397"/>
      <c r="AJ191" s="397"/>
      <c r="AK191" s="399"/>
      <c r="AL191" s="554"/>
      <c r="AM191" s="558"/>
      <c r="AN191" s="554"/>
      <c r="AO191" s="386"/>
      <c r="AP191" s="173"/>
      <c r="AQ191" s="173"/>
      <c r="AR191" s="173"/>
      <c r="AS191" s="173"/>
      <c r="AT191" s="173"/>
    </row>
    <row r="192" spans="2:46">
      <c r="B192" s="418">
        <f>+B187</f>
        <v>25.761904761904759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935.00000000000011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310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2:41">
      <c r="B193" s="416">
        <f>+B192+B191</f>
        <v>198.33333333333331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218.16666666666669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189.80500000000001</v>
      </c>
      <c r="AB193" s="1092"/>
      <c r="AC193" s="310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2:41">
      <c r="B194" s="415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31.166666666666668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310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2:41">
      <c r="B195" s="419">
        <f>+B193/7</f>
        <v>28.333333333333332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28.595238095238098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310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2:41">
      <c r="B196" s="415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310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2:41" ht="15.75" thickBot="1">
      <c r="B197" s="420"/>
      <c r="C197" s="314"/>
      <c r="D197" s="315"/>
      <c r="E197" s="316"/>
      <c r="F197" s="317"/>
      <c r="G197" s="315"/>
      <c r="H197" s="315"/>
      <c r="I197" s="317"/>
      <c r="J197" s="315"/>
      <c r="K197" s="318"/>
      <c r="L197" s="318"/>
      <c r="M197" s="315"/>
      <c r="N197" s="315"/>
      <c r="O197" s="1381">
        <f>+O196+O195</f>
        <v>31.595238095238098</v>
      </c>
      <c r="P197" s="1381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9"/>
      <c r="AB197" s="319"/>
      <c r="AC197" s="32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2:4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2:41" ht="15.75" thickBot="1">
      <c r="AE199" s="255"/>
      <c r="AF199" s="255"/>
      <c r="AJ199" s="255"/>
      <c r="AK199" s="255"/>
    </row>
    <row r="200" spans="2:41">
      <c r="C200" s="321"/>
      <c r="D200" s="555"/>
      <c r="E200" s="304"/>
      <c r="F200" s="305"/>
      <c r="G200" s="555"/>
      <c r="H200" s="555"/>
      <c r="I200" s="305"/>
      <c r="J200" s="555"/>
      <c r="K200" s="306"/>
      <c r="L200" s="306"/>
      <c r="M200" s="555"/>
      <c r="N200" s="555"/>
      <c r="O200" s="555"/>
      <c r="P200" s="555"/>
      <c r="Q200" s="555"/>
      <c r="R200" s="555"/>
      <c r="S200" s="555"/>
      <c r="T200" s="555"/>
      <c r="U200" s="555"/>
      <c r="V200" s="555"/>
      <c r="W200" s="555"/>
      <c r="X200" s="555"/>
      <c r="Y200" s="555"/>
      <c r="Z200" s="555"/>
      <c r="AA200" s="307"/>
      <c r="AB200" s="307"/>
      <c r="AC200" s="307"/>
      <c r="AD200" s="307"/>
      <c r="AE200" s="322"/>
      <c r="AF200" s="322"/>
      <c r="AG200" s="308"/>
      <c r="AJ200" s="255"/>
      <c r="AK200" s="255"/>
    </row>
    <row r="201" spans="2:41" ht="18">
      <c r="C201" s="323"/>
      <c r="D201" s="226"/>
      <c r="E201" s="324" t="s">
        <v>94</v>
      </c>
      <c r="F201" s="280"/>
      <c r="G201" s="226"/>
      <c r="H201" s="226"/>
      <c r="I201" s="280"/>
      <c r="J201" s="226"/>
      <c r="K201" s="275"/>
      <c r="L201" s="275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104"/>
      <c r="AB201" s="104"/>
      <c r="AC201" s="104"/>
      <c r="AD201" s="104"/>
      <c r="AE201" s="255"/>
      <c r="AF201" s="255"/>
      <c r="AG201" s="310"/>
      <c r="AJ201" s="255"/>
      <c r="AK201" s="255"/>
    </row>
    <row r="202" spans="2:41">
      <c r="C202" s="323"/>
      <c r="D202" s="226"/>
      <c r="E202" s="279"/>
      <c r="F202" s="280"/>
      <c r="G202" s="226"/>
      <c r="H202" s="226"/>
      <c r="I202" s="280"/>
      <c r="J202" s="226"/>
      <c r="K202" s="275"/>
      <c r="L202" s="275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971" t="s">
        <v>95</v>
      </c>
      <c r="AB202" s="972"/>
      <c r="AC202" s="973"/>
      <c r="AD202" s="974" t="s">
        <v>96</v>
      </c>
      <c r="AE202" s="975"/>
      <c r="AF202" s="976"/>
      <c r="AG202" s="310"/>
      <c r="AH202" s="104"/>
      <c r="AI202" s="104"/>
      <c r="AJ202" s="255"/>
      <c r="AK202" s="255"/>
    </row>
    <row r="203" spans="2:41" ht="16.5" thickBot="1">
      <c r="C203" s="323"/>
      <c r="D203" s="977" t="s">
        <v>97</v>
      </c>
      <c r="E203" s="977"/>
      <c r="F203" s="977"/>
      <c r="G203" s="977"/>
      <c r="H203" s="977"/>
      <c r="I203" s="978" t="s">
        <v>98</v>
      </c>
      <c r="J203" s="978"/>
      <c r="K203" s="978"/>
      <c r="L203" s="979" t="s">
        <v>99</v>
      </c>
      <c r="M203" s="979"/>
      <c r="N203" s="979"/>
      <c r="O203" s="979" t="s">
        <v>100</v>
      </c>
      <c r="P203" s="979"/>
      <c r="Q203" s="979"/>
      <c r="R203" s="980" t="s">
        <v>101</v>
      </c>
      <c r="S203" s="980"/>
      <c r="T203" s="980"/>
      <c r="U203" s="979" t="s">
        <v>102</v>
      </c>
      <c r="V203" s="979"/>
      <c r="W203" s="981"/>
      <c r="X203" s="982" t="s">
        <v>103</v>
      </c>
      <c r="Y203" s="983"/>
      <c r="Z203" s="984"/>
      <c r="AA203" s="985" t="s">
        <v>104</v>
      </c>
      <c r="AB203" s="985"/>
      <c r="AC203" s="986"/>
      <c r="AD203" s="987" t="s">
        <v>104</v>
      </c>
      <c r="AE203" s="988"/>
      <c r="AF203" s="989"/>
      <c r="AG203" s="310"/>
      <c r="AH203" s="104"/>
      <c r="AI203" s="104"/>
      <c r="AJ203" s="255"/>
      <c r="AK203" s="255"/>
    </row>
    <row r="204" spans="2:41" ht="19.5" thickTop="1">
      <c r="C204" s="325">
        <v>1</v>
      </c>
      <c r="D204" s="957" t="s">
        <v>105</v>
      </c>
      <c r="E204" s="957"/>
      <c r="F204" s="957"/>
      <c r="G204" s="957"/>
      <c r="H204" s="957"/>
      <c r="I204" s="958">
        <v>38.5</v>
      </c>
      <c r="J204" s="958"/>
      <c r="K204" s="958"/>
      <c r="L204" s="959">
        <v>1</v>
      </c>
      <c r="M204" s="959"/>
      <c r="N204" s="959"/>
      <c r="O204" s="959">
        <v>2</v>
      </c>
      <c r="P204" s="959"/>
      <c r="Q204" s="959"/>
      <c r="R204" s="960">
        <f t="shared" ref="R204:R210" si="62">+I204+L204+O204</f>
        <v>41.5</v>
      </c>
      <c r="S204" s="960"/>
      <c r="T204" s="960"/>
      <c r="U204" s="961">
        <f t="shared" ref="U204:U210" si="63">+I204*7+(L204+O204)*6</f>
        <v>287.5</v>
      </c>
      <c r="V204" s="961"/>
      <c r="W204" s="962"/>
      <c r="X204" s="963">
        <f t="shared" ref="X204:X210" si="64">+U204/7*30</f>
        <v>1232.1428571428571</v>
      </c>
      <c r="Y204" s="964"/>
      <c r="Z204" s="965"/>
      <c r="AA204" s="966">
        <v>37.571399999999997</v>
      </c>
      <c r="AB204" s="967"/>
      <c r="AC204" s="967"/>
      <c r="AD204" s="968">
        <f t="shared" ref="AD204:AD210" si="65">+AA204*30</f>
        <v>1127.1419999999998</v>
      </c>
      <c r="AE204" s="968"/>
      <c r="AF204" s="968"/>
      <c r="AG204" s="310"/>
      <c r="AH204" s="104" t="s">
        <v>106</v>
      </c>
      <c r="AI204" s="954" t="s">
        <v>107</v>
      </c>
      <c r="AJ204" s="955"/>
      <c r="AK204" s="955"/>
      <c r="AL204" s="955"/>
      <c r="AM204" s="956"/>
    </row>
    <row r="205" spans="2:41" ht="17.25">
      <c r="C205" s="325">
        <v>2</v>
      </c>
      <c r="D205" s="950" t="s">
        <v>108</v>
      </c>
      <c r="E205" s="950"/>
      <c r="F205" s="950"/>
      <c r="G205" s="950"/>
      <c r="H205" s="950"/>
      <c r="I205" s="951">
        <v>38.5</v>
      </c>
      <c r="J205" s="951"/>
      <c r="K205" s="951"/>
      <c r="L205" s="952">
        <v>1</v>
      </c>
      <c r="M205" s="952"/>
      <c r="N205" s="952"/>
      <c r="O205" s="952">
        <v>2</v>
      </c>
      <c r="P205" s="952"/>
      <c r="Q205" s="952"/>
      <c r="R205" s="938">
        <f t="shared" si="62"/>
        <v>41.5</v>
      </c>
      <c r="S205" s="938"/>
      <c r="T205" s="938"/>
      <c r="U205" s="953">
        <f t="shared" si="63"/>
        <v>287.5</v>
      </c>
      <c r="V205" s="953"/>
      <c r="W205" s="954"/>
      <c r="X205" s="947">
        <f t="shared" si="64"/>
        <v>1232.1428571428571</v>
      </c>
      <c r="Y205" s="948"/>
      <c r="Z205" s="949"/>
      <c r="AA205" s="935">
        <v>35.571399999999997</v>
      </c>
      <c r="AB205" s="936"/>
      <c r="AC205" s="936"/>
      <c r="AD205" s="937">
        <f t="shared" si="65"/>
        <v>1067.1419999999998</v>
      </c>
      <c r="AE205" s="937"/>
      <c r="AF205" s="937"/>
      <c r="AG205" s="310"/>
      <c r="AH205" s="104"/>
      <c r="AI205" s="104"/>
      <c r="AJ205" s="255"/>
      <c r="AK205" s="255"/>
    </row>
    <row r="206" spans="2:41" ht="17.25">
      <c r="C206" s="325">
        <v>3</v>
      </c>
      <c r="D206" s="950" t="s">
        <v>109</v>
      </c>
      <c r="E206" s="950"/>
      <c r="F206" s="950"/>
      <c r="G206" s="950"/>
      <c r="H206" s="950"/>
      <c r="I206" s="951">
        <v>38.5</v>
      </c>
      <c r="J206" s="951"/>
      <c r="K206" s="951"/>
      <c r="L206" s="952">
        <v>1</v>
      </c>
      <c r="M206" s="952"/>
      <c r="N206" s="952"/>
      <c r="O206" s="952">
        <v>2</v>
      </c>
      <c r="P206" s="952"/>
      <c r="Q206" s="952"/>
      <c r="R206" s="938">
        <f t="shared" si="62"/>
        <v>41.5</v>
      </c>
      <c r="S206" s="938"/>
      <c r="T206" s="938"/>
      <c r="U206" s="953">
        <f t="shared" si="63"/>
        <v>287.5</v>
      </c>
      <c r="V206" s="953"/>
      <c r="W206" s="954"/>
      <c r="X206" s="947">
        <f t="shared" si="64"/>
        <v>1232.1428571428571</v>
      </c>
      <c r="Y206" s="948"/>
      <c r="Z206" s="949"/>
      <c r="AA206" s="935">
        <v>32.571399999999997</v>
      </c>
      <c r="AB206" s="936"/>
      <c r="AC206" s="936"/>
      <c r="AD206" s="937">
        <f t="shared" si="65"/>
        <v>977.14199999999994</v>
      </c>
      <c r="AE206" s="937"/>
      <c r="AF206" s="937"/>
      <c r="AG206" s="310"/>
      <c r="AH206" s="104"/>
      <c r="AI206" s="104"/>
      <c r="AJ206" s="255"/>
      <c r="AK206" s="255"/>
    </row>
    <row r="207" spans="2:41" ht="17.25">
      <c r="C207" s="325">
        <v>4</v>
      </c>
      <c r="D207" s="950" t="s">
        <v>110</v>
      </c>
      <c r="E207" s="950"/>
      <c r="F207" s="950"/>
      <c r="G207" s="950"/>
      <c r="H207" s="950"/>
      <c r="I207" s="951">
        <v>35</v>
      </c>
      <c r="J207" s="951"/>
      <c r="K207" s="951"/>
      <c r="L207" s="952">
        <v>1</v>
      </c>
      <c r="M207" s="952"/>
      <c r="N207" s="952"/>
      <c r="O207" s="952">
        <v>2</v>
      </c>
      <c r="P207" s="952"/>
      <c r="Q207" s="952"/>
      <c r="R207" s="938">
        <f t="shared" si="62"/>
        <v>38</v>
      </c>
      <c r="S207" s="938"/>
      <c r="T207" s="938"/>
      <c r="U207" s="953">
        <f t="shared" si="63"/>
        <v>263</v>
      </c>
      <c r="V207" s="953"/>
      <c r="W207" s="954"/>
      <c r="X207" s="947">
        <f t="shared" si="64"/>
        <v>1127.1428571428571</v>
      </c>
      <c r="Y207" s="948"/>
      <c r="Z207" s="949"/>
      <c r="AA207" s="935">
        <v>35.321399999999997</v>
      </c>
      <c r="AB207" s="936"/>
      <c r="AC207" s="936"/>
      <c r="AD207" s="937">
        <f t="shared" si="65"/>
        <v>1059.6419999999998</v>
      </c>
      <c r="AE207" s="937"/>
      <c r="AF207" s="937"/>
      <c r="AG207" s="310"/>
      <c r="AH207" s="104"/>
      <c r="AI207" s="104"/>
      <c r="AJ207" s="255"/>
      <c r="AK207" s="255"/>
    </row>
    <row r="208" spans="2:41" ht="17.25">
      <c r="C208" s="325">
        <v>5</v>
      </c>
      <c r="D208" s="950" t="s">
        <v>111</v>
      </c>
      <c r="E208" s="950"/>
      <c r="F208" s="950"/>
      <c r="G208" s="950"/>
      <c r="H208" s="950"/>
      <c r="I208" s="951">
        <v>33.799999999999997</v>
      </c>
      <c r="J208" s="951"/>
      <c r="K208" s="951"/>
      <c r="L208" s="952">
        <v>1</v>
      </c>
      <c r="M208" s="952"/>
      <c r="N208" s="952"/>
      <c r="O208" s="952">
        <v>2</v>
      </c>
      <c r="P208" s="952"/>
      <c r="Q208" s="952"/>
      <c r="R208" s="938">
        <f t="shared" si="62"/>
        <v>36.799999999999997</v>
      </c>
      <c r="S208" s="938"/>
      <c r="T208" s="938"/>
      <c r="U208" s="953">
        <f t="shared" si="63"/>
        <v>254.59999999999997</v>
      </c>
      <c r="V208" s="953"/>
      <c r="W208" s="954"/>
      <c r="X208" s="947">
        <f t="shared" si="64"/>
        <v>1091.1428571428569</v>
      </c>
      <c r="Y208" s="948"/>
      <c r="Z208" s="949"/>
      <c r="AA208" s="935">
        <v>31.571400000000001</v>
      </c>
      <c r="AB208" s="936"/>
      <c r="AC208" s="936"/>
      <c r="AD208" s="937">
        <f t="shared" si="65"/>
        <v>947.14200000000005</v>
      </c>
      <c r="AE208" s="937"/>
      <c r="AF208" s="937"/>
      <c r="AG208" s="310"/>
      <c r="AH208" s="104"/>
      <c r="AI208" s="104"/>
      <c r="AJ208" s="255"/>
      <c r="AK208" s="255"/>
    </row>
    <row r="209" spans="3:41" ht="17.25">
      <c r="C209" s="325">
        <v>6</v>
      </c>
      <c r="D209" s="950" t="s">
        <v>112</v>
      </c>
      <c r="E209" s="950"/>
      <c r="F209" s="950"/>
      <c r="G209" s="950"/>
      <c r="H209" s="950"/>
      <c r="I209" s="951">
        <v>33.799999999999997</v>
      </c>
      <c r="J209" s="951"/>
      <c r="K209" s="951"/>
      <c r="L209" s="952">
        <v>1</v>
      </c>
      <c r="M209" s="952"/>
      <c r="N209" s="952"/>
      <c r="O209" s="952">
        <v>2</v>
      </c>
      <c r="P209" s="952"/>
      <c r="Q209" s="952"/>
      <c r="R209" s="938">
        <f t="shared" si="62"/>
        <v>36.799999999999997</v>
      </c>
      <c r="S209" s="938"/>
      <c r="T209" s="938"/>
      <c r="U209" s="953">
        <f t="shared" si="63"/>
        <v>254.59999999999997</v>
      </c>
      <c r="V209" s="953"/>
      <c r="W209" s="954"/>
      <c r="X209" s="947">
        <f t="shared" si="64"/>
        <v>1091.1428571428569</v>
      </c>
      <c r="Y209" s="948"/>
      <c r="Z209" s="949"/>
      <c r="AA209" s="935">
        <v>33.333300000000001</v>
      </c>
      <c r="AB209" s="936"/>
      <c r="AC209" s="936"/>
      <c r="AD209" s="937">
        <f t="shared" si="65"/>
        <v>999.99900000000002</v>
      </c>
      <c r="AE209" s="937"/>
      <c r="AF209" s="937"/>
      <c r="AG209" s="310"/>
      <c r="AH209" s="104"/>
      <c r="AI209" s="104"/>
      <c r="AJ209" s="255"/>
      <c r="AK209" s="255"/>
    </row>
    <row r="210" spans="3:41" ht="17.25">
      <c r="C210" s="325">
        <v>7</v>
      </c>
      <c r="D210" s="950" t="s">
        <v>113</v>
      </c>
      <c r="E210" s="950"/>
      <c r="F210" s="950"/>
      <c r="G210" s="950"/>
      <c r="H210" s="950"/>
      <c r="I210" s="951">
        <v>26</v>
      </c>
      <c r="J210" s="951"/>
      <c r="K210" s="951"/>
      <c r="L210" s="952">
        <v>1</v>
      </c>
      <c r="M210" s="952"/>
      <c r="N210" s="952"/>
      <c r="O210" s="952">
        <v>2</v>
      </c>
      <c r="P210" s="952"/>
      <c r="Q210" s="952"/>
      <c r="R210" s="938">
        <f t="shared" si="62"/>
        <v>29</v>
      </c>
      <c r="S210" s="938"/>
      <c r="T210" s="938"/>
      <c r="U210" s="953">
        <f t="shared" si="63"/>
        <v>200</v>
      </c>
      <c r="V210" s="953"/>
      <c r="W210" s="954"/>
      <c r="X210" s="947">
        <f t="shared" si="64"/>
        <v>857.14285714285722</v>
      </c>
      <c r="Y210" s="948"/>
      <c r="Z210" s="949"/>
      <c r="AA210" s="935">
        <v>25</v>
      </c>
      <c r="AB210" s="936"/>
      <c r="AC210" s="936"/>
      <c r="AD210" s="937">
        <f t="shared" si="65"/>
        <v>750</v>
      </c>
      <c r="AE210" s="937"/>
      <c r="AF210" s="937"/>
      <c r="AG210" s="310"/>
      <c r="AH210" s="104"/>
      <c r="AI210" s="104"/>
      <c r="AJ210" s="255"/>
      <c r="AK210" s="255"/>
    </row>
    <row r="211" spans="3:41" ht="17.25">
      <c r="C211" s="323"/>
      <c r="D211" s="278"/>
      <c r="E211" s="279"/>
      <c r="F211" s="280"/>
      <c r="G211" s="226"/>
      <c r="H211" s="226"/>
      <c r="I211" s="280"/>
      <c r="J211" s="226"/>
      <c r="K211" s="275"/>
      <c r="L211" s="275"/>
      <c r="M211" s="226"/>
      <c r="N211" s="226"/>
      <c r="O211" s="226"/>
      <c r="P211" s="226"/>
      <c r="Q211" s="226"/>
      <c r="R211" s="226"/>
      <c r="S211" s="938" t="s">
        <v>23</v>
      </c>
      <c r="T211" s="938"/>
      <c r="U211" s="938"/>
      <c r="V211" s="226"/>
      <c r="W211" s="226"/>
      <c r="X211" s="939">
        <f>SUM(X204:Z210)</f>
        <v>7862.9999999999991</v>
      </c>
      <c r="Y211" s="940"/>
      <c r="Z211" s="941"/>
      <c r="AA211" s="326"/>
      <c r="AB211" s="326"/>
      <c r="AC211" s="326"/>
      <c r="AD211" s="942">
        <f>SUM(AD204:AF210)</f>
        <v>6928.2089999999989</v>
      </c>
      <c r="AE211" s="942"/>
      <c r="AF211" s="942"/>
      <c r="AG211" s="310"/>
      <c r="AH211" s="104"/>
      <c r="AI211" s="104"/>
      <c r="AJ211" s="255"/>
      <c r="AK211" s="255"/>
    </row>
    <row r="212" spans="3:41" ht="15.75" thickBot="1">
      <c r="C212" s="323"/>
      <c r="D212" s="226"/>
      <c r="E212" s="279"/>
      <c r="F212" s="280"/>
      <c r="G212" s="226"/>
      <c r="H212" s="226"/>
      <c r="I212" s="280"/>
      <c r="J212" s="226"/>
      <c r="K212" s="275"/>
      <c r="L212" s="275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104"/>
      <c r="AB212" s="104"/>
      <c r="AC212" s="104"/>
      <c r="AD212" s="104"/>
      <c r="AE212" s="255"/>
      <c r="AF212" s="255"/>
      <c r="AG212" s="310"/>
      <c r="AH212" s="104"/>
      <c r="AI212" s="104"/>
      <c r="AJ212" s="255"/>
      <c r="AK212" s="255"/>
    </row>
    <row r="213" spans="3:41" ht="15.75" thickBot="1">
      <c r="C213" s="323"/>
      <c r="D213" s="226"/>
      <c r="E213" s="279"/>
      <c r="F213" s="280"/>
      <c r="G213" s="226"/>
      <c r="H213" s="226"/>
      <c r="I213" s="280"/>
      <c r="J213" s="226"/>
      <c r="K213" s="275"/>
      <c r="L213" s="943" t="s">
        <v>114</v>
      </c>
      <c r="M213" s="943"/>
      <c r="N213" s="943"/>
      <c r="O213" s="226"/>
      <c r="P213" s="226"/>
      <c r="Q213" s="226"/>
      <c r="R213" s="226"/>
      <c r="S213" s="226"/>
      <c r="T213" s="327" t="s">
        <v>115</v>
      </c>
      <c r="U213" s="226"/>
      <c r="V213" s="226"/>
      <c r="W213" s="226"/>
      <c r="X213" s="226"/>
      <c r="Y213" s="226"/>
      <c r="Z213" s="226"/>
      <c r="AA213" s="104"/>
      <c r="AB213" s="104"/>
      <c r="AC213" s="104"/>
      <c r="AD213" s="944">
        <f>+X211-AD211+0.01</f>
        <v>934.80100000000016</v>
      </c>
      <c r="AE213" s="945"/>
      <c r="AF213" s="946"/>
      <c r="AG213" s="310"/>
      <c r="AH213" s="104"/>
      <c r="AI213" s="104"/>
      <c r="AJ213" s="255"/>
      <c r="AK213" s="255"/>
    </row>
    <row r="214" spans="3:41" ht="15.75" thickBot="1">
      <c r="C214" s="328"/>
      <c r="D214" s="315"/>
      <c r="E214" s="316"/>
      <c r="F214" s="317"/>
      <c r="G214" s="315"/>
      <c r="H214" s="315"/>
      <c r="I214" s="317"/>
      <c r="J214" s="315"/>
      <c r="K214" s="318"/>
      <c r="L214" s="318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Z214" s="315"/>
      <c r="AA214" s="319"/>
      <c r="AB214" s="319"/>
      <c r="AC214" s="319"/>
      <c r="AD214" s="329"/>
      <c r="AE214" s="329"/>
      <c r="AF214" s="329"/>
      <c r="AG214" s="320"/>
      <c r="AH214" s="104"/>
      <c r="AI214" s="104"/>
      <c r="AJ214" s="255"/>
      <c r="AK214" s="255"/>
    </row>
    <row r="215" spans="3:41">
      <c r="AG215" s="173"/>
      <c r="AH215" s="173"/>
      <c r="AI215" s="173"/>
      <c r="AJ215" s="173"/>
      <c r="AK215" s="173"/>
      <c r="AL215" s="173"/>
      <c r="AM215" s="173"/>
      <c r="AN215" s="173"/>
      <c r="AO215" s="173"/>
    </row>
    <row r="216" spans="3:41">
      <c r="AG216" s="173"/>
      <c r="AH216" s="173"/>
      <c r="AI216" s="173"/>
      <c r="AJ216" s="173"/>
      <c r="AK216" s="173"/>
      <c r="AL216" s="173"/>
      <c r="AM216" s="173"/>
      <c r="AN216" s="173"/>
      <c r="AO216" s="173"/>
    </row>
    <row r="217" spans="3:41">
      <c r="AG217" s="173"/>
      <c r="AH217" s="173"/>
      <c r="AI217" s="173"/>
      <c r="AJ217" s="173"/>
      <c r="AK217" s="173"/>
      <c r="AL217" s="173"/>
      <c r="AM217" s="173"/>
      <c r="AN217" s="173"/>
      <c r="AO217" s="173"/>
    </row>
  </sheetData>
  <mergeCells count="582">
    <mergeCell ref="AD211:AF211"/>
    <mergeCell ref="L213:N213"/>
    <mergeCell ref="AD213:AF213"/>
    <mergeCell ref="AD209:AF209"/>
    <mergeCell ref="D210:H210"/>
    <mergeCell ref="I210:K210"/>
    <mergeCell ref="L210:N210"/>
    <mergeCell ref="O210:Q210"/>
    <mergeCell ref="R210:T210"/>
    <mergeCell ref="U210:W210"/>
    <mergeCell ref="X210:Z210"/>
    <mergeCell ref="AA210:AC210"/>
    <mergeCell ref="AD210:AF210"/>
    <mergeCell ref="D209:H209"/>
    <mergeCell ref="I209:K209"/>
    <mergeCell ref="L209:N209"/>
    <mergeCell ref="O209:Q209"/>
    <mergeCell ref="R209:T209"/>
    <mergeCell ref="U209:W209"/>
    <mergeCell ref="X209:Z209"/>
    <mergeCell ref="AA209:AC209"/>
    <mergeCell ref="S211:U211"/>
    <mergeCell ref="X211:Z211"/>
    <mergeCell ref="X207:Z207"/>
    <mergeCell ref="AA207:AC207"/>
    <mergeCell ref="AD207:AF207"/>
    <mergeCell ref="D208:H208"/>
    <mergeCell ref="I208:K208"/>
    <mergeCell ref="L208:N208"/>
    <mergeCell ref="O208:Q208"/>
    <mergeCell ref="R208:T208"/>
    <mergeCell ref="U208:W208"/>
    <mergeCell ref="X208:Z208"/>
    <mergeCell ref="D207:H207"/>
    <mergeCell ref="I207:K207"/>
    <mergeCell ref="L207:N207"/>
    <mergeCell ref="O207:Q207"/>
    <mergeCell ref="R207:T207"/>
    <mergeCell ref="U207:W207"/>
    <mergeCell ref="AA208:AC208"/>
    <mergeCell ref="AD208:AF208"/>
    <mergeCell ref="D206:H206"/>
    <mergeCell ref="I206:K206"/>
    <mergeCell ref="L206:N206"/>
    <mergeCell ref="O206:Q206"/>
    <mergeCell ref="R206:T206"/>
    <mergeCell ref="U206:W206"/>
    <mergeCell ref="X206:Z206"/>
    <mergeCell ref="AA206:AC206"/>
    <mergeCell ref="AD206:AF206"/>
    <mergeCell ref="AI204:AM204"/>
    <mergeCell ref="D205:H205"/>
    <mergeCell ref="I205:K205"/>
    <mergeCell ref="L205:N205"/>
    <mergeCell ref="O205:Q205"/>
    <mergeCell ref="R205:T205"/>
    <mergeCell ref="U205:W205"/>
    <mergeCell ref="X205:Z205"/>
    <mergeCell ref="AA205:AC205"/>
    <mergeCell ref="AD205:AF205"/>
    <mergeCell ref="D204:H204"/>
    <mergeCell ref="I204:K204"/>
    <mergeCell ref="L204:N204"/>
    <mergeCell ref="O204:Q204"/>
    <mergeCell ref="R204:T204"/>
    <mergeCell ref="U204:W204"/>
    <mergeCell ref="X204:Z204"/>
    <mergeCell ref="AA204:AC204"/>
    <mergeCell ref="AD204:AF204"/>
    <mergeCell ref="O197:P197"/>
    <mergeCell ref="AA202:AC202"/>
    <mergeCell ref="AD202:AF202"/>
    <mergeCell ref="D203:H203"/>
    <mergeCell ref="I203:K203"/>
    <mergeCell ref="L203:N203"/>
    <mergeCell ref="O203:Q203"/>
    <mergeCell ref="R203:T203"/>
    <mergeCell ref="U203:W203"/>
    <mergeCell ref="X203:Z203"/>
    <mergeCell ref="AA203:AC203"/>
    <mergeCell ref="AD203:AF203"/>
    <mergeCell ref="O194:P194"/>
    <mergeCell ref="Q194:Z194"/>
    <mergeCell ref="O195:P195"/>
    <mergeCell ref="Q195:Z195"/>
    <mergeCell ref="O196:P196"/>
    <mergeCell ref="Q196:Z196"/>
    <mergeCell ref="AF188:AJ188"/>
    <mergeCell ref="O189:P189"/>
    <mergeCell ref="O191:Z191"/>
    <mergeCell ref="O192:P192"/>
    <mergeCell ref="Q192:Z192"/>
    <mergeCell ref="O193:P193"/>
    <mergeCell ref="Q193:Z193"/>
    <mergeCell ref="AA193:AB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H87:N87"/>
    <mergeCell ref="O89:Z89"/>
    <mergeCell ref="O90:P90"/>
    <mergeCell ref="Q90:Z90"/>
    <mergeCell ref="O91:P91"/>
    <mergeCell ref="Q91:Z91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F83:AH83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AP16:AQ16"/>
  </mergeCells>
  <conditionalFormatting sqref="AP67 AH60 AP60 AH32:AH48 AP32:AP48">
    <cfRule type="cellIs" dxfId="289" priority="16" stopIfTrue="1" operator="lessThanOrEqual">
      <formula>0</formula>
    </cfRule>
  </conditionalFormatting>
  <conditionalFormatting sqref="L227:L228 K198:L198 K227:K230 L230 K158:L159 K215:L218 K179:L179 K85:L141 L79:L81 K79:K83">
    <cfRule type="cellIs" dxfId="288" priority="15" stopIfTrue="1" operator="greaterThanOrEqual">
      <formula>$K$72</formula>
    </cfRule>
  </conditionalFormatting>
  <conditionalFormatting sqref="AR48:AT48 AR46:AT46 AP56:AT57 AR60:AS60 AR43:AS45 AR32:AS32 AR33:AR42 AP22:AT26 AT19:AT21 AP19:AP21 AR19:AR21 AT5 AP11:AT18 AQ20:AQ21 AS20:AS21">
    <cfRule type="cellIs" dxfId="287" priority="14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286" priority="13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285" priority="12" stopIfTrue="1" operator="lessThanOrEqual">
      <formula>0</formula>
    </cfRule>
  </conditionalFormatting>
  <conditionalFormatting sqref="K56:L58 AO56:AO57 AE56:AE57 K60:L60 AE60:AF60 U60:V66 AE58:AF58 U56:V58 K46:L48 AE46:AF48 U46:V54 K44:L44 AE44:AF44 AE45 K45 AE41:AF41 U41:V41 U42:U45 V43:V44 U32:V32 U25:V26 K25:L26 AE32:AF32 AE25:AF26 U24 K22:L23 K24 K32:L32 U22:V23 U33:U40 AE33:AE40 K33:K43 AE14:AF14 K11:L11 AE11:AE13 U11:V11 K17:L17 V17 K12:K16 U12:U21 K18:K21 AO11:AO26 AE15:AE24 AE42:AE43">
    <cfRule type="cellIs" dxfId="284" priority="11" stopIfTrue="1" operator="lessThanOrEqual">
      <formula>0</formula>
    </cfRule>
  </conditionalFormatting>
  <conditionalFormatting sqref="Z49:AA53 Z61:AA66 W85:X85 W74:X83">
    <cfRule type="cellIs" dxfId="283" priority="10" stopIfTrue="1" operator="lessThan">
      <formula>0</formula>
    </cfRule>
  </conditionalFormatting>
  <conditionalFormatting sqref="X49:X53 X61:X66 U85 U74:U83">
    <cfRule type="cellIs" dxfId="282" priority="9" stopIfTrue="1" operator="greaterThan">
      <formula>48</formula>
    </cfRule>
  </conditionalFormatting>
  <conditionalFormatting sqref="C215:C219 C227:D230 C158:D158 D215:D226 C86:D141">
    <cfRule type="cellIs" dxfId="281" priority="8" stopIfTrue="1" operator="lessThan">
      <formula>$C$71</formula>
    </cfRule>
  </conditionalFormatting>
  <conditionalFormatting sqref="AI60:AO60 AI32:AO48">
    <cfRule type="cellIs" dxfId="280" priority="6" stopIfTrue="1" operator="equal">
      <formula>0</formula>
    </cfRule>
    <cfRule type="cellIs" dxfId="279" priority="7" stopIfTrue="1" operator="lessThan">
      <formula>0</formula>
    </cfRule>
  </conditionalFormatting>
  <conditionalFormatting sqref="AT60 AT32:AT45">
    <cfRule type="cellIs" dxfId="278" priority="4" stopIfTrue="1" operator="greaterThan">
      <formula>0</formula>
    </cfRule>
    <cfRule type="cellIs" dxfId="277" priority="5" stopIfTrue="1" operator="lessThan">
      <formula>1</formula>
    </cfRule>
  </conditionalFormatting>
  <conditionalFormatting sqref="K84:L84 K71:L81">
    <cfRule type="cellIs" dxfId="276" priority="3" stopIfTrue="1" operator="greaterThanOrEqual">
      <formula>$K$69</formula>
    </cfRule>
  </conditionalFormatting>
  <conditionalFormatting sqref="AF56:AF57 AF33:AF45 V32:V45 L32:L45 L12:L24 V12:V24 AF11:AF24">
    <cfRule type="cellIs" dxfId="275" priority="1" stopIfTrue="1" operator="equal">
      <formula>0</formula>
    </cfRule>
    <cfRule type="cellIs" dxfId="274" priority="2" stopIfTrue="1" operator="lessThan">
      <formula>0</formula>
    </cfRule>
  </conditionalFormatting>
  <hyperlinks>
    <hyperlink ref="AB76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K37 AT42" formula="1"/>
  </ignoredErrors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17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N13" sqref="AN13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507" customWidth="1"/>
    <col min="5" max="5" width="4.28515625" style="3" customWidth="1"/>
    <col min="6" max="6" width="4.28515625" style="4" customWidth="1"/>
    <col min="7" max="8" width="4.28515625" style="507" customWidth="1"/>
    <col min="9" max="9" width="4.28515625" style="4" customWidth="1"/>
    <col min="10" max="10" width="4.28515625" style="507" customWidth="1"/>
    <col min="11" max="12" width="4.28515625" style="5" customWidth="1"/>
    <col min="13" max="26" width="4.28515625" style="507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43180</v>
      </c>
      <c r="C1" s="507" t="s">
        <v>0</v>
      </c>
      <c r="AN1" s="7"/>
      <c r="AO1" s="7"/>
      <c r="AR1" s="1340">
        <f>+AR46+AT46</f>
        <v>123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43181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507">
        <v>0</v>
      </c>
    </row>
    <row r="5" spans="1:58" ht="10.9" customHeight="1">
      <c r="B5" s="1244" t="s">
        <v>1</v>
      </c>
      <c r="C5" s="1140">
        <v>43174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43175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43176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43177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43174</v>
      </c>
      <c r="AW7" s="1296">
        <f>+M5</f>
        <v>43175</v>
      </c>
      <c r="AX7" s="1296">
        <f>+W5</f>
        <v>43176</v>
      </c>
      <c r="AY7" s="1309">
        <f>+AG5</f>
        <v>43177</v>
      </c>
      <c r="AZ7" s="1296">
        <f>+C26</f>
        <v>43178</v>
      </c>
      <c r="BA7" s="1296">
        <f>+M26</f>
        <v>43179</v>
      </c>
      <c r="BB7" s="1296">
        <f>+W26</f>
        <v>43180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+B71</f>
        <v>Eduardo Segura D.</v>
      </c>
      <c r="C11" s="334">
        <v>8</v>
      </c>
      <c r="D11" s="335">
        <v>16</v>
      </c>
      <c r="E11" s="16">
        <v>1</v>
      </c>
      <c r="F11" s="17">
        <f t="shared" ref="F11:F20" si="1">+D11-C11-E11</f>
        <v>7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-1</v>
      </c>
      <c r="M11" s="336">
        <v>7</v>
      </c>
      <c r="N11" s="335">
        <v>16</v>
      </c>
      <c r="O11" s="16">
        <v>1</v>
      </c>
      <c r="P11" s="17">
        <f t="shared" ref="P11:P20" si="5">+N11-M11-O11</f>
        <v>8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14</v>
      </c>
      <c r="AQ11" s="1298"/>
      <c r="AR11" s="1299">
        <f t="shared" ref="AR11:AR20" si="16">ROUND(BD11*AP11,1)</f>
        <v>63.7</v>
      </c>
      <c r="AS11" s="1300"/>
      <c r="AT11" s="338">
        <f t="shared" ref="AT11:AT24" si="17">IF(AT32&gt;0,AT32*$AT$10,0)</f>
        <v>28</v>
      </c>
      <c r="AV11" s="26">
        <f t="shared" ref="AV11:AV20" si="18">+L11</f>
        <v>-1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63.649999999999991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18</v>
      </c>
      <c r="D12" s="342">
        <v>24</v>
      </c>
      <c r="E12" s="30">
        <v>1</v>
      </c>
      <c r="F12" s="31">
        <f t="shared" si="1"/>
        <v>5</v>
      </c>
      <c r="G12" s="342">
        <v>0</v>
      </c>
      <c r="H12" s="342">
        <v>7</v>
      </c>
      <c r="I12" s="31">
        <f t="shared" si="2"/>
        <v>7</v>
      </c>
      <c r="J12" s="30">
        <v>8</v>
      </c>
      <c r="K12" s="32">
        <f t="shared" si="3"/>
        <v>8</v>
      </c>
      <c r="L12" s="20">
        <f t="shared" si="4"/>
        <v>4</v>
      </c>
      <c r="M12" s="508">
        <v>7</v>
      </c>
      <c r="N12" s="342">
        <v>19</v>
      </c>
      <c r="O12" s="30">
        <v>1</v>
      </c>
      <c r="P12" s="31">
        <f t="shared" si="5"/>
        <v>11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3</v>
      </c>
      <c r="W12" s="342">
        <v>7</v>
      </c>
      <c r="X12" s="342">
        <v>19</v>
      </c>
      <c r="Y12" s="30">
        <v>1</v>
      </c>
      <c r="Z12" s="31">
        <f t="shared" si="9"/>
        <v>11</v>
      </c>
      <c r="AA12" s="344"/>
      <c r="AB12" s="348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3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12</v>
      </c>
      <c r="AQ12" s="1283"/>
      <c r="AR12" s="1284">
        <f t="shared" si="16"/>
        <v>61.6</v>
      </c>
      <c r="AS12" s="1285"/>
      <c r="AT12" s="345">
        <f t="shared" si="17"/>
        <v>24</v>
      </c>
      <c r="AV12" s="26">
        <f t="shared" si="18"/>
        <v>4</v>
      </c>
      <c r="AW12" s="26">
        <f t="shared" si="19"/>
        <v>3</v>
      </c>
      <c r="AX12" s="26">
        <f t="shared" si="20"/>
        <v>3</v>
      </c>
      <c r="AY12" s="27">
        <f t="shared" si="21"/>
        <v>0</v>
      </c>
      <c r="AZ12" s="26">
        <f t="shared" si="22"/>
        <v>2</v>
      </c>
      <c r="BA12" s="26">
        <f t="shared" si="23"/>
        <v>0</v>
      </c>
      <c r="BB12" s="26">
        <f t="shared" si="24"/>
        <v>0</v>
      </c>
      <c r="BC12" s="28"/>
      <c r="BD12" s="339">
        <f t="shared" si="25"/>
        <v>5.1339285714285712</v>
      </c>
      <c r="BE12" s="340">
        <f t="shared" si="26"/>
        <v>61.607142857142854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508">
        <v>7</v>
      </c>
      <c r="N13" s="342">
        <v>12</v>
      </c>
      <c r="O13" s="30">
        <v>0</v>
      </c>
      <c r="P13" s="31">
        <f t="shared" si="5"/>
        <v>5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-3</v>
      </c>
      <c r="W13" s="342">
        <v>7</v>
      </c>
      <c r="X13" s="342">
        <v>18</v>
      </c>
      <c r="Y13" s="30">
        <v>1</v>
      </c>
      <c r="Z13" s="31">
        <f t="shared" si="9"/>
        <v>10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2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>
        <v>4</v>
      </c>
      <c r="AO13" s="40">
        <f t="shared" si="14"/>
        <v>0</v>
      </c>
      <c r="AP13" s="1282">
        <f t="shared" si="15"/>
        <v>0</v>
      </c>
      <c r="AQ13" s="1283"/>
      <c r="AR13" s="1284">
        <f t="shared" si="16"/>
        <v>0</v>
      </c>
      <c r="AS13" s="1285"/>
      <c r="AT13" s="345">
        <f t="shared" si="17"/>
        <v>24</v>
      </c>
      <c r="AV13" s="26">
        <f t="shared" si="18"/>
        <v>2</v>
      </c>
      <c r="AW13" s="26">
        <f t="shared" si="19"/>
        <v>-3</v>
      </c>
      <c r="AX13" s="26">
        <f t="shared" si="20"/>
        <v>2</v>
      </c>
      <c r="AY13" s="27">
        <f t="shared" si="21"/>
        <v>0</v>
      </c>
      <c r="AZ13" s="26">
        <f t="shared" si="22"/>
        <v>1</v>
      </c>
      <c r="BA13" s="26">
        <f t="shared" si="23"/>
        <v>2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0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18</v>
      </c>
      <c r="D14" s="346">
        <v>24</v>
      </c>
      <c r="E14" s="42">
        <v>1</v>
      </c>
      <c r="F14" s="44">
        <f t="shared" si="1"/>
        <v>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4</v>
      </c>
      <c r="M14" s="347">
        <v>7</v>
      </c>
      <c r="N14" s="346">
        <v>19</v>
      </c>
      <c r="O14" s="42">
        <v>1</v>
      </c>
      <c r="P14" s="44">
        <f t="shared" si="5"/>
        <v>11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3</v>
      </c>
      <c r="W14" s="347">
        <v>7</v>
      </c>
      <c r="X14" s="346">
        <v>19</v>
      </c>
      <c r="Y14" s="42">
        <v>1</v>
      </c>
      <c r="Z14" s="44">
        <f t="shared" si="9"/>
        <v>11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3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14</v>
      </c>
      <c r="AQ14" s="1283"/>
      <c r="AR14" s="1284">
        <f t="shared" si="16"/>
        <v>58.3</v>
      </c>
      <c r="AS14" s="1285"/>
      <c r="AT14" s="345">
        <f t="shared" si="17"/>
        <v>24</v>
      </c>
      <c r="AV14" s="26">
        <f t="shared" si="18"/>
        <v>4</v>
      </c>
      <c r="AW14" s="26">
        <f t="shared" si="19"/>
        <v>3</v>
      </c>
      <c r="AX14" s="26">
        <f t="shared" si="20"/>
        <v>3</v>
      </c>
      <c r="AY14" s="27">
        <f t="shared" si="21"/>
        <v>0</v>
      </c>
      <c r="AZ14" s="26">
        <f t="shared" si="22"/>
        <v>1</v>
      </c>
      <c r="BA14" s="26">
        <f t="shared" si="23"/>
        <v>1</v>
      </c>
      <c r="BB14" s="26">
        <f t="shared" si="24"/>
        <v>2</v>
      </c>
      <c r="BC14" s="28"/>
      <c r="BD14" s="339">
        <f t="shared" si="25"/>
        <v>4.1666785714285712</v>
      </c>
      <c r="BE14" s="340">
        <f t="shared" si="26"/>
        <v>58.333500000000001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16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508"/>
      <c r="N15" s="342"/>
      <c r="O15" s="30"/>
      <c r="P15" s="31">
        <f t="shared" si="5"/>
        <v>0</v>
      </c>
      <c r="Q15" s="33"/>
      <c r="R15" s="346"/>
      <c r="S15" s="31">
        <f t="shared" si="6"/>
        <v>0</v>
      </c>
      <c r="T15" s="30"/>
      <c r="U15" s="32">
        <f t="shared" si="7"/>
        <v>0</v>
      </c>
      <c r="V15" s="20">
        <f t="shared" si="8"/>
        <v>0</v>
      </c>
      <c r="W15" s="342">
        <v>8</v>
      </c>
      <c r="X15" s="342">
        <v>19</v>
      </c>
      <c r="Y15" s="30">
        <v>1</v>
      </c>
      <c r="Z15" s="31">
        <f t="shared" si="9"/>
        <v>10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2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6</v>
      </c>
      <c r="AQ15" s="1295"/>
      <c r="AR15" s="1284">
        <f t="shared" si="16"/>
        <v>30.8</v>
      </c>
      <c r="AS15" s="1285"/>
      <c r="AT15" s="345">
        <f t="shared" si="17"/>
        <v>20</v>
      </c>
      <c r="AV15" s="26">
        <f t="shared" si="18"/>
        <v>0</v>
      </c>
      <c r="AW15" s="26">
        <f t="shared" si="19"/>
        <v>0</v>
      </c>
      <c r="AX15" s="26">
        <f t="shared" si="20"/>
        <v>2</v>
      </c>
      <c r="AY15" s="27">
        <f t="shared" si="21"/>
        <v>0</v>
      </c>
      <c r="AZ15" s="26">
        <f t="shared" si="22"/>
        <v>2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30.803571428571427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-2</v>
      </c>
      <c r="AQ16" s="1283"/>
      <c r="AR16" s="1284">
        <f>ROUND(BD16*AP16,1)</f>
        <v>-10.3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-1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-1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>Antony Tejada Ch.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>
        <v>7</v>
      </c>
      <c r="X17" s="342">
        <v>17</v>
      </c>
      <c r="Y17" s="30">
        <v>1</v>
      </c>
      <c r="Z17" s="44">
        <f>+X17-W17-Y17</f>
        <v>9</v>
      </c>
      <c r="AA17" s="346"/>
      <c r="AB17" s="344"/>
      <c r="AC17" s="31">
        <f>+AB17-AA17</f>
        <v>0</v>
      </c>
      <c r="AD17" s="30"/>
      <c r="AE17" s="32">
        <f>+AC17+Z17-IF(AE$5&gt;0,AF17/2,AF17)</f>
        <v>8</v>
      </c>
      <c r="AF17" s="20">
        <f t="shared" ref="AF17:AF24" si="28">IF(W17&gt;0,IF(AE$5&gt;0,(Z17+AC17)*2,(Z17+AC17-8)),0)*IF(Z17&lt;9,IF(AE$5&gt;0,1,2),1)+IF(Z17&gt;8,AC17,0)</f>
        <v>1</v>
      </c>
      <c r="AG17" s="37">
        <v>8</v>
      </c>
      <c r="AH17" s="342">
        <v>16</v>
      </c>
      <c r="AI17" s="30">
        <v>1</v>
      </c>
      <c r="AJ17" s="38">
        <f t="shared" si="12"/>
        <v>7</v>
      </c>
      <c r="AK17" s="342"/>
      <c r="AL17" s="342"/>
      <c r="AM17" s="31">
        <f t="shared" si="13"/>
        <v>0</v>
      </c>
      <c r="AN17" s="39"/>
      <c r="AO17" s="40">
        <f t="shared" si="14"/>
        <v>14</v>
      </c>
      <c r="AP17" s="1282">
        <f t="shared" si="15"/>
        <v>15</v>
      </c>
      <c r="AQ17" s="1283"/>
      <c r="AR17" s="1284">
        <f t="shared" si="16"/>
        <v>55.4</v>
      </c>
      <c r="AS17" s="1285"/>
      <c r="AT17" s="345">
        <f t="shared" si="17"/>
        <v>16</v>
      </c>
      <c r="AV17" s="26">
        <f t="shared" si="18"/>
        <v>0</v>
      </c>
      <c r="AW17" s="26">
        <f t="shared" si="19"/>
        <v>0</v>
      </c>
      <c r="AX17" s="26">
        <f t="shared" si="20"/>
        <v>1</v>
      </c>
      <c r="AY17" s="27">
        <f t="shared" si="21"/>
        <v>14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55.446428571428577</v>
      </c>
      <c r="BF17" s="350">
        <f t="shared" si="27"/>
        <v>51.75</v>
      </c>
    </row>
    <row r="18" spans="1:58" ht="14.1" customHeight="1">
      <c r="A18" s="1">
        <v>8</v>
      </c>
      <c r="B18" s="512" t="str">
        <f t="shared" ref="B18:B24" si="29">+B78</f>
        <v>Pedro Hostos S,</v>
      </c>
      <c r="C18" s="334">
        <v>7</v>
      </c>
      <c r="D18" s="342">
        <v>17</v>
      </c>
      <c r="E18" s="30">
        <v>1</v>
      </c>
      <c r="F18" s="31">
        <f>+D18-C18-E18</f>
        <v>9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1</v>
      </c>
      <c r="M18" s="342">
        <v>7</v>
      </c>
      <c r="N18" s="342">
        <v>17</v>
      </c>
      <c r="O18" s="30">
        <v>1</v>
      </c>
      <c r="P18" s="31">
        <f>+N18-M18-O18</f>
        <v>9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1</v>
      </c>
      <c r="W18" s="30">
        <v>7</v>
      </c>
      <c r="X18" s="342">
        <v>17</v>
      </c>
      <c r="Y18" s="30">
        <v>1</v>
      </c>
      <c r="Z18" s="31">
        <f>+X18-W18-Y18</f>
        <v>9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1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7</v>
      </c>
      <c r="AQ18" s="1283"/>
      <c r="AR18" s="1284">
        <f t="shared" si="16"/>
        <v>24.8</v>
      </c>
      <c r="AS18" s="1285"/>
      <c r="AT18" s="345">
        <f t="shared" si="17"/>
        <v>24</v>
      </c>
      <c r="AV18" s="26">
        <f t="shared" si="18"/>
        <v>1</v>
      </c>
      <c r="AW18" s="26">
        <f t="shared" si="19"/>
        <v>1</v>
      </c>
      <c r="AX18" s="26">
        <f t="shared" si="20"/>
        <v>1</v>
      </c>
      <c r="AY18" s="27">
        <f t="shared" si="21"/>
        <v>0</v>
      </c>
      <c r="AZ18" s="26">
        <f t="shared" si="22"/>
        <v>2</v>
      </c>
      <c r="BA18" s="26">
        <f t="shared" si="23"/>
        <v>1</v>
      </c>
      <c r="BB18" s="26">
        <f t="shared" si="24"/>
        <v>1</v>
      </c>
      <c r="BC18" s="28"/>
      <c r="BD18" s="339">
        <f>+I78</f>
        <v>3.5416660714285717</v>
      </c>
      <c r="BE18" s="349">
        <f t="shared" si="26"/>
        <v>24.791662500000001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29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29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540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515" t="str">
        <f t="shared" si="29"/>
        <v>Eddie Uchupe C.</v>
      </c>
      <c r="C21" s="520">
        <v>8</v>
      </c>
      <c r="D21" s="516">
        <v>17</v>
      </c>
      <c r="E21" s="516">
        <v>1</v>
      </c>
      <c r="F21" s="517">
        <f>+D21-C21-E21</f>
        <v>8</v>
      </c>
      <c r="G21" s="516"/>
      <c r="H21" s="516"/>
      <c r="I21" s="517">
        <f>+H21-G21</f>
        <v>0</v>
      </c>
      <c r="J21" s="516"/>
      <c r="K21" s="517">
        <f>+I21+F21-L21</f>
        <v>8</v>
      </c>
      <c r="L21" s="518">
        <f t="shared" si="4"/>
        <v>0</v>
      </c>
      <c r="M21" s="533">
        <v>7</v>
      </c>
      <c r="N21" s="516">
        <v>17</v>
      </c>
      <c r="O21" s="516">
        <v>1</v>
      </c>
      <c r="P21" s="517">
        <f>+N21-M21-O21</f>
        <v>9</v>
      </c>
      <c r="Q21" s="516"/>
      <c r="R21" s="516"/>
      <c r="S21" s="517">
        <f>+R21-Q21</f>
        <v>0</v>
      </c>
      <c r="T21" s="516"/>
      <c r="U21" s="517">
        <f>+S21+P21-V21</f>
        <v>8</v>
      </c>
      <c r="V21" s="518">
        <f>IF(M21&gt;0,(P21+S21)+IF(U$5&gt;0,P21,-8),0)+IF(AE$5&gt;0,S21,0)</f>
        <v>1</v>
      </c>
      <c r="W21" s="516">
        <v>7</v>
      </c>
      <c r="X21" s="516">
        <v>16</v>
      </c>
      <c r="Y21" s="516">
        <v>1</v>
      </c>
      <c r="Z21" s="517">
        <f>+X21-W21-Y21</f>
        <v>8</v>
      </c>
      <c r="AA21" s="516"/>
      <c r="AB21" s="534"/>
      <c r="AC21" s="517">
        <f>+AB21-AA21</f>
        <v>0</v>
      </c>
      <c r="AD21" s="516"/>
      <c r="AE21" s="517">
        <f>+AC21+Z21-IF(AE$5&gt;0,AF21/2,AF21)</f>
        <v>8</v>
      </c>
      <c r="AF21" s="518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3</v>
      </c>
      <c r="AQ21" s="1275"/>
      <c r="AR21" s="1276">
        <f>ROUND(BD21*AP21,1)</f>
        <v>13.7</v>
      </c>
      <c r="AS21" s="1277"/>
      <c r="AT21" s="537">
        <f t="shared" si="17"/>
        <v>24</v>
      </c>
      <c r="AU21" s="55"/>
      <c r="AV21" s="538">
        <f>+L21</f>
        <v>0</v>
      </c>
      <c r="AW21" s="538">
        <f>+V21</f>
        <v>1</v>
      </c>
      <c r="AX21" s="538">
        <f>+AF21</f>
        <v>0</v>
      </c>
      <c r="AY21" s="538">
        <f>+AO21</f>
        <v>0</v>
      </c>
      <c r="AZ21" s="538">
        <f>+L42</f>
        <v>1</v>
      </c>
      <c r="BA21" s="538">
        <f>+V42</f>
        <v>0</v>
      </c>
      <c r="BB21" s="538">
        <f>+AF42</f>
        <v>1</v>
      </c>
      <c r="BC21" s="28"/>
      <c r="BD21" s="539">
        <f>+I81</f>
        <v>4.583328571428571</v>
      </c>
      <c r="BE21" s="539">
        <f>+BD21*AP21</f>
        <v>13.749985714285714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29"/>
        <v>Jose Cortez P.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509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28"/>
        <v>0</v>
      </c>
      <c r="AG22" s="75"/>
      <c r="AH22" s="75"/>
      <c r="AI22" s="75"/>
      <c r="AJ22" s="79">
        <f t="shared" si="12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290">
        <f t="shared" si="15"/>
        <v>1</v>
      </c>
      <c r="AQ22" s="1291"/>
      <c r="AR22" s="1292">
        <f>ROUND(BD22*AP22,1)</f>
        <v>3.5</v>
      </c>
      <c r="AS22" s="1293"/>
      <c r="AT22" s="488">
        <f t="shared" si="17"/>
        <v>4</v>
      </c>
      <c r="AV22" s="69">
        <f>+L22</f>
        <v>0</v>
      </c>
      <c r="AW22" s="69">
        <f>+V22</f>
        <v>0</v>
      </c>
      <c r="AX22" s="69">
        <f>+AF22</f>
        <v>0</v>
      </c>
      <c r="AY22" s="70">
        <f>+AO22</f>
        <v>0</v>
      </c>
      <c r="AZ22" s="69">
        <f>+L43</f>
        <v>0</v>
      </c>
      <c r="BA22" s="69">
        <f>+V43</f>
        <v>0</v>
      </c>
      <c r="BB22" s="69">
        <f>+AF43</f>
        <v>1</v>
      </c>
      <c r="BC22" s="28"/>
      <c r="BD22" s="339">
        <f>+I82</f>
        <v>3.5416625000000002</v>
      </c>
      <c r="BE22" s="351">
        <f>+BD22*AP22</f>
        <v>3.5416625000000002</v>
      </c>
      <c r="BF22" s="352">
        <f>+BD22*AY22</f>
        <v>0</v>
      </c>
    </row>
    <row r="23" spans="1:58" s="55" customFormat="1" ht="14.1" customHeight="1">
      <c r="A23" s="50"/>
      <c r="B23" s="85" t="str">
        <f t="shared" si="29"/>
        <v xml:space="preserve"> </v>
      </c>
      <c r="C23" s="86"/>
      <c r="D23" s="87"/>
      <c r="E23" s="87"/>
      <c r="F23" s="88">
        <f>+D23-C23-E23</f>
        <v>0</v>
      </c>
      <c r="G23" s="87"/>
      <c r="H23" s="87"/>
      <c r="I23" s="88">
        <f>+H23-G23</f>
        <v>0</v>
      </c>
      <c r="J23" s="87"/>
      <c r="K23" s="88">
        <f>+I23+F23-L23</f>
        <v>0</v>
      </c>
      <c r="L23" s="89">
        <f t="shared" si="4"/>
        <v>0</v>
      </c>
      <c r="M23" s="90"/>
      <c r="N23" s="87"/>
      <c r="O23" s="87"/>
      <c r="P23" s="88">
        <f>+N23-M23-O23</f>
        <v>0</v>
      </c>
      <c r="Q23" s="87"/>
      <c r="R23" s="87"/>
      <c r="S23" s="88">
        <f>+R23-Q23</f>
        <v>0</v>
      </c>
      <c r="T23" s="87"/>
      <c r="U23" s="88">
        <f>+S23+P23-V23</f>
        <v>0</v>
      </c>
      <c r="V23" s="89">
        <f>IF(M23&gt;0,(P23+S23)+IF(U$5&gt;0,P23,-8),0)+IF(AE$5&gt;0,S23,0)</f>
        <v>0</v>
      </c>
      <c r="W23" s="87"/>
      <c r="X23" s="87"/>
      <c r="Y23" s="87"/>
      <c r="Z23" s="88">
        <f>+X23-W23-Y23</f>
        <v>0</v>
      </c>
      <c r="AA23" s="87"/>
      <c r="AB23" s="91"/>
      <c r="AC23" s="88">
        <f>+AB23-AA23</f>
        <v>0</v>
      </c>
      <c r="AD23" s="87"/>
      <c r="AE23" s="88">
        <f>+AC23+Z23-IF(AE$5&gt;0,AF23/2,AF23)</f>
        <v>0</v>
      </c>
      <c r="AF23" s="89">
        <f t="shared" si="28"/>
        <v>0</v>
      </c>
      <c r="AG23" s="87"/>
      <c r="AH23" s="87"/>
      <c r="AI23" s="87"/>
      <c r="AJ23" s="92">
        <f t="shared" si="12"/>
        <v>0</v>
      </c>
      <c r="AK23" s="87"/>
      <c r="AL23" s="87"/>
      <c r="AM23" s="88">
        <f>+AL23-AK23</f>
        <v>0</v>
      </c>
      <c r="AN23" s="93"/>
      <c r="AO23" s="94">
        <f>(AJ23*2+AM23)</f>
        <v>0</v>
      </c>
      <c r="AP23" s="1282">
        <f t="shared" si="15"/>
        <v>0</v>
      </c>
      <c r="AQ23" s="1283"/>
      <c r="AR23" s="1272">
        <f>ROUND(BD23*AP23,1)</f>
        <v>0</v>
      </c>
      <c r="AS23" s="1273"/>
      <c r="AT23" s="359">
        <f t="shared" si="17"/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+L44</f>
        <v>0</v>
      </c>
      <c r="BA23" s="69">
        <f>+V44</f>
        <v>0</v>
      </c>
      <c r="BB23" s="69">
        <f>+AF44</f>
        <v>0</v>
      </c>
      <c r="BC23" s="54"/>
      <c r="BD23" s="339">
        <f>+I83</f>
        <v>0</v>
      </c>
      <c r="BE23" s="351">
        <f>+BD23*AP23</f>
        <v>0</v>
      </c>
      <c r="BF23" s="352">
        <f>+BD23*AY23</f>
        <v>0</v>
      </c>
    </row>
    <row r="24" spans="1:58" ht="14.1" customHeight="1" thickBot="1">
      <c r="B24" s="95" t="str">
        <f t="shared" si="29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2.0833333333333335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301.65609642857129</v>
      </c>
      <c r="BF25" s="1242">
        <f>SUM(BF11:BF24)</f>
        <v>124.49285714285713</v>
      </c>
    </row>
    <row r="26" spans="1:58" ht="10.9" customHeight="1">
      <c r="B26" s="1244" t="s">
        <v>1</v>
      </c>
      <c r="C26" s="1140">
        <f>1+AG5</f>
        <v>43178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43179</v>
      </c>
      <c r="N26" s="1148"/>
      <c r="O26" s="1148"/>
      <c r="P26" s="1148"/>
      <c r="Q26" s="1148"/>
      <c r="R26" s="1148"/>
      <c r="S26" s="1148"/>
      <c r="T26" s="1149"/>
      <c r="U26" s="1153"/>
      <c r="V26" s="1154"/>
      <c r="W26" s="1140">
        <f>1+M26</f>
        <v>43180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43174</v>
      </c>
      <c r="AJ26" s="1218">
        <f t="shared" ref="AJ26:AO26" si="30">1+AI26</f>
        <v>43175</v>
      </c>
      <c r="AK26" s="1218">
        <f t="shared" si="30"/>
        <v>43176</v>
      </c>
      <c r="AL26" s="1219">
        <f t="shared" si="30"/>
        <v>43177</v>
      </c>
      <c r="AM26" s="1219">
        <f t="shared" si="30"/>
        <v>43178</v>
      </c>
      <c r="AN26" s="1220">
        <f t="shared" si="30"/>
        <v>43179</v>
      </c>
      <c r="AO26" s="1220">
        <f t="shared" si="30"/>
        <v>43180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43177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155"/>
      <c r="V27" s="1156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74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44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0" si="31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2">+D32-C32-E32</f>
        <v>8</v>
      </c>
      <c r="G32" s="33"/>
      <c r="H32" s="47"/>
      <c r="I32" s="31">
        <f t="shared" ref="I32:I45" si="33">+H32-G32</f>
        <v>0</v>
      </c>
      <c r="J32" s="30"/>
      <c r="K32" s="32">
        <f t="shared" ref="K32:K45" si="34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5">+N32-M32-O32</f>
        <v>8</v>
      </c>
      <c r="Q32" s="106"/>
      <c r="R32" s="107"/>
      <c r="S32" s="31">
        <f t="shared" ref="S32:S45" si="36">+R32-Q32</f>
        <v>0</v>
      </c>
      <c r="T32" s="30"/>
      <c r="U32" s="32">
        <f t="shared" ref="U32:U45" si="37">+S32+P32-V32</f>
        <v>8</v>
      </c>
      <c r="V32" s="20">
        <f t="shared" ref="V32:V45" si="38">IF(M32&gt;0,(P32+S32)+IF(U$27&gt;0,P32,-8),0)+IF(AE$27&gt;0,S32,0)</f>
        <v>0</v>
      </c>
      <c r="W32" s="369">
        <v>8</v>
      </c>
      <c r="X32" s="370">
        <v>16</v>
      </c>
      <c r="Y32" s="108">
        <v>1</v>
      </c>
      <c r="Z32" s="109">
        <f t="shared" ref="Z32:Z45" si="39">+X32-W32-Y32</f>
        <v>7</v>
      </c>
      <c r="AA32" s="370"/>
      <c r="AB32" s="18"/>
      <c r="AC32" s="109">
        <f t="shared" ref="AC32:AC45" si="40">+AB32-AA32</f>
        <v>0</v>
      </c>
      <c r="AD32" s="108"/>
      <c r="AE32" s="110">
        <f t="shared" ref="AE32:AE45" si="41">+AC32+Z32-AF32</f>
        <v>8</v>
      </c>
      <c r="AF32" s="111">
        <f t="shared" ref="AF32:AF45" si="42">IF(W32&gt;0,(Z32+AC32)+IF(AE$26&gt;0,0+Z32,-8),0)</f>
        <v>-1</v>
      </c>
      <c r="AG32" s="55"/>
      <c r="AH32" s="112">
        <v>0</v>
      </c>
      <c r="AI32" s="113">
        <f t="shared" ref="AI32:AI40" si="43">+K11+(IF(ISBLANK($K$5),-8,0))</f>
        <v>0</v>
      </c>
      <c r="AJ32" s="113">
        <f t="shared" ref="AJ32:AJ40" si="44">IF(ISBLANK($U$5),-8,0)+U11</f>
        <v>0</v>
      </c>
      <c r="AK32" s="113">
        <f>IF(ISBLANK($AE$5),-8,0)+AE11</f>
        <v>0</v>
      </c>
      <c r="AL32" s="113">
        <f t="shared" ref="AL32:AL45" si="45">IF(ISBLANK($AO$5),-8,0)+AO11+AW32</f>
        <v>0</v>
      </c>
      <c r="AM32" s="113">
        <f t="shared" ref="AM32:AM45" si="46">IF(ISBLANK($K$26),-8,0)+K32</f>
        <v>0</v>
      </c>
      <c r="AN32" s="113">
        <f t="shared" ref="AN32:AN45" si="47">IF(ISBLANK($U$26),-8,0)+U32</f>
        <v>0</v>
      </c>
      <c r="AO32" s="113">
        <f t="shared" ref="AO32:AO45" si="48">IF(ISBLANK($AE$26),-8,0)+AE32</f>
        <v>0</v>
      </c>
      <c r="AP32" s="114">
        <f t="shared" ref="AP32:AP45" si="49">SUM(AH32:AO32)</f>
        <v>0</v>
      </c>
      <c r="AQ32" s="55"/>
      <c r="AR32" s="1159">
        <f t="shared" ref="AR32:AR38" si="50">+X71*Q71</f>
        <v>0</v>
      </c>
      <c r="AS32" s="1197"/>
      <c r="AT32" s="117">
        <f t="shared" ref="AT32:AT41" si="51">IF(K11+L11&gt;0,1,0)+IF(U11+V11&gt;0,1,0)+IF(AE11+AF11&gt;0,1,0)+IF(AO11&gt;3,1,0)+IF(K32+L32&gt;0,1,0)+IF(U32+V32&gt;0,1,0)+IF(AE32+AF32&gt;0,1,0)</f>
        <v>7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1"/>
        <v>Cesar Mendez M.</v>
      </c>
      <c r="C33" s="334">
        <v>7</v>
      </c>
      <c r="D33" s="342">
        <v>18</v>
      </c>
      <c r="E33" s="30">
        <v>1</v>
      </c>
      <c r="F33" s="31">
        <f t="shared" si="32"/>
        <v>10</v>
      </c>
      <c r="G33" s="33"/>
      <c r="H33" s="346"/>
      <c r="I33" s="31">
        <f t="shared" si="33"/>
        <v>0</v>
      </c>
      <c r="J33" s="30"/>
      <c r="K33" s="32">
        <f t="shared" si="34"/>
        <v>8</v>
      </c>
      <c r="L33" s="20">
        <f>IF(C33&gt;0,(F33+I33)+IF(K$26&gt;0,F33,-8),0)+IF(U$26&gt;0,I33,0)</f>
        <v>2</v>
      </c>
      <c r="M33" s="342">
        <v>7</v>
      </c>
      <c r="N33" s="342">
        <v>16</v>
      </c>
      <c r="O33" s="30">
        <v>1</v>
      </c>
      <c r="P33" s="31">
        <f t="shared" si="35"/>
        <v>8</v>
      </c>
      <c r="Q33" s="346"/>
      <c r="R33" s="346"/>
      <c r="S33" s="31">
        <f t="shared" si="36"/>
        <v>0</v>
      </c>
      <c r="T33" s="30"/>
      <c r="U33" s="32">
        <f t="shared" si="37"/>
        <v>8</v>
      </c>
      <c r="V33" s="20">
        <f t="shared" si="38"/>
        <v>0</v>
      </c>
      <c r="W33" s="334">
        <v>7</v>
      </c>
      <c r="X33" s="342">
        <v>16</v>
      </c>
      <c r="Y33" s="30">
        <v>1</v>
      </c>
      <c r="Z33" s="31">
        <f t="shared" si="39"/>
        <v>8</v>
      </c>
      <c r="AA33" s="342"/>
      <c r="AB33" s="346"/>
      <c r="AC33" s="31">
        <f t="shared" si="40"/>
        <v>0</v>
      </c>
      <c r="AD33" s="30"/>
      <c r="AE33" s="32">
        <f t="shared" si="41"/>
        <v>8</v>
      </c>
      <c r="AF33" s="20">
        <f t="shared" si="42"/>
        <v>0</v>
      </c>
      <c r="AG33" s="55"/>
      <c r="AH33" s="112">
        <v>0</v>
      </c>
      <c r="AI33" s="113">
        <f t="shared" si="43"/>
        <v>0</v>
      </c>
      <c r="AJ33" s="113">
        <f t="shared" si="44"/>
        <v>0</v>
      </c>
      <c r="AK33" s="113">
        <f>IF(ISBLANK($AE$5),-8,0)+AE12</f>
        <v>0</v>
      </c>
      <c r="AL33" s="113">
        <f t="shared" si="45"/>
        <v>0</v>
      </c>
      <c r="AM33" s="113">
        <f t="shared" si="46"/>
        <v>0</v>
      </c>
      <c r="AN33" s="113">
        <f t="shared" si="47"/>
        <v>0</v>
      </c>
      <c r="AO33" s="113">
        <f t="shared" si="48"/>
        <v>0</v>
      </c>
      <c r="AP33" s="114">
        <f t="shared" si="49"/>
        <v>0</v>
      </c>
      <c r="AQ33" s="55"/>
      <c r="AR33" s="1159">
        <f t="shared" si="50"/>
        <v>-2.8214285714285694</v>
      </c>
      <c r="AS33" s="1160"/>
      <c r="AT33" s="117">
        <f t="shared" si="51"/>
        <v>6</v>
      </c>
      <c r="AU33" s="55"/>
      <c r="AV33" s="55"/>
      <c r="AW33" s="1134"/>
      <c r="AX33" s="1135"/>
    </row>
    <row r="34" spans="1:56" ht="14.1" customHeight="1">
      <c r="B34" s="29" t="str">
        <f t="shared" si="31"/>
        <v>Miguel Tejada Ll.</v>
      </c>
      <c r="C34" s="334">
        <v>7</v>
      </c>
      <c r="D34" s="342">
        <v>17</v>
      </c>
      <c r="E34" s="30">
        <v>1</v>
      </c>
      <c r="F34" s="31">
        <f t="shared" si="32"/>
        <v>9</v>
      </c>
      <c r="G34" s="346"/>
      <c r="H34" s="346"/>
      <c r="I34" s="31">
        <f t="shared" si="33"/>
        <v>0</v>
      </c>
      <c r="J34" s="30"/>
      <c r="K34" s="32">
        <f t="shared" si="34"/>
        <v>8</v>
      </c>
      <c r="L34" s="20">
        <f t="shared" ref="L34:L45" si="52">IF(C34&gt;0,(F34+I34)+IF(K$26&gt;0,F34,-8),0)+IF(U$26&gt;0,I34,0)</f>
        <v>1</v>
      </c>
      <c r="M34" s="334">
        <v>7</v>
      </c>
      <c r="N34" s="342">
        <v>18</v>
      </c>
      <c r="O34" s="30">
        <v>1</v>
      </c>
      <c r="P34" s="31">
        <f t="shared" si="35"/>
        <v>10</v>
      </c>
      <c r="Q34" s="106"/>
      <c r="R34" s="106"/>
      <c r="S34" s="31">
        <f t="shared" si="36"/>
        <v>0</v>
      </c>
      <c r="T34" s="30"/>
      <c r="U34" s="32">
        <f t="shared" si="37"/>
        <v>8</v>
      </c>
      <c r="V34" s="20">
        <f t="shared" si="38"/>
        <v>2</v>
      </c>
      <c r="W34" s="334">
        <v>7</v>
      </c>
      <c r="X34" s="342">
        <v>16</v>
      </c>
      <c r="Y34" s="30">
        <v>1</v>
      </c>
      <c r="Z34" s="31">
        <f t="shared" si="39"/>
        <v>8</v>
      </c>
      <c r="AA34" s="342"/>
      <c r="AB34" s="116"/>
      <c r="AC34" s="31">
        <f t="shared" si="40"/>
        <v>0</v>
      </c>
      <c r="AD34" s="30"/>
      <c r="AE34" s="32">
        <f t="shared" si="41"/>
        <v>8</v>
      </c>
      <c r="AF34" s="20">
        <f t="shared" si="42"/>
        <v>0</v>
      </c>
      <c r="AG34" s="55"/>
      <c r="AH34" s="112">
        <v>0</v>
      </c>
      <c r="AI34" s="113">
        <f t="shared" si="43"/>
        <v>0</v>
      </c>
      <c r="AJ34" s="113">
        <f t="shared" si="44"/>
        <v>0</v>
      </c>
      <c r="AK34" s="113">
        <f>IF(ISBLANK($AE$5),-8,0)+AE13</f>
        <v>0</v>
      </c>
      <c r="AL34" s="113">
        <f t="shared" si="45"/>
        <v>0</v>
      </c>
      <c r="AM34" s="113">
        <f t="shared" si="46"/>
        <v>0</v>
      </c>
      <c r="AN34" s="113">
        <f t="shared" si="47"/>
        <v>0</v>
      </c>
      <c r="AO34" s="113">
        <f t="shared" si="48"/>
        <v>0</v>
      </c>
      <c r="AP34" s="114">
        <f t="shared" si="49"/>
        <v>0</v>
      </c>
      <c r="AQ34" s="55"/>
      <c r="AR34" s="1159">
        <f t="shared" si="50"/>
        <v>0</v>
      </c>
      <c r="AS34" s="1160"/>
      <c r="AT34" s="118">
        <f t="shared" si="51"/>
        <v>6</v>
      </c>
      <c r="AU34" s="55"/>
      <c r="AV34" s="55"/>
      <c r="AW34" s="1134"/>
      <c r="AX34" s="1135"/>
    </row>
    <row r="35" spans="1:56" ht="14.1" customHeight="1">
      <c r="B35" s="29" t="str">
        <f t="shared" si="31"/>
        <v>Alejandro Dueñas</v>
      </c>
      <c r="C35" s="372">
        <v>7</v>
      </c>
      <c r="D35" s="348">
        <v>17</v>
      </c>
      <c r="E35" s="119">
        <v>1</v>
      </c>
      <c r="F35" s="120">
        <f t="shared" si="32"/>
        <v>9</v>
      </c>
      <c r="G35" s="346"/>
      <c r="H35" s="346"/>
      <c r="I35" s="120">
        <f t="shared" si="33"/>
        <v>0</v>
      </c>
      <c r="J35" s="119"/>
      <c r="K35" s="121">
        <f t="shared" si="34"/>
        <v>8</v>
      </c>
      <c r="L35" s="20">
        <f t="shared" si="52"/>
        <v>1</v>
      </c>
      <c r="M35" s="342">
        <v>7</v>
      </c>
      <c r="N35" s="342">
        <v>17</v>
      </c>
      <c r="O35" s="30">
        <v>1</v>
      </c>
      <c r="P35" s="31">
        <f t="shared" si="35"/>
        <v>9</v>
      </c>
      <c r="Q35" s="346"/>
      <c r="R35" s="346"/>
      <c r="S35" s="120">
        <f t="shared" si="36"/>
        <v>0</v>
      </c>
      <c r="T35" s="30"/>
      <c r="U35" s="32">
        <f t="shared" si="37"/>
        <v>8</v>
      </c>
      <c r="V35" s="20">
        <f t="shared" si="38"/>
        <v>1</v>
      </c>
      <c r="W35" s="334">
        <v>7</v>
      </c>
      <c r="X35" s="342">
        <v>18</v>
      </c>
      <c r="Y35" s="30">
        <v>1</v>
      </c>
      <c r="Z35" s="31">
        <f t="shared" si="39"/>
        <v>10</v>
      </c>
      <c r="AA35" s="342"/>
      <c r="AB35" s="342"/>
      <c r="AC35" s="31">
        <f t="shared" si="40"/>
        <v>0</v>
      </c>
      <c r="AD35" s="30"/>
      <c r="AE35" s="32">
        <f t="shared" si="41"/>
        <v>8</v>
      </c>
      <c r="AF35" s="20">
        <f t="shared" si="42"/>
        <v>2</v>
      </c>
      <c r="AG35" s="55"/>
      <c r="AH35" s="112">
        <v>0</v>
      </c>
      <c r="AI35" s="113">
        <f t="shared" si="43"/>
        <v>0</v>
      </c>
      <c r="AJ35" s="113">
        <f t="shared" si="44"/>
        <v>0</v>
      </c>
      <c r="AK35" s="113">
        <f>IF(ISBLANK($AE$5),-8,0)+AE14</f>
        <v>0</v>
      </c>
      <c r="AL35" s="113">
        <f t="shared" si="45"/>
        <v>0</v>
      </c>
      <c r="AM35" s="113">
        <f t="shared" si="46"/>
        <v>0</v>
      </c>
      <c r="AN35" s="113">
        <f t="shared" si="47"/>
        <v>0</v>
      </c>
      <c r="AO35" s="113">
        <f t="shared" si="48"/>
        <v>0</v>
      </c>
      <c r="AP35" s="114">
        <f t="shared" si="49"/>
        <v>0</v>
      </c>
      <c r="AQ35" s="55"/>
      <c r="AR35" s="1159">
        <f t="shared" si="50"/>
        <v>4.9165714285714301</v>
      </c>
      <c r="AS35" s="1160"/>
      <c r="AT35" s="118">
        <f t="shared" si="51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1"/>
        <v>Juan Manrique V.</v>
      </c>
      <c r="C36" s="334">
        <v>7</v>
      </c>
      <c r="D36" s="342">
        <v>18</v>
      </c>
      <c r="E36" s="30">
        <v>1</v>
      </c>
      <c r="F36" s="31">
        <f t="shared" si="32"/>
        <v>10</v>
      </c>
      <c r="G36" s="33"/>
      <c r="H36" s="47"/>
      <c r="I36" s="31">
        <f t="shared" si="33"/>
        <v>0</v>
      </c>
      <c r="J36" s="30"/>
      <c r="K36" s="32">
        <f t="shared" si="34"/>
        <v>8</v>
      </c>
      <c r="L36" s="20">
        <f t="shared" si="52"/>
        <v>2</v>
      </c>
      <c r="M36" s="342">
        <v>8</v>
      </c>
      <c r="N36" s="342">
        <v>18</v>
      </c>
      <c r="O36" s="30">
        <v>1</v>
      </c>
      <c r="P36" s="31">
        <f t="shared" si="35"/>
        <v>9</v>
      </c>
      <c r="Q36" s="106"/>
      <c r="R36" s="106"/>
      <c r="S36" s="31">
        <f t="shared" si="36"/>
        <v>0</v>
      </c>
      <c r="T36" s="30"/>
      <c r="U36" s="32">
        <f t="shared" si="37"/>
        <v>8</v>
      </c>
      <c r="V36" s="20">
        <f t="shared" si="38"/>
        <v>1</v>
      </c>
      <c r="W36" s="334">
        <v>8</v>
      </c>
      <c r="X36" s="342">
        <v>18</v>
      </c>
      <c r="Y36" s="30">
        <v>1</v>
      </c>
      <c r="Z36" s="31">
        <f t="shared" si="39"/>
        <v>9</v>
      </c>
      <c r="AA36" s="342"/>
      <c r="AB36" s="342"/>
      <c r="AC36" s="31">
        <f t="shared" si="40"/>
        <v>0</v>
      </c>
      <c r="AD36" s="30"/>
      <c r="AE36" s="32">
        <f t="shared" si="41"/>
        <v>8</v>
      </c>
      <c r="AF36" s="20">
        <f t="shared" si="42"/>
        <v>1</v>
      </c>
      <c r="AG36" s="55"/>
      <c r="AH36" s="112">
        <v>0</v>
      </c>
      <c r="AI36" s="113">
        <f t="shared" si="43"/>
        <v>0</v>
      </c>
      <c r="AJ36" s="113">
        <f t="shared" si="44"/>
        <v>-8</v>
      </c>
      <c r="AK36" s="113">
        <f>IF(ISBLANK($AE$5),-8,0)+AE15</f>
        <v>0</v>
      </c>
      <c r="AL36" s="113">
        <f t="shared" si="45"/>
        <v>0</v>
      </c>
      <c r="AM36" s="113">
        <f t="shared" si="46"/>
        <v>0</v>
      </c>
      <c r="AN36" s="113">
        <f t="shared" si="47"/>
        <v>0</v>
      </c>
      <c r="AO36" s="113">
        <f t="shared" si="48"/>
        <v>0</v>
      </c>
      <c r="AP36" s="114">
        <f t="shared" si="49"/>
        <v>-8</v>
      </c>
      <c r="AQ36" s="55"/>
      <c r="AR36" s="1159">
        <f t="shared" si="50"/>
        <v>0</v>
      </c>
      <c r="AS36" s="1160"/>
      <c r="AT36" s="118">
        <f t="shared" si="51"/>
        <v>5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1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2"/>
        <v>0</v>
      </c>
      <c r="M37" s="342">
        <v>8</v>
      </c>
      <c r="N37" s="342">
        <v>16</v>
      </c>
      <c r="O37" s="30">
        <v>1</v>
      </c>
      <c r="P37" s="31">
        <f>+N37-M37-O37</f>
        <v>7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>IF(M37&gt;0,(P37+S37)+IF(U$27&gt;0,P37,-8),0)+IF(AE$27&gt;0,S37,0)</f>
        <v>-1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2"/>
        <v>0</v>
      </c>
      <c r="AG37" s="55"/>
      <c r="AH37" s="112">
        <v>0</v>
      </c>
      <c r="AI37" s="113">
        <f t="shared" si="43"/>
        <v>0</v>
      </c>
      <c r="AJ37" s="113">
        <f t="shared" si="44"/>
        <v>0</v>
      </c>
      <c r="AK37" s="124">
        <f>IF(ISBLANK($AE$5),-5,0)+AE16</f>
        <v>0</v>
      </c>
      <c r="AL37" s="113">
        <f t="shared" si="45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50"/>
        <v>0</v>
      </c>
      <c r="AS37" s="1160"/>
      <c r="AT37" s="118">
        <f t="shared" si="51"/>
        <v>6</v>
      </c>
      <c r="AU37" s="55"/>
      <c r="AV37" s="55"/>
      <c r="AW37" s="1134"/>
      <c r="AX37" s="1135"/>
    </row>
    <row r="38" spans="1:56" ht="14.1" customHeight="1">
      <c r="B38" s="48" t="str">
        <f t="shared" si="31"/>
        <v>Antony Tejada Ch.</v>
      </c>
      <c r="C38" s="334">
        <v>7</v>
      </c>
      <c r="D38" s="342">
        <v>16</v>
      </c>
      <c r="E38" s="30">
        <v>1</v>
      </c>
      <c r="F38" s="31">
        <f t="shared" si="32"/>
        <v>8</v>
      </c>
      <c r="G38" s="33"/>
      <c r="H38" s="346"/>
      <c r="I38" s="31">
        <f t="shared" si="33"/>
        <v>0</v>
      </c>
      <c r="J38" s="30"/>
      <c r="K38" s="32">
        <f t="shared" si="34"/>
        <v>8</v>
      </c>
      <c r="L38" s="20">
        <f t="shared" si="52"/>
        <v>0</v>
      </c>
      <c r="M38" s="342">
        <v>8</v>
      </c>
      <c r="N38" s="342">
        <v>17</v>
      </c>
      <c r="O38" s="30">
        <v>1</v>
      </c>
      <c r="P38" s="31">
        <f t="shared" si="35"/>
        <v>8</v>
      </c>
      <c r="Q38" s="106"/>
      <c r="R38" s="106"/>
      <c r="S38" s="31">
        <f t="shared" si="36"/>
        <v>0</v>
      </c>
      <c r="T38" s="30"/>
      <c r="U38" s="32">
        <f t="shared" si="37"/>
        <v>8</v>
      </c>
      <c r="V38" s="20">
        <f t="shared" si="38"/>
        <v>0</v>
      </c>
      <c r="W38" s="334"/>
      <c r="X38" s="342"/>
      <c r="Y38" s="30"/>
      <c r="Z38" s="31">
        <f t="shared" si="39"/>
        <v>0</v>
      </c>
      <c r="AA38" s="342"/>
      <c r="AB38" s="342"/>
      <c r="AC38" s="31">
        <f>+AB38-AA38</f>
        <v>0</v>
      </c>
      <c r="AD38" s="30"/>
      <c r="AE38" s="32">
        <f t="shared" si="41"/>
        <v>0</v>
      </c>
      <c r="AF38" s="20">
        <f t="shared" si="42"/>
        <v>0</v>
      </c>
      <c r="AG38" s="55"/>
      <c r="AH38" s="112">
        <v>0</v>
      </c>
      <c r="AI38" s="113">
        <f t="shared" si="43"/>
        <v>-8</v>
      </c>
      <c r="AJ38" s="113">
        <f t="shared" si="44"/>
        <v>-8</v>
      </c>
      <c r="AK38" s="113">
        <f t="shared" ref="AK38:AK45" si="53">IF(ISBLANK($AE$5),-8,0)+AE17</f>
        <v>0</v>
      </c>
      <c r="AL38" s="113">
        <f t="shared" si="45"/>
        <v>0</v>
      </c>
      <c r="AM38" s="113">
        <f t="shared" si="46"/>
        <v>0</v>
      </c>
      <c r="AN38" s="113">
        <f t="shared" si="47"/>
        <v>0</v>
      </c>
      <c r="AO38" s="113">
        <f t="shared" si="48"/>
        <v>-8</v>
      </c>
      <c r="AP38" s="114">
        <f t="shared" si="49"/>
        <v>-24</v>
      </c>
      <c r="AQ38" s="55"/>
      <c r="AR38" s="1159">
        <f t="shared" si="50"/>
        <v>0</v>
      </c>
      <c r="AS38" s="1160"/>
      <c r="AT38" s="118">
        <f t="shared" si="51"/>
        <v>4</v>
      </c>
      <c r="AU38" s="55"/>
      <c r="AV38" s="55"/>
      <c r="AW38" s="1134">
        <v>-14</v>
      </c>
      <c r="AX38" s="1135"/>
      <c r="AZ38" s="115"/>
    </row>
    <row r="39" spans="1:56" ht="14.1" customHeight="1">
      <c r="B39" s="512" t="str">
        <f t="shared" si="31"/>
        <v>Pedro Hostos S,</v>
      </c>
      <c r="C39" s="372">
        <v>7</v>
      </c>
      <c r="D39" s="348">
        <v>18</v>
      </c>
      <c r="E39" s="119">
        <v>1</v>
      </c>
      <c r="F39" s="31">
        <f t="shared" si="32"/>
        <v>10</v>
      </c>
      <c r="G39" s="33"/>
      <c r="H39" s="346"/>
      <c r="I39" s="31">
        <f t="shared" si="33"/>
        <v>0</v>
      </c>
      <c r="J39" s="30"/>
      <c r="K39" s="32">
        <f t="shared" si="34"/>
        <v>8</v>
      </c>
      <c r="L39" s="20">
        <f t="shared" si="52"/>
        <v>2</v>
      </c>
      <c r="M39" s="342">
        <v>7</v>
      </c>
      <c r="N39" s="342">
        <v>17</v>
      </c>
      <c r="O39" s="30">
        <v>1</v>
      </c>
      <c r="P39" s="31">
        <f t="shared" si="35"/>
        <v>9</v>
      </c>
      <c r="Q39" s="106"/>
      <c r="R39" s="106"/>
      <c r="S39" s="31">
        <f t="shared" si="36"/>
        <v>0</v>
      </c>
      <c r="T39" s="30"/>
      <c r="U39" s="32">
        <f t="shared" si="37"/>
        <v>8</v>
      </c>
      <c r="V39" s="20">
        <f t="shared" si="38"/>
        <v>1</v>
      </c>
      <c r="W39" s="334">
        <v>7</v>
      </c>
      <c r="X39" s="342">
        <v>17</v>
      </c>
      <c r="Y39" s="30">
        <v>1</v>
      </c>
      <c r="Z39" s="31">
        <f t="shared" si="39"/>
        <v>9</v>
      </c>
      <c r="AA39" s="342"/>
      <c r="AB39" s="342"/>
      <c r="AC39" s="31">
        <f t="shared" si="40"/>
        <v>0</v>
      </c>
      <c r="AD39" s="30"/>
      <c r="AE39" s="32">
        <f t="shared" si="41"/>
        <v>8</v>
      </c>
      <c r="AF39" s="20">
        <f t="shared" si="42"/>
        <v>1</v>
      </c>
      <c r="AG39" s="55"/>
      <c r="AH39" s="112">
        <v>0</v>
      </c>
      <c r="AI39" s="113">
        <f t="shared" si="43"/>
        <v>0</v>
      </c>
      <c r="AJ39" s="113">
        <f t="shared" si="44"/>
        <v>0</v>
      </c>
      <c r="AK39" s="113">
        <f t="shared" si="53"/>
        <v>0</v>
      </c>
      <c r="AL39" s="113">
        <f t="shared" si="45"/>
        <v>0</v>
      </c>
      <c r="AM39" s="125">
        <f t="shared" si="46"/>
        <v>0</v>
      </c>
      <c r="AN39" s="125">
        <f t="shared" si="47"/>
        <v>0</v>
      </c>
      <c r="AO39" s="125">
        <f t="shared" si="48"/>
        <v>0</v>
      </c>
      <c r="AP39" s="114">
        <f t="shared" si="49"/>
        <v>0</v>
      </c>
      <c r="AQ39" s="55"/>
      <c r="AR39" s="1159">
        <f>+X76*Q76</f>
        <v>0</v>
      </c>
      <c r="AS39" s="1160"/>
      <c r="AT39" s="118">
        <f t="shared" si="51"/>
        <v>6</v>
      </c>
      <c r="AU39" s="55"/>
      <c r="AV39" s="55"/>
      <c r="AW39" s="1134"/>
      <c r="AX39" s="1135"/>
    </row>
    <row r="40" spans="1:56" ht="14.1" customHeight="1">
      <c r="B40" s="58" t="str">
        <f t="shared" si="31"/>
        <v xml:space="preserve">  -  .  -  </v>
      </c>
      <c r="C40" s="334"/>
      <c r="D40" s="342"/>
      <c r="E40" s="30"/>
      <c r="F40" s="31">
        <f t="shared" si="32"/>
        <v>0</v>
      </c>
      <c r="G40" s="33"/>
      <c r="H40" s="346"/>
      <c r="I40" s="31">
        <f t="shared" si="33"/>
        <v>0</v>
      </c>
      <c r="J40" s="30"/>
      <c r="K40" s="32">
        <f t="shared" si="34"/>
        <v>0</v>
      </c>
      <c r="L40" s="20">
        <f t="shared" si="52"/>
        <v>0</v>
      </c>
      <c r="M40" s="342"/>
      <c r="N40" s="342"/>
      <c r="O40" s="30"/>
      <c r="P40" s="31">
        <f t="shared" si="35"/>
        <v>0</v>
      </c>
      <c r="Q40" s="106"/>
      <c r="R40" s="106"/>
      <c r="S40" s="31">
        <f t="shared" si="36"/>
        <v>0</v>
      </c>
      <c r="T40" s="30"/>
      <c r="U40" s="32">
        <f t="shared" si="37"/>
        <v>0</v>
      </c>
      <c r="V40" s="20">
        <f t="shared" si="38"/>
        <v>0</v>
      </c>
      <c r="W40" s="334"/>
      <c r="X40" s="342"/>
      <c r="Y40" s="30"/>
      <c r="Z40" s="31">
        <f t="shared" si="39"/>
        <v>0</v>
      </c>
      <c r="AA40" s="342"/>
      <c r="AB40" s="346"/>
      <c r="AC40" s="44">
        <f t="shared" si="40"/>
        <v>0</v>
      </c>
      <c r="AD40" s="30"/>
      <c r="AE40" s="32">
        <f t="shared" si="41"/>
        <v>0</v>
      </c>
      <c r="AF40" s="20">
        <f t="shared" si="42"/>
        <v>0</v>
      </c>
      <c r="AG40" s="126"/>
      <c r="AH40" s="127">
        <v>0</v>
      </c>
      <c r="AI40" s="113">
        <f t="shared" si="43"/>
        <v>-8</v>
      </c>
      <c r="AJ40" s="113">
        <f t="shared" si="44"/>
        <v>-8</v>
      </c>
      <c r="AK40" s="128">
        <f t="shared" si="53"/>
        <v>-8</v>
      </c>
      <c r="AL40" s="113">
        <f t="shared" si="45"/>
        <v>0</v>
      </c>
      <c r="AM40" s="113">
        <f t="shared" si="46"/>
        <v>-8</v>
      </c>
      <c r="AN40" s="113">
        <f t="shared" si="47"/>
        <v>-8</v>
      </c>
      <c r="AO40" s="113">
        <f t="shared" si="48"/>
        <v>-8</v>
      </c>
      <c r="AP40" s="114">
        <f t="shared" si="49"/>
        <v>-48</v>
      </c>
      <c r="AQ40" s="55"/>
      <c r="AR40" s="1159">
        <f>+X78*Q78</f>
        <v>0</v>
      </c>
      <c r="AS40" s="1160"/>
      <c r="AT40" s="118">
        <f t="shared" si="51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>+B20</f>
        <v xml:space="preserve">  -  .  -  </v>
      </c>
      <c r="C41" s="522"/>
      <c r="D41" s="522"/>
      <c r="E41" s="522"/>
      <c r="F41" s="523">
        <f t="shared" si="32"/>
        <v>0</v>
      </c>
      <c r="G41" s="522"/>
      <c r="H41" s="522"/>
      <c r="I41" s="523">
        <f t="shared" si="33"/>
        <v>0</v>
      </c>
      <c r="J41" s="522"/>
      <c r="K41" s="523">
        <f t="shared" si="34"/>
        <v>0</v>
      </c>
      <c r="L41" s="524">
        <f t="shared" si="52"/>
        <v>0</v>
      </c>
      <c r="M41" s="522"/>
      <c r="N41" s="522"/>
      <c r="O41" s="522"/>
      <c r="P41" s="523">
        <f t="shared" si="35"/>
        <v>0</v>
      </c>
      <c r="Q41" s="525"/>
      <c r="R41" s="525"/>
      <c r="S41" s="523">
        <f t="shared" si="36"/>
        <v>0</v>
      </c>
      <c r="T41" s="522"/>
      <c r="U41" s="523">
        <f t="shared" si="37"/>
        <v>0</v>
      </c>
      <c r="V41" s="524">
        <f t="shared" si="38"/>
        <v>0</v>
      </c>
      <c r="W41" s="526"/>
      <c r="X41" s="522"/>
      <c r="Y41" s="522"/>
      <c r="Z41" s="523">
        <f t="shared" si="39"/>
        <v>0</v>
      </c>
      <c r="AA41" s="522"/>
      <c r="AB41" s="522"/>
      <c r="AC41" s="523">
        <f t="shared" si="40"/>
        <v>0</v>
      </c>
      <c r="AD41" s="522"/>
      <c r="AE41" s="523">
        <f t="shared" si="41"/>
        <v>0</v>
      </c>
      <c r="AF41" s="524">
        <f t="shared" si="42"/>
        <v>0</v>
      </c>
      <c r="AG41" s="514"/>
      <c r="AH41" s="529">
        <v>0</v>
      </c>
      <c r="AI41" s="530">
        <f>+K20+(IF(ISBLANK($K$5),-8,0))</f>
        <v>-8</v>
      </c>
      <c r="AJ41" s="530">
        <f>IF(ISBLANK($U$5),-8,0)+U20</f>
        <v>-8</v>
      </c>
      <c r="AK41" s="530">
        <f t="shared" si="53"/>
        <v>-8</v>
      </c>
      <c r="AL41" s="530">
        <f t="shared" si="45"/>
        <v>0</v>
      </c>
      <c r="AM41" s="530">
        <f t="shared" si="46"/>
        <v>-8</v>
      </c>
      <c r="AN41" s="530">
        <f t="shared" si="47"/>
        <v>-8</v>
      </c>
      <c r="AO41" s="530">
        <f t="shared" si="48"/>
        <v>-8</v>
      </c>
      <c r="AP41" s="531">
        <f t="shared" si="49"/>
        <v>-48</v>
      </c>
      <c r="AQ41" s="55"/>
      <c r="AR41" s="1191"/>
      <c r="AS41" s="1192"/>
      <c r="AT41" s="532">
        <f t="shared" si="51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515" t="str">
        <f>+B21</f>
        <v>Eddie Uchupe C.</v>
      </c>
      <c r="C42" s="516">
        <v>7</v>
      </c>
      <c r="D42" s="516">
        <v>17</v>
      </c>
      <c r="E42" s="516">
        <v>1</v>
      </c>
      <c r="F42" s="517">
        <f t="shared" si="32"/>
        <v>9</v>
      </c>
      <c r="G42" s="516"/>
      <c r="H42" s="516"/>
      <c r="I42" s="517">
        <f t="shared" si="33"/>
        <v>0</v>
      </c>
      <c r="J42" s="516"/>
      <c r="K42" s="517">
        <f t="shared" si="34"/>
        <v>8</v>
      </c>
      <c r="L42" s="518">
        <f t="shared" si="52"/>
        <v>1</v>
      </c>
      <c r="M42" s="516">
        <v>13</v>
      </c>
      <c r="N42" s="516">
        <v>17</v>
      </c>
      <c r="O42" s="516">
        <v>1</v>
      </c>
      <c r="P42" s="517">
        <f t="shared" si="35"/>
        <v>3</v>
      </c>
      <c r="Q42" s="519"/>
      <c r="R42" s="519">
        <v>5</v>
      </c>
      <c r="S42" s="517">
        <f t="shared" si="36"/>
        <v>5</v>
      </c>
      <c r="T42" s="516"/>
      <c r="U42" s="517">
        <f t="shared" si="37"/>
        <v>8</v>
      </c>
      <c r="V42" s="518">
        <f t="shared" si="38"/>
        <v>0</v>
      </c>
      <c r="W42" s="520">
        <v>7</v>
      </c>
      <c r="X42" s="516">
        <v>17</v>
      </c>
      <c r="Y42" s="516">
        <v>1</v>
      </c>
      <c r="Z42" s="517">
        <f t="shared" si="39"/>
        <v>9</v>
      </c>
      <c r="AA42" s="516"/>
      <c r="AB42" s="516"/>
      <c r="AC42" s="517">
        <f t="shared" si="40"/>
        <v>0</v>
      </c>
      <c r="AD42" s="516"/>
      <c r="AE42" s="517">
        <f t="shared" si="41"/>
        <v>8</v>
      </c>
      <c r="AF42" s="518">
        <f t="shared" si="42"/>
        <v>1</v>
      </c>
      <c r="AG42" s="55"/>
      <c r="AH42" s="490">
        <v>0</v>
      </c>
      <c r="AI42" s="527">
        <f>+K21+(IF(ISBLANK($K$5),-8,0))</f>
        <v>0</v>
      </c>
      <c r="AJ42" s="527">
        <f>IF(ISBLANK($U$5),-8,0)+U21</f>
        <v>0</v>
      </c>
      <c r="AK42" s="527">
        <f t="shared" si="53"/>
        <v>0</v>
      </c>
      <c r="AL42" s="527">
        <f t="shared" si="45"/>
        <v>0</v>
      </c>
      <c r="AM42" s="527">
        <f t="shared" si="46"/>
        <v>0</v>
      </c>
      <c r="AN42" s="527">
        <f t="shared" si="47"/>
        <v>0</v>
      </c>
      <c r="AO42" s="527">
        <f t="shared" si="48"/>
        <v>0</v>
      </c>
      <c r="AP42" s="492">
        <f t="shared" si="49"/>
        <v>0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6</v>
      </c>
      <c r="AU42" s="55"/>
      <c r="AV42" s="55"/>
      <c r="AW42" s="1189"/>
      <c r="AX42" s="1190"/>
    </row>
    <row r="43" spans="1:56" ht="14.1" customHeight="1">
      <c r="B43" s="513" t="str">
        <f>+B22</f>
        <v>Jose Cortez P.</v>
      </c>
      <c r="C43" s="75"/>
      <c r="D43" s="75"/>
      <c r="E43" s="75"/>
      <c r="F43" s="76">
        <f t="shared" si="32"/>
        <v>0</v>
      </c>
      <c r="G43" s="75"/>
      <c r="H43" s="75"/>
      <c r="I43" s="76">
        <f t="shared" si="33"/>
        <v>0</v>
      </c>
      <c r="J43" s="75"/>
      <c r="K43" s="76">
        <f t="shared" si="34"/>
        <v>0</v>
      </c>
      <c r="L43" s="77">
        <f t="shared" si="52"/>
        <v>0</v>
      </c>
      <c r="M43" s="75"/>
      <c r="N43" s="75"/>
      <c r="O43" s="75"/>
      <c r="P43" s="76">
        <f t="shared" si="35"/>
        <v>0</v>
      </c>
      <c r="Q43" s="134"/>
      <c r="R43" s="134"/>
      <c r="S43" s="76">
        <f t="shared" si="36"/>
        <v>0</v>
      </c>
      <c r="T43" s="75"/>
      <c r="U43" s="76">
        <f t="shared" si="37"/>
        <v>0</v>
      </c>
      <c r="V43" s="77">
        <f t="shared" si="38"/>
        <v>0</v>
      </c>
      <c r="W43" s="334">
        <v>7</v>
      </c>
      <c r="X43" s="342">
        <v>17</v>
      </c>
      <c r="Y43" s="30">
        <v>1</v>
      </c>
      <c r="Z43" s="31">
        <f t="shared" si="39"/>
        <v>9</v>
      </c>
      <c r="AA43" s="342"/>
      <c r="AB43" s="342"/>
      <c r="AC43" s="44">
        <f t="shared" si="40"/>
        <v>0</v>
      </c>
      <c r="AD43" s="30"/>
      <c r="AE43" s="32">
        <f t="shared" si="41"/>
        <v>8</v>
      </c>
      <c r="AF43" s="20">
        <f t="shared" si="42"/>
        <v>1</v>
      </c>
      <c r="AG43" s="55"/>
      <c r="AH43" s="143">
        <v>0</v>
      </c>
      <c r="AI43" s="144">
        <f>+K22+(IF(ISBLANK($K$5),-8,0))</f>
        <v>-8</v>
      </c>
      <c r="AJ43" s="144">
        <f>IF(ISBLANK($U$5),-8,0)+U22</f>
        <v>-8</v>
      </c>
      <c r="AK43" s="144">
        <f t="shared" si="53"/>
        <v>-8</v>
      </c>
      <c r="AL43" s="113">
        <f t="shared" si="45"/>
        <v>0</v>
      </c>
      <c r="AM43" s="144">
        <f t="shared" si="46"/>
        <v>-8</v>
      </c>
      <c r="AN43" s="144">
        <f t="shared" si="47"/>
        <v>-8</v>
      </c>
      <c r="AO43" s="144">
        <f t="shared" si="48"/>
        <v>0</v>
      </c>
      <c r="AP43" s="145">
        <f t="shared" si="49"/>
        <v>-40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1</v>
      </c>
      <c r="AU43" s="55"/>
      <c r="AV43" s="55"/>
      <c r="AW43" s="1185"/>
      <c r="AX43" s="1186"/>
    </row>
    <row r="44" spans="1:56" ht="14.1" customHeight="1">
      <c r="B44" s="146" t="str">
        <f>+B23</f>
        <v xml:space="preserve"> </v>
      </c>
      <c r="C44" s="87"/>
      <c r="D44" s="87"/>
      <c r="E44" s="87"/>
      <c r="F44" s="88">
        <f t="shared" si="32"/>
        <v>0</v>
      </c>
      <c r="G44" s="87"/>
      <c r="H44" s="87"/>
      <c r="I44" s="88">
        <f t="shared" si="33"/>
        <v>0</v>
      </c>
      <c r="J44" s="87"/>
      <c r="K44" s="88">
        <f t="shared" si="34"/>
        <v>0</v>
      </c>
      <c r="L44" s="89">
        <f t="shared" si="52"/>
        <v>0</v>
      </c>
      <c r="M44" s="147"/>
      <c r="N44" s="147"/>
      <c r="O44" s="147"/>
      <c r="P44" s="148">
        <f t="shared" si="35"/>
        <v>0</v>
      </c>
      <c r="Q44" s="149"/>
      <c r="R44" s="149"/>
      <c r="S44" s="148">
        <f t="shared" si="36"/>
        <v>0</v>
      </c>
      <c r="T44" s="147"/>
      <c r="U44" s="148">
        <f t="shared" si="37"/>
        <v>0</v>
      </c>
      <c r="V44" s="150">
        <f t="shared" si="38"/>
        <v>0</v>
      </c>
      <c r="W44" s="151"/>
      <c r="X44" s="147"/>
      <c r="Y44" s="147"/>
      <c r="Z44" s="148">
        <f t="shared" si="39"/>
        <v>0</v>
      </c>
      <c r="AA44" s="147"/>
      <c r="AB44" s="152"/>
      <c r="AC44" s="148">
        <f t="shared" si="40"/>
        <v>0</v>
      </c>
      <c r="AD44" s="147"/>
      <c r="AE44" s="148">
        <f t="shared" si="41"/>
        <v>0</v>
      </c>
      <c r="AF44" s="150">
        <f t="shared" si="42"/>
        <v>0</v>
      </c>
      <c r="AG44" s="55"/>
      <c r="AH44" s="127">
        <v>0</v>
      </c>
      <c r="AI44" s="113">
        <f>+K23+(IF(ISBLANK($K$5),-8,0))</f>
        <v>-8</v>
      </c>
      <c r="AJ44" s="113">
        <f>IF(ISBLANK($U$5),-8,0)+U23</f>
        <v>-8</v>
      </c>
      <c r="AK44" s="128">
        <f t="shared" si="53"/>
        <v>-8</v>
      </c>
      <c r="AL44" s="113">
        <f t="shared" si="45"/>
        <v>0</v>
      </c>
      <c r="AM44" s="113">
        <f t="shared" si="46"/>
        <v>-8</v>
      </c>
      <c r="AN44" s="113">
        <f t="shared" si="47"/>
        <v>-8</v>
      </c>
      <c r="AO44" s="113">
        <f t="shared" si="48"/>
        <v>-8</v>
      </c>
      <c r="AP44" s="114">
        <f t="shared" si="49"/>
        <v>-48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0</v>
      </c>
      <c r="AU44" s="55"/>
      <c r="AV44" s="55"/>
      <c r="AW44" s="1134"/>
      <c r="AX44" s="1135"/>
    </row>
    <row r="45" spans="1:56" ht="14.1" customHeight="1" thickBot="1">
      <c r="B45" s="95" t="str">
        <f>+B24</f>
        <v xml:space="preserve"> </v>
      </c>
      <c r="C45" s="360"/>
      <c r="D45" s="361"/>
      <c r="E45" s="96"/>
      <c r="F45" s="97">
        <f t="shared" si="32"/>
        <v>0</v>
      </c>
      <c r="G45" s="153"/>
      <c r="H45" s="363"/>
      <c r="I45" s="97">
        <f t="shared" si="33"/>
        <v>0</v>
      </c>
      <c r="J45" s="96"/>
      <c r="K45" s="98">
        <f t="shared" si="34"/>
        <v>0</v>
      </c>
      <c r="L45" s="99">
        <f t="shared" si="52"/>
        <v>0</v>
      </c>
      <c r="M45" s="361"/>
      <c r="N45" s="361"/>
      <c r="O45" s="96"/>
      <c r="P45" s="97">
        <f t="shared" si="35"/>
        <v>0</v>
      </c>
      <c r="Q45" s="154"/>
      <c r="R45" s="154"/>
      <c r="S45" s="97">
        <f t="shared" si="36"/>
        <v>0</v>
      </c>
      <c r="T45" s="96"/>
      <c r="U45" s="98">
        <f t="shared" si="37"/>
        <v>0</v>
      </c>
      <c r="V45" s="99">
        <f t="shared" si="38"/>
        <v>0</v>
      </c>
      <c r="W45" s="360"/>
      <c r="X45" s="361"/>
      <c r="Y45" s="96"/>
      <c r="Z45" s="97">
        <f t="shared" si="39"/>
        <v>0</v>
      </c>
      <c r="AA45" s="361"/>
      <c r="AB45" s="361"/>
      <c r="AC45" s="97">
        <f t="shared" si="40"/>
        <v>0</v>
      </c>
      <c r="AD45" s="96"/>
      <c r="AE45" s="98">
        <f t="shared" si="41"/>
        <v>0</v>
      </c>
      <c r="AF45" s="99">
        <f t="shared" si="42"/>
        <v>0</v>
      </c>
      <c r="AG45" s="55"/>
      <c r="AH45" s="112">
        <v>0</v>
      </c>
      <c r="AI45" s="113">
        <f>+K24+(IF(ISBLANK($K$5),-8,0))</f>
        <v>-8</v>
      </c>
      <c r="AJ45" s="113">
        <f>IF(ISBLANK($U$5),-8,0)+U24</f>
        <v>-8</v>
      </c>
      <c r="AK45" s="113">
        <f t="shared" si="53"/>
        <v>-8</v>
      </c>
      <c r="AL45" s="113">
        <f t="shared" si="45"/>
        <v>0</v>
      </c>
      <c r="AM45" s="113">
        <f t="shared" si="46"/>
        <v>-8</v>
      </c>
      <c r="AN45" s="113">
        <f t="shared" si="47"/>
        <v>-8</v>
      </c>
      <c r="AO45" s="113">
        <f t="shared" si="48"/>
        <v>-8</v>
      </c>
      <c r="AP45" s="114">
        <f t="shared" si="49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70</v>
      </c>
      <c r="AS46" s="1162"/>
      <c r="AT46" s="167">
        <f>SUM(AT32:AT45)</f>
        <v>53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30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43174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43175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43176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43177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43178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43179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43180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 thickBo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Z62" s="199"/>
      <c r="AA62" s="200"/>
      <c r="AB62" s="201"/>
      <c r="AC62" s="202"/>
      <c r="AD62" s="387"/>
      <c r="AE62" s="387"/>
      <c r="AF62" s="387"/>
      <c r="AG62" s="387"/>
      <c r="AH62" s="387"/>
      <c r="AI62" s="387"/>
      <c r="AJ62" s="387"/>
      <c r="AK62" s="387"/>
      <c r="AL62" s="387"/>
      <c r="AM62" s="202"/>
      <c r="AN62" s="201"/>
      <c r="AO62" s="201"/>
      <c r="AP62" s="201"/>
      <c r="AQ62" s="201"/>
      <c r="AR62" s="201"/>
      <c r="AS62" s="201"/>
      <c r="AT62" s="20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204"/>
      <c r="AA63" s="205" t="s">
        <v>29</v>
      </c>
      <c r="AB63" s="206"/>
      <c r="AC63" s="206"/>
      <c r="AD63" s="206"/>
      <c r="AE63" s="207"/>
      <c r="AF63" s="207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8"/>
      <c r="AR63" s="208"/>
      <c r="AS63" s="209"/>
      <c r="AT63" s="210"/>
      <c r="AW63" s="172"/>
      <c r="AX63" s="172"/>
    </row>
    <row r="64" spans="1:58" ht="3" customHeight="1">
      <c r="Q64" s="211"/>
      <c r="R64" s="212"/>
      <c r="S64" s="213"/>
      <c r="T64" s="214"/>
      <c r="Z64" s="215"/>
      <c r="AA64" s="216"/>
      <c r="AB64" s="216"/>
      <c r="AC64" s="217"/>
      <c r="AD64" s="217"/>
      <c r="AE64" s="217"/>
      <c r="AF64" s="217"/>
      <c r="AG64" s="217"/>
      <c r="AH64" s="218">
        <f>SUM(AH32:AH39)</f>
        <v>0</v>
      </c>
      <c r="AI64" s="217"/>
      <c r="AJ64" s="217" t="s">
        <v>30</v>
      </c>
      <c r="AK64" s="219" t="s">
        <v>31</v>
      </c>
      <c r="AL64" s="219"/>
      <c r="AM64" s="219"/>
      <c r="AN64" s="219"/>
      <c r="AO64" s="219"/>
      <c r="AP64" s="219"/>
      <c r="AQ64" s="220">
        <f>SUM(AP32:AP39)</f>
        <v>-32</v>
      </c>
      <c r="AR64" s="216"/>
      <c r="AS64" s="216"/>
      <c r="AT64" s="210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Z65" s="221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3" t="s">
        <v>44</v>
      </c>
      <c r="AR65" s="224"/>
      <c r="AS65" s="222"/>
      <c r="AT65" s="225"/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507"/>
      <c r="AB66" s="1369"/>
      <c r="AC66" s="1369"/>
      <c r="AD66" s="1369"/>
      <c r="AE66" s="1369"/>
      <c r="AF66" s="1369"/>
      <c r="AG66" s="1369"/>
      <c r="AH66" s="1369"/>
      <c r="AI66" s="1369"/>
      <c r="AJ66" s="1369"/>
      <c r="AK66" s="1369"/>
      <c r="AL66" s="1369"/>
      <c r="AM66" s="226"/>
      <c r="AN66" s="226"/>
      <c r="AO66" s="226"/>
      <c r="AP66" s="226"/>
      <c r="AQ66" s="507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507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373"/>
      <c r="AN67" s="373"/>
      <c r="AO67" s="373"/>
      <c r="AP67" s="373"/>
      <c r="AQ67" s="169"/>
      <c r="AS67" s="170"/>
      <c r="AT67" s="170"/>
      <c r="AV67" s="373"/>
      <c r="AX67" s="172"/>
    </row>
    <row r="68" spans="1:50" ht="26.25">
      <c r="B68" s="227" t="s">
        <v>47</v>
      </c>
      <c r="C68" s="1113">
        <f>+E68*7</f>
        <v>198.33333333333331</v>
      </c>
      <c r="D68" s="1113"/>
      <c r="E68" s="1114">
        <f>+K68/30</f>
        <v>28.333333333333332</v>
      </c>
      <c r="F68" s="1114"/>
      <c r="G68" s="1084"/>
      <c r="H68" s="1085"/>
      <c r="I68" s="1115">
        <f>+E68/8</f>
        <v>3.5416666666666665</v>
      </c>
      <c r="J68" s="1116"/>
      <c r="K68" s="1117">
        <v>850</v>
      </c>
      <c r="L68" s="1117"/>
      <c r="M68" s="228"/>
      <c r="N68" s="1078">
        <f>+I68/6*7</f>
        <v>4.1319444444444446</v>
      </c>
      <c r="O68" s="1079"/>
      <c r="P68" s="228"/>
      <c r="Q68" s="1072">
        <f>+$I$69-I68</f>
        <v>1.2395833333333335</v>
      </c>
      <c r="R68" s="1072"/>
      <c r="U68" s="1102"/>
      <c r="V68" s="1105"/>
      <c r="W68" s="1108"/>
      <c r="X68" s="1111"/>
      <c r="AA68" s="507"/>
      <c r="AB68" s="507"/>
      <c r="AC68" s="507"/>
      <c r="AD68" s="507"/>
    </row>
    <row r="69" spans="1:50" ht="24.75">
      <c r="B69" s="229" t="s">
        <v>48</v>
      </c>
      <c r="C69" s="1073">
        <f>+E69*7</f>
        <v>267.75</v>
      </c>
      <c r="D69" s="1073"/>
      <c r="E69" s="1074">
        <f>+K69/30</f>
        <v>38.25</v>
      </c>
      <c r="F69" s="1074"/>
      <c r="G69" s="1086"/>
      <c r="H69" s="1087"/>
      <c r="I69" s="1075">
        <f>+E69/8</f>
        <v>4.78125</v>
      </c>
      <c r="J69" s="1076"/>
      <c r="K69" s="1077">
        <f>+K68*1.35</f>
        <v>1147.5</v>
      </c>
      <c r="L69" s="1077"/>
      <c r="M69" s="228"/>
      <c r="N69" s="1078">
        <f>+I69/6*7</f>
        <v>5.578125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507"/>
      <c r="AB69" s="507"/>
      <c r="AC69" s="507"/>
      <c r="AD69" s="507"/>
    </row>
    <row r="70" spans="1:50" ht="2.1" customHeigh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507"/>
      <c r="AB70" s="507"/>
      <c r="AC70" s="507"/>
      <c r="AD70" s="507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4">+C71/7</f>
        <v>36.371428571428567</v>
      </c>
      <c r="F71" s="1049"/>
      <c r="G71" s="388"/>
      <c r="H71" s="388"/>
      <c r="I71" s="1052">
        <f t="shared" ref="I71:I78" si="55">+E71/8</f>
        <v>4.5464285714285708</v>
      </c>
      <c r="J71" s="1058"/>
      <c r="K71" s="1059">
        <f t="shared" ref="K71:K79" si="56">+E71*30</f>
        <v>1091.1428571428569</v>
      </c>
      <c r="L71" s="1059"/>
      <c r="M71" s="5"/>
      <c r="N71" s="1020">
        <f t="shared" ref="N71:N85" si="57">+I71/6*7</f>
        <v>5.3041666666666654</v>
      </c>
      <c r="O71" s="1020"/>
      <c r="P71" s="5"/>
      <c r="Q71" s="1056">
        <f t="shared" ref="Q71:Q85" si="58">+$I$69-I71</f>
        <v>0.23482142857142918</v>
      </c>
      <c r="R71" s="1057"/>
      <c r="U71" s="238">
        <f t="shared" ref="U71:U77" si="59">+AE32+U32+K32+AO11+AE11+U11+K11</f>
        <v>64</v>
      </c>
      <c r="V71" s="239">
        <v>48</v>
      </c>
      <c r="W71" s="240">
        <f t="shared" ref="W71:W85" si="60">+V71-U71</f>
        <v>-16</v>
      </c>
      <c r="X71" s="241">
        <f t="shared" ref="X71:X77" si="61">+J11+T11+AD11+J32+T32+AD32</f>
        <v>0</v>
      </c>
      <c r="Z71" s="226"/>
      <c r="AA71" s="226"/>
      <c r="AB71" s="226"/>
      <c r="AC71" s="226"/>
      <c r="AD71" s="226"/>
      <c r="AE71" s="104"/>
      <c r="AF71" s="104"/>
      <c r="AG71" s="104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4"/>
        <v>41.071428571428569</v>
      </c>
      <c r="F72" s="1049"/>
      <c r="G72" s="388"/>
      <c r="H72" s="388"/>
      <c r="I72" s="1052">
        <f t="shared" si="55"/>
        <v>5.1339285714285712</v>
      </c>
      <c r="J72" s="1058"/>
      <c r="K72" s="1059">
        <f t="shared" si="56"/>
        <v>1232.1428571428571</v>
      </c>
      <c r="L72" s="1059"/>
      <c r="M72" s="5"/>
      <c r="N72" s="1020">
        <f t="shared" si="57"/>
        <v>5.989583333333333</v>
      </c>
      <c r="O72" s="1020"/>
      <c r="P72" s="5"/>
      <c r="Q72" s="1056">
        <f t="shared" si="58"/>
        <v>-0.35267857142857117</v>
      </c>
      <c r="R72" s="1057"/>
      <c r="U72" s="238">
        <f t="shared" si="59"/>
        <v>48</v>
      </c>
      <c r="V72" s="239">
        <v>48</v>
      </c>
      <c r="W72" s="240">
        <f t="shared" si="60"/>
        <v>0</v>
      </c>
      <c r="X72" s="241">
        <f t="shared" si="61"/>
        <v>8</v>
      </c>
      <c r="Z72" s="226"/>
      <c r="AA72" s="226"/>
      <c r="AB72" s="226"/>
      <c r="AC72" s="226"/>
      <c r="AD72" s="226"/>
      <c r="AE72" s="104"/>
      <c r="AF72" s="104"/>
      <c r="AG72" s="104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</row>
    <row r="73" spans="1:50" ht="16.5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4"/>
        <v>41.071428571428569</v>
      </c>
      <c r="F73" s="1049"/>
      <c r="G73" s="388"/>
      <c r="H73" s="388"/>
      <c r="I73" s="1052">
        <f t="shared" si="55"/>
        <v>5.1339285714285712</v>
      </c>
      <c r="J73" s="1058"/>
      <c r="K73" s="1059">
        <f t="shared" si="56"/>
        <v>1232.1428571428571</v>
      </c>
      <c r="L73" s="1059"/>
      <c r="M73" s="5"/>
      <c r="N73" s="1020">
        <f t="shared" si="57"/>
        <v>5.989583333333333</v>
      </c>
      <c r="O73" s="1020"/>
      <c r="P73" s="5"/>
      <c r="Q73" s="1056">
        <f t="shared" si="58"/>
        <v>-0.35267857142857117</v>
      </c>
      <c r="R73" s="1057"/>
      <c r="U73" s="238">
        <f t="shared" si="59"/>
        <v>48</v>
      </c>
      <c r="V73" s="239">
        <v>48</v>
      </c>
      <c r="W73" s="240">
        <f t="shared" si="60"/>
        <v>0</v>
      </c>
      <c r="X73" s="241">
        <f t="shared" si="61"/>
        <v>0</v>
      </c>
      <c r="Z73" s="389"/>
      <c r="AA73" s="505"/>
      <c r="AB73" s="505"/>
      <c r="AC73" s="505"/>
      <c r="AD73" s="505"/>
      <c r="AE73" s="386"/>
      <c r="AF73" s="386"/>
      <c r="AG73" s="242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4"/>
        <v>33.33342857142857</v>
      </c>
      <c r="F74" s="1049"/>
      <c r="G74" s="388"/>
      <c r="H74" s="388"/>
      <c r="I74" s="1052">
        <f t="shared" si="55"/>
        <v>4.1666785714285712</v>
      </c>
      <c r="J74" s="1058"/>
      <c r="K74" s="1059">
        <f t="shared" si="56"/>
        <v>1000.0028571428571</v>
      </c>
      <c r="L74" s="1059"/>
      <c r="M74" s="5"/>
      <c r="N74" s="1020">
        <f t="shared" si="57"/>
        <v>4.8611250000000004</v>
      </c>
      <c r="O74" s="1020"/>
      <c r="P74" s="5"/>
      <c r="Q74" s="1056">
        <f t="shared" si="58"/>
        <v>0.61457142857142877</v>
      </c>
      <c r="R74" s="1057"/>
      <c r="S74" s="1066">
        <f>20*30/180*117</f>
        <v>390</v>
      </c>
      <c r="T74" s="1067"/>
      <c r="U74" s="238">
        <f t="shared" si="59"/>
        <v>48</v>
      </c>
      <c r="V74" s="239">
        <v>48</v>
      </c>
      <c r="W74" s="240">
        <f t="shared" si="60"/>
        <v>0</v>
      </c>
      <c r="X74" s="241">
        <f t="shared" si="61"/>
        <v>8</v>
      </c>
      <c r="Z74" s="1045" t="s">
        <v>53</v>
      </c>
      <c r="AA74" s="1045"/>
      <c r="AB74" s="1045"/>
      <c r="AC74" s="1045"/>
      <c r="AD74" s="389" t="s">
        <v>54</v>
      </c>
      <c r="AE74" s="505"/>
      <c r="AF74" s="386"/>
      <c r="AG74" s="504"/>
      <c r="AH74" s="504"/>
      <c r="AI74" s="386"/>
      <c r="AJ74" s="386"/>
      <c r="AK74" s="503"/>
      <c r="AL74" s="503"/>
      <c r="AM74" s="503"/>
      <c r="AN74" s="503"/>
      <c r="AO74" s="503"/>
      <c r="AP74" s="503"/>
      <c r="AQ74" s="503"/>
      <c r="AR74" s="503"/>
      <c r="AS74" s="386"/>
      <c r="AT74" s="386"/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4"/>
        <v>41.071428571428569</v>
      </c>
      <c r="F75" s="1049"/>
      <c r="G75" s="388"/>
      <c r="H75" s="388"/>
      <c r="I75" s="1052">
        <f t="shared" si="55"/>
        <v>5.1339285714285712</v>
      </c>
      <c r="J75" s="1058"/>
      <c r="K75" s="1059">
        <f t="shared" si="56"/>
        <v>1232.1428571428571</v>
      </c>
      <c r="L75" s="1059"/>
      <c r="M75" s="5"/>
      <c r="N75" s="1020">
        <f t="shared" si="57"/>
        <v>5.989583333333333</v>
      </c>
      <c r="O75" s="1020"/>
      <c r="P75" s="5"/>
      <c r="Q75" s="1056">
        <f t="shared" si="58"/>
        <v>-0.35267857142857117</v>
      </c>
      <c r="R75" s="1057"/>
      <c r="U75" s="238">
        <f t="shared" si="59"/>
        <v>40</v>
      </c>
      <c r="V75" s="239">
        <v>48</v>
      </c>
      <c r="W75" s="240">
        <f t="shared" si="60"/>
        <v>8</v>
      </c>
      <c r="X75" s="241">
        <f t="shared" si="61"/>
        <v>0</v>
      </c>
      <c r="Z75" s="505"/>
      <c r="AA75" s="505"/>
      <c r="AB75" s="505"/>
      <c r="AC75" s="505"/>
      <c r="AD75" s="505"/>
      <c r="AE75" s="386"/>
      <c r="AF75" s="386"/>
      <c r="AG75" s="244"/>
      <c r="AH75" s="244"/>
      <c r="AI75" s="504"/>
      <c r="AJ75" s="504"/>
      <c r="AK75" s="504"/>
      <c r="AL75" s="504"/>
      <c r="AM75" s="504"/>
      <c r="AN75" s="504"/>
      <c r="AO75" s="504"/>
      <c r="AP75" s="504"/>
      <c r="AQ75" s="504"/>
      <c r="AR75" s="504"/>
      <c r="AS75" s="386"/>
      <c r="AT75" s="386"/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4"/>
        <v>41.071428571428569</v>
      </c>
      <c r="F76" s="1049"/>
      <c r="G76" s="1068"/>
      <c r="H76" s="1069"/>
      <c r="I76" s="1052">
        <f t="shared" si="55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-0.35267857142857117</v>
      </c>
      <c r="R76" s="1057"/>
      <c r="U76" s="238">
        <f t="shared" si="59"/>
        <v>45</v>
      </c>
      <c r="V76" s="239">
        <v>48</v>
      </c>
      <c r="W76" s="240">
        <f>+V76-U76</f>
        <v>3</v>
      </c>
      <c r="X76" s="241">
        <f t="shared" si="61"/>
        <v>0</v>
      </c>
      <c r="Z76" s="246"/>
      <c r="AA76" s="246"/>
      <c r="AB76" s="1064" t="s">
        <v>57</v>
      </c>
      <c r="AC76" s="1065"/>
      <c r="AD76" s="1065"/>
      <c r="AE76" s="1065"/>
      <c r="AF76" s="1065"/>
      <c r="AG76" s="1065"/>
      <c r="AH76" s="1065"/>
      <c r="AI76" s="1065"/>
      <c r="AJ76" s="1065"/>
      <c r="AK76" s="1065"/>
      <c r="AL76" s="393"/>
      <c r="AM76" s="504"/>
      <c r="AN76" s="504"/>
      <c r="AO76" s="504"/>
      <c r="AP76" s="504"/>
      <c r="AQ76" s="504"/>
      <c r="AR76" s="504"/>
      <c r="AS76" s="386"/>
      <c r="AT76" s="386"/>
    </row>
    <row r="77" spans="1:50" s="249" customFormat="1" ht="16.5">
      <c r="A77" s="247">
        <v>6</v>
      </c>
      <c r="B77" s="245" t="s">
        <v>62</v>
      </c>
      <c r="C77" s="1060">
        <f>6*3+7*(27)</f>
        <v>207</v>
      </c>
      <c r="D77" s="1061"/>
      <c r="E77" s="1048">
        <f t="shared" si="54"/>
        <v>29.571428571428573</v>
      </c>
      <c r="F77" s="1049"/>
      <c r="G77" s="1062"/>
      <c r="H77" s="1063"/>
      <c r="I77" s="1052">
        <f t="shared" si="55"/>
        <v>3.6964285714285716</v>
      </c>
      <c r="J77" s="1058"/>
      <c r="K77" s="1059">
        <f>+E77*30</f>
        <v>887.14285714285722</v>
      </c>
      <c r="L77" s="1059"/>
      <c r="M77" s="5"/>
      <c r="N77" s="1020">
        <f t="shared" si="57"/>
        <v>4.3125</v>
      </c>
      <c r="O77" s="1020"/>
      <c r="P77" s="5"/>
      <c r="Q77" s="1056">
        <f t="shared" si="58"/>
        <v>1.0848214285714284</v>
      </c>
      <c r="R77" s="1057"/>
      <c r="S77" s="1066">
        <f>20*30/180*117</f>
        <v>390</v>
      </c>
      <c r="T77" s="1067"/>
      <c r="U77" s="238">
        <f t="shared" si="59"/>
        <v>38</v>
      </c>
      <c r="V77" s="239">
        <v>48</v>
      </c>
      <c r="W77" s="240">
        <f t="shared" si="60"/>
        <v>10</v>
      </c>
      <c r="X77" s="241">
        <f t="shared" si="61"/>
        <v>0</v>
      </c>
      <c r="Y77" s="248"/>
      <c r="Z77" s="505"/>
      <c r="AA77" s="505"/>
      <c r="AB77" s="505"/>
      <c r="AC77" s="505"/>
      <c r="AD77" s="505"/>
      <c r="AE77" s="386"/>
      <c r="AF77" s="386"/>
      <c r="AG77" s="504"/>
      <c r="AH77" s="504"/>
      <c r="AI77" s="393"/>
      <c r="AJ77" s="393"/>
      <c r="AK77" s="393"/>
      <c r="AL77" s="393"/>
      <c r="AM77" s="504"/>
      <c r="AN77" s="504"/>
      <c r="AO77" s="504"/>
      <c r="AP77" s="504"/>
      <c r="AQ77" s="504"/>
      <c r="AR77" s="504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6*3+7*(25.7619)</f>
        <v>198.33330000000001</v>
      </c>
      <c r="D78" s="1061"/>
      <c r="E78" s="1048">
        <f t="shared" si="54"/>
        <v>28.333328571428574</v>
      </c>
      <c r="F78" s="1049"/>
      <c r="G78" s="1050">
        <v>25.761900000000001</v>
      </c>
      <c r="H78" s="1051"/>
      <c r="I78" s="1052">
        <f t="shared" si="55"/>
        <v>3.5416660714285717</v>
      </c>
      <c r="J78" s="1058"/>
      <c r="K78" s="1059">
        <f>+E78*30</f>
        <v>849.99985714285719</v>
      </c>
      <c r="L78" s="1059"/>
      <c r="M78" s="5"/>
      <c r="N78" s="1020">
        <f t="shared" si="57"/>
        <v>4.1319437500000005</v>
      </c>
      <c r="O78" s="1020"/>
      <c r="P78" s="5"/>
      <c r="Q78" s="1056">
        <f t="shared" si="58"/>
        <v>1.2395839285714283</v>
      </c>
      <c r="R78" s="1057"/>
      <c r="S78" s="507"/>
      <c r="T78" s="507"/>
      <c r="U78" s="238">
        <f>+AE40+U40+K40+AO19+AE19+U19+K19</f>
        <v>0</v>
      </c>
      <c r="V78" s="239">
        <v>48</v>
      </c>
      <c r="W78" s="240">
        <f t="shared" si="60"/>
        <v>48</v>
      </c>
      <c r="X78" s="241">
        <f>+J19+T19+AD19+J40+T40+AD40</f>
        <v>0</v>
      </c>
      <c r="Y78" s="507"/>
      <c r="Z78" s="505"/>
      <c r="AA78" s="505"/>
      <c r="AB78" s="505"/>
      <c r="AC78" s="505"/>
      <c r="AD78" s="505"/>
      <c r="AE78" s="386"/>
      <c r="AF78" s="386"/>
      <c r="AG78" s="504"/>
      <c r="AH78" s="504"/>
      <c r="AI78" s="393"/>
      <c r="AJ78" s="393"/>
      <c r="AK78" s="393"/>
      <c r="AL78" s="393"/>
      <c r="AM78" s="504"/>
      <c r="AN78" s="504"/>
      <c r="AO78" s="504"/>
      <c r="AP78" s="504"/>
      <c r="AQ78" s="504"/>
      <c r="AR78" s="504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6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4.78125</v>
      </c>
      <c r="R79" s="1057"/>
      <c r="U79" s="238">
        <f>+AE44+U44+K44+AO23+AE23+U23+K23</f>
        <v>0</v>
      </c>
      <c r="V79" s="239">
        <v>48</v>
      </c>
      <c r="W79" s="240">
        <f>+V79-U79</f>
        <v>48</v>
      </c>
      <c r="X79" s="241" t="e">
        <f>+#REF!+#REF!+#REF!+#REF!+#REF!+#REF!</f>
        <v>#REF!</v>
      </c>
      <c r="Z79" s="246"/>
      <c r="AA79" s="246"/>
      <c r="AB79" s="505"/>
      <c r="AC79" s="505"/>
      <c r="AD79" s="505"/>
      <c r="AE79" s="386"/>
      <c r="AF79" s="386"/>
      <c r="AG79" s="504"/>
      <c r="AH79" s="504"/>
      <c r="AI79" s="504"/>
      <c r="AJ79" s="504"/>
      <c r="AK79" s="504"/>
      <c r="AL79" s="504"/>
      <c r="AM79" s="504"/>
      <c r="AN79" s="504"/>
      <c r="AO79" s="504"/>
      <c r="AP79" s="504"/>
      <c r="AQ79" s="504"/>
      <c r="AR79" s="504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2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8.4821428571428825E-2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>+J20+T20+AD20+J41+T41+AD41</f>
        <v>0</v>
      </c>
      <c r="Z80" s="1045">
        <f>+K80/E80</f>
        <v>30</v>
      </c>
      <c r="AA80" s="1045"/>
      <c r="AB80" s="1045"/>
      <c r="AC80" s="1045"/>
      <c r="AD80" s="505"/>
      <c r="AE80" s="386"/>
      <c r="AF80" s="386"/>
      <c r="AG80" s="244"/>
      <c r="AH80" s="244"/>
      <c r="AI80" s="504"/>
      <c r="AJ80" s="504"/>
      <c r="AK80" s="504"/>
      <c r="AL80" s="504"/>
      <c r="AM80" s="504"/>
      <c r="AN80" s="504"/>
      <c r="AO80" s="504"/>
      <c r="AP80" s="504"/>
      <c r="AQ80" s="504"/>
      <c r="AR80" s="504"/>
      <c r="AS80" s="386"/>
      <c r="AT80" s="386"/>
    </row>
    <row r="81" spans="1:46" ht="16.5">
      <c r="A81" s="1">
        <v>3</v>
      </c>
      <c r="B81" s="237" t="s">
        <v>118</v>
      </c>
      <c r="C81" s="1046">
        <f>6*3+7*34.0952</f>
        <v>256.66639999999995</v>
      </c>
      <c r="D81" s="1047"/>
      <c r="E81" s="1048">
        <f t="shared" si="62"/>
        <v>36.666628571428568</v>
      </c>
      <c r="F81" s="1049"/>
      <c r="G81" s="1050">
        <f>(C81-18)/7</f>
        <v>34.095199999999991</v>
      </c>
      <c r="H81" s="1051"/>
      <c r="I81" s="1052">
        <f>+E81/8</f>
        <v>4.583328571428571</v>
      </c>
      <c r="J81" s="1053"/>
      <c r="K81" s="1054">
        <f>+E81*30</f>
        <v>1099.9988571428571</v>
      </c>
      <c r="L81" s="1055"/>
      <c r="M81" s="251"/>
      <c r="N81" s="1043">
        <f>+I81/6*7</f>
        <v>5.3472166666666663</v>
      </c>
      <c r="O81" s="1044"/>
      <c r="P81" s="5"/>
      <c r="Q81" s="1056">
        <f>+$I$69-I81</f>
        <v>0.19792142857142903</v>
      </c>
      <c r="R81" s="1057"/>
      <c r="S81" s="510"/>
      <c r="T81" s="510"/>
      <c r="U81" s="238">
        <f>+AE42+U42+K42+AO21+AE21+U21+K21</f>
        <v>48</v>
      </c>
      <c r="V81" s="239">
        <v>48</v>
      </c>
      <c r="W81" s="240">
        <f>+V81-U81</f>
        <v>0</v>
      </c>
      <c r="X81" s="241">
        <f>+J21+T21+AD21+J42+T42+AD42</f>
        <v>0</v>
      </c>
      <c r="Y81" s="510"/>
      <c r="Z81" s="252"/>
      <c r="AA81" s="394"/>
      <c r="AB81" s="389"/>
      <c r="AC81" s="511"/>
      <c r="AD81" s="511"/>
      <c r="AE81" s="386"/>
      <c r="AF81" s="386"/>
      <c r="AG81" s="504"/>
      <c r="AH81" s="504"/>
      <c r="AI81" s="393"/>
      <c r="AJ81" s="393"/>
      <c r="AK81" s="393"/>
      <c r="AL81" s="393"/>
      <c r="AM81" s="504"/>
      <c r="AN81" s="504"/>
      <c r="AO81" s="504"/>
      <c r="AP81" s="504"/>
      <c r="AQ81" s="504"/>
      <c r="AR81" s="504"/>
      <c r="AS81" s="386"/>
      <c r="AT81" s="386"/>
    </row>
    <row r="82" spans="1:46" ht="16.5">
      <c r="B82" s="250" t="s">
        <v>123</v>
      </c>
      <c r="C82" s="1035">
        <f>+G82*6</f>
        <v>169.99979999999999</v>
      </c>
      <c r="D82" s="1036"/>
      <c r="E82" s="1037">
        <f t="shared" si="62"/>
        <v>24.285685714285712</v>
      </c>
      <c r="F82" s="1038"/>
      <c r="G82" s="1039">
        <f>28.3333</f>
        <v>28.333300000000001</v>
      </c>
      <c r="H82" s="1040"/>
      <c r="I82" s="1037">
        <f>+G82/8</f>
        <v>3.5416625000000002</v>
      </c>
      <c r="J82" s="1038"/>
      <c r="K82" s="1041">
        <f>+G82*30</f>
        <v>849.99900000000002</v>
      </c>
      <c r="L82" s="1042"/>
      <c r="M82" s="5"/>
      <c r="N82" s="1043">
        <f t="shared" si="57"/>
        <v>4.1319395833333337</v>
      </c>
      <c r="O82" s="1044"/>
      <c r="P82" s="5"/>
      <c r="Q82" s="1004">
        <f t="shared" si="58"/>
        <v>1.2395874999999998</v>
      </c>
      <c r="R82" s="1005"/>
      <c r="S82" s="510"/>
      <c r="T82" s="510"/>
      <c r="U82" s="238">
        <f>+AE44+U44+K44+AO23+AE23+U23+K23</f>
        <v>0</v>
      </c>
      <c r="V82" s="239">
        <v>48</v>
      </c>
      <c r="W82" s="240">
        <f t="shared" si="60"/>
        <v>48</v>
      </c>
      <c r="X82" s="241">
        <f>+J22+T22+AD22+J43+T43+AD43</f>
        <v>0</v>
      </c>
      <c r="Y82" s="510"/>
      <c r="Z82" s="252"/>
      <c r="AA82" s="394"/>
      <c r="AB82" s="389"/>
      <c r="AC82" s="511"/>
      <c r="AD82" s="511"/>
      <c r="AE82" s="386"/>
      <c r="AF82" s="386"/>
      <c r="AG82" s="393"/>
      <c r="AH82" s="393"/>
      <c r="AI82" s="504"/>
      <c r="AJ82" s="504"/>
      <c r="AK82" s="504"/>
      <c r="AL82" s="504"/>
      <c r="AM82" s="504"/>
      <c r="AN82" s="504"/>
      <c r="AO82" s="504"/>
      <c r="AP82" s="504"/>
      <c r="AQ82" s="504"/>
      <c r="AR82" s="504"/>
      <c r="AS82" s="386"/>
      <c r="AT82" s="386"/>
    </row>
    <row r="83" spans="1:46" ht="16.5">
      <c r="B83" s="250" t="s">
        <v>30</v>
      </c>
      <c r="C83" s="1035">
        <f>+G83*6</f>
        <v>0</v>
      </c>
      <c r="D83" s="1036"/>
      <c r="E83" s="1382">
        <f t="shared" si="62"/>
        <v>0</v>
      </c>
      <c r="F83" s="1383"/>
      <c r="G83" s="1384"/>
      <c r="H83" s="1385"/>
      <c r="I83" s="1037">
        <f>+G83/8</f>
        <v>0</v>
      </c>
      <c r="J83" s="1038"/>
      <c r="K83" s="1386">
        <f>+G83*30</f>
        <v>0</v>
      </c>
      <c r="L83" s="1387"/>
      <c r="M83" s="5"/>
      <c r="N83" s="1043">
        <f t="shared" si="57"/>
        <v>0</v>
      </c>
      <c r="O83" s="1044"/>
      <c r="P83" s="5"/>
      <c r="Q83" s="1033">
        <f t="shared" si="58"/>
        <v>4.78125</v>
      </c>
      <c r="R83" s="1034"/>
      <c r="S83" s="510"/>
      <c r="T83" s="510"/>
      <c r="U83" s="238">
        <f>+AE47+U47+K47+AO26+AE26+U26+K26</f>
        <v>43180</v>
      </c>
      <c r="V83" s="239">
        <v>48</v>
      </c>
      <c r="W83" s="240">
        <f t="shared" si="60"/>
        <v>-43132</v>
      </c>
      <c r="X83" s="241">
        <f>+J26+T26+AD26+J47+T47+AD47</f>
        <v>0</v>
      </c>
      <c r="Y83" s="510"/>
      <c r="Z83" s="246"/>
      <c r="AA83" s="246"/>
      <c r="AB83" s="511"/>
      <c r="AC83" s="511"/>
      <c r="AD83" s="511"/>
      <c r="AE83" s="386"/>
      <c r="AF83" s="386"/>
      <c r="AG83" s="504"/>
      <c r="AH83" s="504"/>
      <c r="AI83" s="504"/>
      <c r="AJ83" s="504"/>
      <c r="AK83" s="504"/>
      <c r="AL83" s="504"/>
      <c r="AM83" s="504"/>
      <c r="AN83" s="504"/>
      <c r="AO83" s="504"/>
      <c r="AP83" s="504"/>
      <c r="AQ83" s="504"/>
      <c r="AR83" s="504"/>
      <c r="AS83" s="386"/>
      <c r="AT83" s="386"/>
    </row>
    <row r="84" spans="1:46" ht="16.5">
      <c r="A84" s="247"/>
      <c r="B84" s="250" t="s">
        <v>30</v>
      </c>
      <c r="C84" s="1024">
        <v>100</v>
      </c>
      <c r="D84" s="1025"/>
      <c r="E84" s="1026">
        <f t="shared" si="62"/>
        <v>14.285714285714286</v>
      </c>
      <c r="F84" s="1027"/>
      <c r="G84" s="1028">
        <f>+C84/6</f>
        <v>16.666666666666668</v>
      </c>
      <c r="H84" s="1029"/>
      <c r="I84" s="1030">
        <f>+E84/8/6*7</f>
        <v>2.0833333333333335</v>
      </c>
      <c r="J84" s="1031"/>
      <c r="K84" s="1032">
        <f>+G84*30</f>
        <v>500.00000000000006</v>
      </c>
      <c r="L84" s="1032"/>
      <c r="M84" s="5"/>
      <c r="N84" s="1020">
        <f>+I84/6*7</f>
        <v>2.4305555555555558</v>
      </c>
      <c r="O84" s="1020"/>
      <c r="P84" s="5"/>
      <c r="Q84" s="1033">
        <f>+$I$69-I84</f>
        <v>2.6979166666666665</v>
      </c>
      <c r="R84" s="1034"/>
      <c r="U84" s="238">
        <f>+AE44+U44+K44+AO23+AE23+U23+K23</f>
        <v>0</v>
      </c>
      <c r="V84" s="239">
        <v>48</v>
      </c>
      <c r="W84" s="240">
        <f t="shared" si="60"/>
        <v>48</v>
      </c>
      <c r="X84" s="241">
        <f>+J23+T23+AD23+J44+T44+AD44</f>
        <v>0</v>
      </c>
      <c r="Y84" s="248"/>
      <c r="Z84" s="505"/>
      <c r="AA84" s="505"/>
      <c r="AB84" s="505"/>
      <c r="AC84" s="505"/>
      <c r="AD84" s="505"/>
      <c r="AE84" s="386"/>
      <c r="AF84" s="386"/>
      <c r="AG84" s="504"/>
      <c r="AH84" s="504"/>
      <c r="AI84" s="386"/>
      <c r="AJ84" s="386"/>
      <c r="AK84" s="503"/>
      <c r="AL84" s="503"/>
      <c r="AM84" s="503"/>
      <c r="AN84" s="503"/>
      <c r="AO84" s="503"/>
      <c r="AP84" s="503"/>
      <c r="AQ84" s="503"/>
      <c r="AR84" s="503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2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7"/>
        <v>11.423610416666666</v>
      </c>
      <c r="O85" s="1020"/>
      <c r="P85" s="5"/>
      <c r="Q85" s="1004">
        <f t="shared" si="58"/>
        <v>-5.0104160714285708</v>
      </c>
      <c r="R85" s="1005"/>
      <c r="U85" s="238">
        <f>+AE48+U48+K48+AO27+AE27+U27+K27</f>
        <v>0</v>
      </c>
      <c r="V85" s="239">
        <v>48</v>
      </c>
      <c r="W85" s="240">
        <f t="shared" si="60"/>
        <v>48</v>
      </c>
      <c r="X85" s="241">
        <f>+J27+T27+AD27+J48+T48+AD48</f>
        <v>0</v>
      </c>
      <c r="Z85" s="246"/>
      <c r="AA85" s="246"/>
      <c r="AB85" s="505"/>
      <c r="AC85" s="505"/>
      <c r="AD85" s="505"/>
      <c r="AE85" s="386"/>
      <c r="AF85" s="386"/>
      <c r="AG85" s="504"/>
      <c r="AH85" s="504"/>
      <c r="AI85" s="504"/>
      <c r="AJ85" s="504"/>
      <c r="AK85" s="504"/>
      <c r="AL85" s="504"/>
      <c r="AM85" s="504"/>
      <c r="AN85" s="504"/>
      <c r="AO85" s="504"/>
      <c r="AP85" s="504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504"/>
      <c r="AF89" s="504"/>
      <c r="AG89" s="386"/>
      <c r="AH89" s="386"/>
      <c r="AI89" s="386"/>
      <c r="AJ89" s="504"/>
      <c r="AK89" s="504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504"/>
      <c r="AF90" s="504"/>
      <c r="AG90" s="386"/>
      <c r="AH90" s="386"/>
      <c r="AI90" s="386"/>
      <c r="AJ90" s="504"/>
      <c r="AK90" s="504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504"/>
      <c r="AF92" s="504"/>
      <c r="AG92" s="386"/>
      <c r="AH92" s="386"/>
      <c r="AI92" s="386"/>
      <c r="AJ92" s="504"/>
      <c r="AK92" s="504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504"/>
      <c r="AF95" s="504"/>
      <c r="AG95" s="386"/>
      <c r="AH95" s="386"/>
      <c r="AI95" s="386"/>
      <c r="AJ95" s="504"/>
      <c r="AK95" s="504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503"/>
      <c r="AM97" s="504"/>
      <c r="AN97" s="503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504"/>
      <c r="AF107" s="504"/>
      <c r="AG107" s="386"/>
      <c r="AH107" s="386"/>
      <c r="AI107" s="386"/>
      <c r="AJ107" s="504"/>
      <c r="AK107" s="504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503"/>
      <c r="AM115" s="504"/>
      <c r="AN115" s="503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504"/>
      <c r="AF126" s="504"/>
      <c r="AG126" s="386"/>
      <c r="AH126" s="386"/>
      <c r="AI126" s="386"/>
      <c r="AJ126" s="504"/>
      <c r="AK126" s="504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504"/>
      <c r="AF127" s="504"/>
      <c r="AG127" s="386"/>
      <c r="AH127" s="386"/>
      <c r="AI127" s="386"/>
      <c r="AJ127" s="504"/>
      <c r="AK127" s="504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504"/>
      <c r="AF129" s="504"/>
      <c r="AG129" s="386"/>
      <c r="AH129" s="386"/>
      <c r="AI129" s="386"/>
      <c r="AJ129" s="504"/>
      <c r="AK129" s="504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504"/>
      <c r="AF132" s="504"/>
      <c r="AG132" s="386"/>
      <c r="AH132" s="386"/>
      <c r="AI132" s="386"/>
      <c r="AJ132" s="504"/>
      <c r="AK132" s="504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503"/>
      <c r="AM134" s="504"/>
      <c r="AN134" s="503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504"/>
      <c r="AF144" s="504"/>
      <c r="AG144" s="386"/>
      <c r="AH144" s="386"/>
      <c r="AI144" s="386"/>
      <c r="AJ144" s="504"/>
      <c r="AK144" s="504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504"/>
      <c r="AF145" s="504"/>
      <c r="AG145" s="386"/>
      <c r="AH145" s="386"/>
      <c r="AI145" s="386"/>
      <c r="AJ145" s="504"/>
      <c r="AK145" s="504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504"/>
      <c r="AF147" s="504"/>
      <c r="AG147" s="386"/>
      <c r="AH147" s="386"/>
      <c r="AI147" s="386"/>
      <c r="AJ147" s="504"/>
      <c r="AK147" s="504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504"/>
      <c r="AF150" s="504"/>
      <c r="AG150" s="386"/>
      <c r="AH150" s="386"/>
      <c r="AI150" s="386"/>
      <c r="AJ150" s="504"/>
      <c r="AK150" s="504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503"/>
      <c r="AM152" s="504"/>
      <c r="AN152" s="503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504"/>
      <c r="AF164" s="504"/>
      <c r="AG164" s="386"/>
      <c r="AH164" s="386"/>
      <c r="AI164" s="386"/>
      <c r="AJ164" s="504"/>
      <c r="AK164" s="504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503"/>
      <c r="AM172" s="504"/>
      <c r="AN172" s="503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6.5" thickBot="1">
      <c r="B182" s="414">
        <v>850</v>
      </c>
      <c r="C182" s="303" t="s">
        <v>66</v>
      </c>
      <c r="D182" s="506"/>
      <c r="E182" s="304"/>
      <c r="F182" s="305"/>
      <c r="G182" s="506"/>
      <c r="H182" s="506"/>
      <c r="I182" s="305"/>
      <c r="J182" s="506"/>
      <c r="K182" s="306"/>
      <c r="L182" s="306"/>
      <c r="M182" s="506"/>
      <c r="N182" s="506"/>
      <c r="O182" s="506"/>
      <c r="P182" s="506"/>
      <c r="Q182" s="506"/>
      <c r="R182" s="506"/>
      <c r="S182" s="506"/>
      <c r="T182" s="506"/>
      <c r="U182" s="506"/>
      <c r="V182" s="506"/>
      <c r="W182" s="506"/>
      <c r="X182" s="506"/>
      <c r="Y182" s="506"/>
      <c r="Z182" s="506"/>
      <c r="AA182" s="307"/>
      <c r="AB182" s="307"/>
      <c r="AC182" s="308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415">
        <f>+B182/30*7</f>
        <v>198.33333333333331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310"/>
      <c r="AD183" s="386"/>
      <c r="AE183" s="504"/>
      <c r="AF183" s="504"/>
      <c r="AG183" s="386"/>
      <c r="AH183" s="386"/>
      <c r="AI183" s="386"/>
      <c r="AJ183" s="504"/>
      <c r="AK183" s="504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415">
        <f>+B183-18</f>
        <v>180.33333333333331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850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310"/>
      <c r="AD184" s="386"/>
      <c r="AE184" s="504"/>
      <c r="AF184" s="504"/>
      <c r="AG184" s="386"/>
      <c r="AH184" s="386"/>
      <c r="AI184" s="386"/>
      <c r="AJ184" s="504"/>
      <c r="AK184" s="504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416">
        <f>+B184/7</f>
        <v>25.761904761904759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198.33333333333331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172.54999999999998</v>
      </c>
      <c r="AB185" s="1092"/>
      <c r="AC185" s="310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311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28.333333333333332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310"/>
      <c r="AD186" s="386"/>
      <c r="AE186" s="504"/>
      <c r="AF186" s="504"/>
      <c r="AG186" s="386"/>
      <c r="AH186" s="386"/>
      <c r="AI186" s="386"/>
      <c r="AJ186" s="504"/>
      <c r="AK186" s="504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417">
        <f>+B185</f>
        <v>25.761904761904759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25.761904761904759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310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415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310"/>
      <c r="AD188" s="386"/>
      <c r="AE188" s="386"/>
      <c r="AF188" s="991">
        <v>993814365</v>
      </c>
      <c r="AG188" s="991"/>
      <c r="AH188" s="991"/>
      <c r="AI188" s="991"/>
      <c r="AJ188" s="991"/>
      <c r="AK188" s="386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416">
        <f>+B188+B187</f>
        <v>28.761904761904759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28.761904761904759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310"/>
      <c r="AD189" s="386"/>
      <c r="AE189" s="504"/>
      <c r="AF189" s="504"/>
      <c r="AG189" s="386"/>
      <c r="AH189" s="386"/>
      <c r="AI189" s="386"/>
      <c r="AJ189" s="504"/>
      <c r="AK189" s="504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415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310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415">
        <f>+B189*6</f>
        <v>172.57142857142856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310"/>
      <c r="AD191" s="386"/>
      <c r="AE191" s="386"/>
      <c r="AF191" s="386"/>
      <c r="AG191" s="386"/>
      <c r="AH191" s="386"/>
      <c r="AI191" s="397"/>
      <c r="AJ191" s="397"/>
      <c r="AK191" s="399"/>
      <c r="AL191" s="503"/>
      <c r="AM191" s="504"/>
      <c r="AN191" s="503"/>
      <c r="AO191" s="386"/>
      <c r="AP191" s="173"/>
      <c r="AQ191" s="173"/>
      <c r="AR191" s="173"/>
      <c r="AS191" s="173"/>
      <c r="AT191" s="173"/>
    </row>
    <row r="192" spans="2:46">
      <c r="B192" s="418">
        <f>+B187</f>
        <v>25.761904761904759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935.00000000000011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310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2:41">
      <c r="B193" s="416">
        <f>+B192+B191</f>
        <v>198.33333333333331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218.16666666666669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189.80500000000001</v>
      </c>
      <c r="AB193" s="1092"/>
      <c r="AC193" s="310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2:41">
      <c r="B194" s="415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31.166666666666668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310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2:41">
      <c r="B195" s="419">
        <f>+B193/7</f>
        <v>28.333333333333332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28.595238095238098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310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2:41">
      <c r="B196" s="415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310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2:41" ht="15.75" thickBot="1">
      <c r="B197" s="420"/>
      <c r="C197" s="314"/>
      <c r="D197" s="315"/>
      <c r="E197" s="316"/>
      <c r="F197" s="317"/>
      <c r="G197" s="315"/>
      <c r="H197" s="315"/>
      <c r="I197" s="317"/>
      <c r="J197" s="315"/>
      <c r="K197" s="318"/>
      <c r="L197" s="318"/>
      <c r="M197" s="315"/>
      <c r="N197" s="315"/>
      <c r="O197" s="1381">
        <f>+O196+O195</f>
        <v>31.595238095238098</v>
      </c>
      <c r="P197" s="1381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9"/>
      <c r="AB197" s="319"/>
      <c r="AC197" s="32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2:4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2:41" ht="15.75" thickBot="1">
      <c r="AE199" s="255"/>
      <c r="AF199" s="255"/>
      <c r="AJ199" s="255"/>
      <c r="AK199" s="255"/>
    </row>
    <row r="200" spans="2:41">
      <c r="C200" s="321"/>
      <c r="D200" s="506"/>
      <c r="E200" s="304"/>
      <c r="F200" s="305"/>
      <c r="G200" s="506"/>
      <c r="H200" s="506"/>
      <c r="I200" s="305"/>
      <c r="J200" s="506"/>
      <c r="K200" s="306"/>
      <c r="L200" s="306"/>
      <c r="M200" s="506"/>
      <c r="N200" s="506"/>
      <c r="O200" s="506"/>
      <c r="P200" s="506"/>
      <c r="Q200" s="506"/>
      <c r="R200" s="506"/>
      <c r="S200" s="506"/>
      <c r="T200" s="506"/>
      <c r="U200" s="506"/>
      <c r="V200" s="506"/>
      <c r="W200" s="506"/>
      <c r="X200" s="506"/>
      <c r="Y200" s="506"/>
      <c r="Z200" s="506"/>
      <c r="AA200" s="307"/>
      <c r="AB200" s="307"/>
      <c r="AC200" s="307"/>
      <c r="AD200" s="307"/>
      <c r="AE200" s="322"/>
      <c r="AF200" s="322"/>
      <c r="AG200" s="308"/>
      <c r="AJ200" s="255"/>
      <c r="AK200" s="255"/>
    </row>
    <row r="201" spans="2:41" ht="18">
      <c r="C201" s="323"/>
      <c r="D201" s="226"/>
      <c r="E201" s="324" t="s">
        <v>94</v>
      </c>
      <c r="F201" s="280"/>
      <c r="G201" s="226"/>
      <c r="H201" s="226"/>
      <c r="I201" s="280"/>
      <c r="J201" s="226"/>
      <c r="K201" s="275"/>
      <c r="L201" s="275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104"/>
      <c r="AB201" s="104"/>
      <c r="AC201" s="104"/>
      <c r="AD201" s="104"/>
      <c r="AE201" s="255"/>
      <c r="AF201" s="255"/>
      <c r="AG201" s="310"/>
      <c r="AJ201" s="255"/>
      <c r="AK201" s="255"/>
    </row>
    <row r="202" spans="2:41">
      <c r="C202" s="323"/>
      <c r="D202" s="226"/>
      <c r="E202" s="279"/>
      <c r="F202" s="280"/>
      <c r="G202" s="226"/>
      <c r="H202" s="226"/>
      <c r="I202" s="280"/>
      <c r="J202" s="226"/>
      <c r="K202" s="275"/>
      <c r="L202" s="275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971" t="s">
        <v>95</v>
      </c>
      <c r="AB202" s="972"/>
      <c r="AC202" s="973"/>
      <c r="AD202" s="974" t="s">
        <v>96</v>
      </c>
      <c r="AE202" s="975"/>
      <c r="AF202" s="976"/>
      <c r="AG202" s="310"/>
      <c r="AH202" s="104"/>
      <c r="AI202" s="104"/>
      <c r="AJ202" s="255"/>
      <c r="AK202" s="255"/>
    </row>
    <row r="203" spans="2:41" ht="16.5" thickBot="1">
      <c r="C203" s="323"/>
      <c r="D203" s="977" t="s">
        <v>97</v>
      </c>
      <c r="E203" s="977"/>
      <c r="F203" s="977"/>
      <c r="G203" s="977"/>
      <c r="H203" s="977"/>
      <c r="I203" s="978" t="s">
        <v>98</v>
      </c>
      <c r="J203" s="978"/>
      <c r="K203" s="978"/>
      <c r="L203" s="979" t="s">
        <v>99</v>
      </c>
      <c r="M203" s="979"/>
      <c r="N203" s="979"/>
      <c r="O203" s="979" t="s">
        <v>100</v>
      </c>
      <c r="P203" s="979"/>
      <c r="Q203" s="979"/>
      <c r="R203" s="980" t="s">
        <v>101</v>
      </c>
      <c r="S203" s="980"/>
      <c r="T203" s="980"/>
      <c r="U203" s="979" t="s">
        <v>102</v>
      </c>
      <c r="V203" s="979"/>
      <c r="W203" s="981"/>
      <c r="X203" s="982" t="s">
        <v>103</v>
      </c>
      <c r="Y203" s="983"/>
      <c r="Z203" s="984"/>
      <c r="AA203" s="985" t="s">
        <v>104</v>
      </c>
      <c r="AB203" s="985"/>
      <c r="AC203" s="986"/>
      <c r="AD203" s="987" t="s">
        <v>104</v>
      </c>
      <c r="AE203" s="988"/>
      <c r="AF203" s="989"/>
      <c r="AG203" s="310"/>
      <c r="AH203" s="104"/>
      <c r="AI203" s="104"/>
      <c r="AJ203" s="255"/>
      <c r="AK203" s="255"/>
    </row>
    <row r="204" spans="2:41" ht="19.5" thickTop="1">
      <c r="C204" s="325">
        <v>1</v>
      </c>
      <c r="D204" s="957" t="s">
        <v>105</v>
      </c>
      <c r="E204" s="957"/>
      <c r="F204" s="957"/>
      <c r="G204" s="957"/>
      <c r="H204" s="957"/>
      <c r="I204" s="958">
        <v>38.5</v>
      </c>
      <c r="J204" s="958"/>
      <c r="K204" s="958"/>
      <c r="L204" s="959">
        <v>1</v>
      </c>
      <c r="M204" s="959"/>
      <c r="N204" s="959"/>
      <c r="O204" s="959">
        <v>2</v>
      </c>
      <c r="P204" s="959"/>
      <c r="Q204" s="959"/>
      <c r="R204" s="960">
        <f t="shared" ref="R204:R210" si="63">+I204+L204+O204</f>
        <v>41.5</v>
      </c>
      <c r="S204" s="960"/>
      <c r="T204" s="960"/>
      <c r="U204" s="961">
        <f t="shared" ref="U204:U210" si="64">+I204*7+(L204+O204)*6</f>
        <v>287.5</v>
      </c>
      <c r="V204" s="961"/>
      <c r="W204" s="962"/>
      <c r="X204" s="963">
        <f t="shared" ref="X204:X210" si="65">+U204/7*30</f>
        <v>1232.1428571428571</v>
      </c>
      <c r="Y204" s="964"/>
      <c r="Z204" s="965"/>
      <c r="AA204" s="966">
        <v>37.571399999999997</v>
      </c>
      <c r="AB204" s="967"/>
      <c r="AC204" s="967"/>
      <c r="AD204" s="968">
        <f t="shared" ref="AD204:AD210" si="66">+AA204*30</f>
        <v>1127.1419999999998</v>
      </c>
      <c r="AE204" s="968"/>
      <c r="AF204" s="968"/>
      <c r="AG204" s="310"/>
      <c r="AH204" s="104" t="s">
        <v>106</v>
      </c>
      <c r="AI204" s="954" t="s">
        <v>107</v>
      </c>
      <c r="AJ204" s="955"/>
      <c r="AK204" s="955"/>
      <c r="AL204" s="955"/>
      <c r="AM204" s="956"/>
    </row>
    <row r="205" spans="2:41" ht="17.25">
      <c r="C205" s="325">
        <v>2</v>
      </c>
      <c r="D205" s="950" t="s">
        <v>108</v>
      </c>
      <c r="E205" s="950"/>
      <c r="F205" s="950"/>
      <c r="G205" s="950"/>
      <c r="H205" s="950"/>
      <c r="I205" s="951">
        <v>38.5</v>
      </c>
      <c r="J205" s="951"/>
      <c r="K205" s="951"/>
      <c r="L205" s="952">
        <v>1</v>
      </c>
      <c r="M205" s="952"/>
      <c r="N205" s="952"/>
      <c r="O205" s="952">
        <v>2</v>
      </c>
      <c r="P205" s="952"/>
      <c r="Q205" s="952"/>
      <c r="R205" s="938">
        <f t="shared" si="63"/>
        <v>41.5</v>
      </c>
      <c r="S205" s="938"/>
      <c r="T205" s="938"/>
      <c r="U205" s="953">
        <f t="shared" si="64"/>
        <v>287.5</v>
      </c>
      <c r="V205" s="953"/>
      <c r="W205" s="954"/>
      <c r="X205" s="947">
        <f t="shared" si="65"/>
        <v>1232.1428571428571</v>
      </c>
      <c r="Y205" s="948"/>
      <c r="Z205" s="949"/>
      <c r="AA205" s="935">
        <v>35.571399999999997</v>
      </c>
      <c r="AB205" s="936"/>
      <c r="AC205" s="936"/>
      <c r="AD205" s="937">
        <f t="shared" si="66"/>
        <v>1067.1419999999998</v>
      </c>
      <c r="AE205" s="937"/>
      <c r="AF205" s="937"/>
      <c r="AG205" s="310"/>
      <c r="AH205" s="104"/>
      <c r="AI205" s="104"/>
      <c r="AJ205" s="255"/>
      <c r="AK205" s="255"/>
    </row>
    <row r="206" spans="2:41" ht="17.25">
      <c r="C206" s="325">
        <v>3</v>
      </c>
      <c r="D206" s="950" t="s">
        <v>109</v>
      </c>
      <c r="E206" s="950"/>
      <c r="F206" s="950"/>
      <c r="G206" s="950"/>
      <c r="H206" s="950"/>
      <c r="I206" s="951">
        <v>38.5</v>
      </c>
      <c r="J206" s="951"/>
      <c r="K206" s="951"/>
      <c r="L206" s="952">
        <v>1</v>
      </c>
      <c r="M206" s="952"/>
      <c r="N206" s="952"/>
      <c r="O206" s="952">
        <v>2</v>
      </c>
      <c r="P206" s="952"/>
      <c r="Q206" s="952"/>
      <c r="R206" s="938">
        <f t="shared" si="63"/>
        <v>41.5</v>
      </c>
      <c r="S206" s="938"/>
      <c r="T206" s="938"/>
      <c r="U206" s="953">
        <f t="shared" si="64"/>
        <v>287.5</v>
      </c>
      <c r="V206" s="953"/>
      <c r="W206" s="954"/>
      <c r="X206" s="947">
        <f t="shared" si="65"/>
        <v>1232.1428571428571</v>
      </c>
      <c r="Y206" s="948"/>
      <c r="Z206" s="949"/>
      <c r="AA206" s="935">
        <v>32.571399999999997</v>
      </c>
      <c r="AB206" s="936"/>
      <c r="AC206" s="936"/>
      <c r="AD206" s="937">
        <f t="shared" si="66"/>
        <v>977.14199999999994</v>
      </c>
      <c r="AE206" s="937"/>
      <c r="AF206" s="937"/>
      <c r="AG206" s="310"/>
      <c r="AH206" s="104"/>
      <c r="AI206" s="104"/>
      <c r="AJ206" s="255"/>
      <c r="AK206" s="255"/>
    </row>
    <row r="207" spans="2:41" ht="17.25">
      <c r="C207" s="325">
        <v>4</v>
      </c>
      <c r="D207" s="950" t="s">
        <v>110</v>
      </c>
      <c r="E207" s="950"/>
      <c r="F207" s="950"/>
      <c r="G207" s="950"/>
      <c r="H207" s="950"/>
      <c r="I207" s="951">
        <v>35</v>
      </c>
      <c r="J207" s="951"/>
      <c r="K207" s="951"/>
      <c r="L207" s="952">
        <v>1</v>
      </c>
      <c r="M207" s="952"/>
      <c r="N207" s="952"/>
      <c r="O207" s="952">
        <v>2</v>
      </c>
      <c r="P207" s="952"/>
      <c r="Q207" s="952"/>
      <c r="R207" s="938">
        <f t="shared" si="63"/>
        <v>38</v>
      </c>
      <c r="S207" s="938"/>
      <c r="T207" s="938"/>
      <c r="U207" s="953">
        <f t="shared" si="64"/>
        <v>263</v>
      </c>
      <c r="V207" s="953"/>
      <c r="W207" s="954"/>
      <c r="X207" s="947">
        <f t="shared" si="65"/>
        <v>1127.1428571428571</v>
      </c>
      <c r="Y207" s="948"/>
      <c r="Z207" s="949"/>
      <c r="AA207" s="935">
        <v>35.321399999999997</v>
      </c>
      <c r="AB207" s="936"/>
      <c r="AC207" s="936"/>
      <c r="AD207" s="937">
        <f t="shared" si="66"/>
        <v>1059.6419999999998</v>
      </c>
      <c r="AE207" s="937"/>
      <c r="AF207" s="937"/>
      <c r="AG207" s="310"/>
      <c r="AH207" s="104"/>
      <c r="AI207" s="104"/>
      <c r="AJ207" s="255"/>
      <c r="AK207" s="255"/>
    </row>
    <row r="208" spans="2:41" ht="17.25">
      <c r="C208" s="325">
        <v>5</v>
      </c>
      <c r="D208" s="950" t="s">
        <v>111</v>
      </c>
      <c r="E208" s="950"/>
      <c r="F208" s="950"/>
      <c r="G208" s="950"/>
      <c r="H208" s="950"/>
      <c r="I208" s="951">
        <v>33.799999999999997</v>
      </c>
      <c r="J208" s="951"/>
      <c r="K208" s="951"/>
      <c r="L208" s="952">
        <v>1</v>
      </c>
      <c r="M208" s="952"/>
      <c r="N208" s="952"/>
      <c r="O208" s="952">
        <v>2</v>
      </c>
      <c r="P208" s="952"/>
      <c r="Q208" s="952"/>
      <c r="R208" s="938">
        <f t="shared" si="63"/>
        <v>36.799999999999997</v>
      </c>
      <c r="S208" s="938"/>
      <c r="T208" s="938"/>
      <c r="U208" s="953">
        <f t="shared" si="64"/>
        <v>254.59999999999997</v>
      </c>
      <c r="V208" s="953"/>
      <c r="W208" s="954"/>
      <c r="X208" s="947">
        <f t="shared" si="65"/>
        <v>1091.1428571428569</v>
      </c>
      <c r="Y208" s="948"/>
      <c r="Z208" s="949"/>
      <c r="AA208" s="935">
        <v>31.571400000000001</v>
      </c>
      <c r="AB208" s="936"/>
      <c r="AC208" s="936"/>
      <c r="AD208" s="937">
        <f t="shared" si="66"/>
        <v>947.14200000000005</v>
      </c>
      <c r="AE208" s="937"/>
      <c r="AF208" s="937"/>
      <c r="AG208" s="310"/>
      <c r="AH208" s="104"/>
      <c r="AI208" s="104"/>
      <c r="AJ208" s="255"/>
      <c r="AK208" s="255"/>
    </row>
    <row r="209" spans="3:41" ht="17.25">
      <c r="C209" s="325">
        <v>6</v>
      </c>
      <c r="D209" s="950" t="s">
        <v>112</v>
      </c>
      <c r="E209" s="950"/>
      <c r="F209" s="950"/>
      <c r="G209" s="950"/>
      <c r="H209" s="950"/>
      <c r="I209" s="951">
        <v>33.799999999999997</v>
      </c>
      <c r="J209" s="951"/>
      <c r="K209" s="951"/>
      <c r="L209" s="952">
        <v>1</v>
      </c>
      <c r="M209" s="952"/>
      <c r="N209" s="952"/>
      <c r="O209" s="952">
        <v>2</v>
      </c>
      <c r="P209" s="952"/>
      <c r="Q209" s="952"/>
      <c r="R209" s="938">
        <f t="shared" si="63"/>
        <v>36.799999999999997</v>
      </c>
      <c r="S209" s="938"/>
      <c r="T209" s="938"/>
      <c r="U209" s="953">
        <f t="shared" si="64"/>
        <v>254.59999999999997</v>
      </c>
      <c r="V209" s="953"/>
      <c r="W209" s="954"/>
      <c r="X209" s="947">
        <f t="shared" si="65"/>
        <v>1091.1428571428569</v>
      </c>
      <c r="Y209" s="948"/>
      <c r="Z209" s="949"/>
      <c r="AA209" s="935">
        <v>33.333300000000001</v>
      </c>
      <c r="AB209" s="936"/>
      <c r="AC209" s="936"/>
      <c r="AD209" s="937">
        <f t="shared" si="66"/>
        <v>999.99900000000002</v>
      </c>
      <c r="AE209" s="937"/>
      <c r="AF209" s="937"/>
      <c r="AG209" s="310"/>
      <c r="AH209" s="104"/>
      <c r="AI209" s="104"/>
      <c r="AJ209" s="255"/>
      <c r="AK209" s="255"/>
    </row>
    <row r="210" spans="3:41" ht="17.25">
      <c r="C210" s="325">
        <v>7</v>
      </c>
      <c r="D210" s="950" t="s">
        <v>113</v>
      </c>
      <c r="E210" s="950"/>
      <c r="F210" s="950"/>
      <c r="G210" s="950"/>
      <c r="H210" s="950"/>
      <c r="I210" s="951">
        <v>26</v>
      </c>
      <c r="J210" s="951"/>
      <c r="K210" s="951"/>
      <c r="L210" s="952">
        <v>1</v>
      </c>
      <c r="M210" s="952"/>
      <c r="N210" s="952"/>
      <c r="O210" s="952">
        <v>2</v>
      </c>
      <c r="P210" s="952"/>
      <c r="Q210" s="952"/>
      <c r="R210" s="938">
        <f t="shared" si="63"/>
        <v>29</v>
      </c>
      <c r="S210" s="938"/>
      <c r="T210" s="938"/>
      <c r="U210" s="953">
        <f t="shared" si="64"/>
        <v>200</v>
      </c>
      <c r="V210" s="953"/>
      <c r="W210" s="954"/>
      <c r="X210" s="947">
        <f t="shared" si="65"/>
        <v>857.14285714285722</v>
      </c>
      <c r="Y210" s="948"/>
      <c r="Z210" s="949"/>
      <c r="AA210" s="935">
        <v>25</v>
      </c>
      <c r="AB210" s="936"/>
      <c r="AC210" s="936"/>
      <c r="AD210" s="937">
        <f t="shared" si="66"/>
        <v>750</v>
      </c>
      <c r="AE210" s="937"/>
      <c r="AF210" s="937"/>
      <c r="AG210" s="310"/>
      <c r="AH210" s="104"/>
      <c r="AI210" s="104"/>
      <c r="AJ210" s="255"/>
      <c r="AK210" s="255"/>
    </row>
    <row r="211" spans="3:41" ht="17.25">
      <c r="C211" s="323"/>
      <c r="D211" s="278"/>
      <c r="E211" s="279"/>
      <c r="F211" s="280"/>
      <c r="G211" s="226"/>
      <c r="H211" s="226"/>
      <c r="I211" s="280"/>
      <c r="J211" s="226"/>
      <c r="K211" s="275"/>
      <c r="L211" s="275"/>
      <c r="M211" s="226"/>
      <c r="N211" s="226"/>
      <c r="O211" s="226"/>
      <c r="P211" s="226"/>
      <c r="Q211" s="226"/>
      <c r="R211" s="226"/>
      <c r="S211" s="938" t="s">
        <v>23</v>
      </c>
      <c r="T211" s="938"/>
      <c r="U211" s="938"/>
      <c r="V211" s="226"/>
      <c r="W211" s="226"/>
      <c r="X211" s="939">
        <f>SUM(X204:Z210)</f>
        <v>7862.9999999999991</v>
      </c>
      <c r="Y211" s="940"/>
      <c r="Z211" s="941"/>
      <c r="AA211" s="326"/>
      <c r="AB211" s="326"/>
      <c r="AC211" s="326"/>
      <c r="AD211" s="942">
        <f>SUM(AD204:AF210)</f>
        <v>6928.2089999999989</v>
      </c>
      <c r="AE211" s="942"/>
      <c r="AF211" s="942"/>
      <c r="AG211" s="310"/>
      <c r="AH211" s="104"/>
      <c r="AI211" s="104"/>
      <c r="AJ211" s="255"/>
      <c r="AK211" s="255"/>
    </row>
    <row r="212" spans="3:41" ht="15.75" thickBot="1">
      <c r="C212" s="323"/>
      <c r="D212" s="226"/>
      <c r="E212" s="279"/>
      <c r="F212" s="280"/>
      <c r="G212" s="226"/>
      <c r="H212" s="226"/>
      <c r="I212" s="280"/>
      <c r="J212" s="226"/>
      <c r="K212" s="275"/>
      <c r="L212" s="275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104"/>
      <c r="AB212" s="104"/>
      <c r="AC212" s="104"/>
      <c r="AD212" s="104"/>
      <c r="AE212" s="255"/>
      <c r="AF212" s="255"/>
      <c r="AG212" s="310"/>
      <c r="AH212" s="104"/>
      <c r="AI212" s="104"/>
      <c r="AJ212" s="255"/>
      <c r="AK212" s="255"/>
    </row>
    <row r="213" spans="3:41" ht="15.75" thickBot="1">
      <c r="C213" s="323"/>
      <c r="D213" s="226"/>
      <c r="E213" s="279"/>
      <c r="F213" s="280"/>
      <c r="G213" s="226"/>
      <c r="H213" s="226"/>
      <c r="I213" s="280"/>
      <c r="J213" s="226"/>
      <c r="K213" s="275"/>
      <c r="L213" s="943" t="s">
        <v>114</v>
      </c>
      <c r="M213" s="943"/>
      <c r="N213" s="943"/>
      <c r="O213" s="226"/>
      <c r="P213" s="226"/>
      <c r="Q213" s="226"/>
      <c r="R213" s="226"/>
      <c r="S213" s="226"/>
      <c r="T213" s="327" t="s">
        <v>115</v>
      </c>
      <c r="U213" s="226"/>
      <c r="V213" s="226"/>
      <c r="W213" s="226"/>
      <c r="X213" s="226"/>
      <c r="Y213" s="226"/>
      <c r="Z213" s="226"/>
      <c r="AA213" s="104"/>
      <c r="AB213" s="104"/>
      <c r="AC213" s="104"/>
      <c r="AD213" s="944">
        <f>+X211-AD211+0.01</f>
        <v>934.80100000000016</v>
      </c>
      <c r="AE213" s="945"/>
      <c r="AF213" s="946"/>
      <c r="AG213" s="310"/>
      <c r="AH213" s="104"/>
      <c r="AI213" s="104"/>
      <c r="AJ213" s="255"/>
      <c r="AK213" s="255"/>
    </row>
    <row r="214" spans="3:41" ht="15.75" thickBot="1">
      <c r="C214" s="328"/>
      <c r="D214" s="315"/>
      <c r="E214" s="316"/>
      <c r="F214" s="317"/>
      <c r="G214" s="315"/>
      <c r="H214" s="315"/>
      <c r="I214" s="317"/>
      <c r="J214" s="315"/>
      <c r="K214" s="318"/>
      <c r="L214" s="318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Z214" s="315"/>
      <c r="AA214" s="319"/>
      <c r="AB214" s="319"/>
      <c r="AC214" s="319"/>
      <c r="AD214" s="329"/>
      <c r="AE214" s="329"/>
      <c r="AF214" s="329"/>
      <c r="AG214" s="320"/>
      <c r="AH214" s="104"/>
      <c r="AI214" s="104"/>
      <c r="AJ214" s="255"/>
      <c r="AK214" s="255"/>
    </row>
    <row r="215" spans="3:41">
      <c r="AG215" s="173"/>
      <c r="AH215" s="173"/>
      <c r="AI215" s="173"/>
      <c r="AJ215" s="173"/>
      <c r="AK215" s="173"/>
      <c r="AL215" s="173"/>
      <c r="AM215" s="173"/>
      <c r="AN215" s="173"/>
      <c r="AO215" s="173"/>
    </row>
    <row r="216" spans="3:41">
      <c r="AG216" s="173"/>
      <c r="AH216" s="173"/>
      <c r="AI216" s="173"/>
      <c r="AJ216" s="173"/>
      <c r="AK216" s="173"/>
      <c r="AL216" s="173"/>
      <c r="AM216" s="173"/>
      <c r="AN216" s="173"/>
      <c r="AO216" s="173"/>
    </row>
    <row r="217" spans="3:41">
      <c r="AG217" s="173"/>
      <c r="AH217" s="173"/>
      <c r="AI217" s="173"/>
      <c r="AJ217" s="173"/>
      <c r="AK217" s="173"/>
      <c r="AL217" s="173"/>
      <c r="AM217" s="173"/>
      <c r="AN217" s="173"/>
      <c r="AO217" s="173"/>
    </row>
  </sheetData>
  <mergeCells count="581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1:AQ21"/>
    <mergeCell ref="AR21:AS21"/>
    <mergeCell ref="AP22:AQ22"/>
    <mergeCell ref="AR22:AS22"/>
    <mergeCell ref="AP23:AQ23"/>
    <mergeCell ref="AR23:AS23"/>
    <mergeCell ref="AP19:AQ19"/>
    <mergeCell ref="AR19:AS19"/>
    <mergeCell ref="AP20:AQ20"/>
    <mergeCell ref="AR20:AS20"/>
    <mergeCell ref="AP24:AQ24"/>
    <mergeCell ref="AR24:AS24"/>
    <mergeCell ref="BE25:BE26"/>
    <mergeCell ref="BF25:BF26"/>
    <mergeCell ref="B26:B31"/>
    <mergeCell ref="C26:J27"/>
    <mergeCell ref="K26:L27"/>
    <mergeCell ref="M26:T27"/>
    <mergeCell ref="U26:V27"/>
    <mergeCell ref="W26:AD27"/>
    <mergeCell ref="AZ26:BC26"/>
    <mergeCell ref="AZ27:BB28"/>
    <mergeCell ref="C28:D31"/>
    <mergeCell ref="E28:E31"/>
    <mergeCell ref="F28:F31"/>
    <mergeCell ref="G28:H31"/>
    <mergeCell ref="I28:I31"/>
    <mergeCell ref="J28:J31"/>
    <mergeCell ref="AM26:AM31"/>
    <mergeCell ref="AN26:AN31"/>
    <mergeCell ref="AO26:AO31"/>
    <mergeCell ref="AP26:AP31"/>
    <mergeCell ref="AQ26:AQ31"/>
    <mergeCell ref="AR26:AS31"/>
    <mergeCell ref="K28:K31"/>
    <mergeCell ref="L28:L31"/>
    <mergeCell ref="M28:N31"/>
    <mergeCell ref="O28:O31"/>
    <mergeCell ref="P28:P31"/>
    <mergeCell ref="Q28:R31"/>
    <mergeCell ref="AR32:AS32"/>
    <mergeCell ref="AW32:AX32"/>
    <mergeCell ref="AR33:AS33"/>
    <mergeCell ref="AW33:AX33"/>
    <mergeCell ref="AH26:AH31"/>
    <mergeCell ref="AI26:AI31"/>
    <mergeCell ref="AJ26:AJ31"/>
    <mergeCell ref="AK26:AK31"/>
    <mergeCell ref="AL26:AL31"/>
    <mergeCell ref="S28:S31"/>
    <mergeCell ref="T28:T31"/>
    <mergeCell ref="U28:U31"/>
    <mergeCell ref="V28:V31"/>
    <mergeCell ref="W28:X31"/>
    <mergeCell ref="Y28:Y31"/>
    <mergeCell ref="AR34:AS34"/>
    <mergeCell ref="AW34:AX34"/>
    <mergeCell ref="Z28:Z31"/>
    <mergeCell ref="AA28:AB31"/>
    <mergeCell ref="AC28:AC31"/>
    <mergeCell ref="AD28:AD31"/>
    <mergeCell ref="AE28:AE31"/>
    <mergeCell ref="AF28:AF31"/>
    <mergeCell ref="AT26:AT31"/>
    <mergeCell ref="AW26:AX31"/>
    <mergeCell ref="AE26:AF27"/>
    <mergeCell ref="AR38:AS38"/>
    <mergeCell ref="AW38:AX38"/>
    <mergeCell ref="AR39:AS39"/>
    <mergeCell ref="AW39:AX39"/>
    <mergeCell ref="AR40:AS40"/>
    <mergeCell ref="AW40:AX40"/>
    <mergeCell ref="AR35:AS35"/>
    <mergeCell ref="AW35:AX35"/>
    <mergeCell ref="AR36:AS36"/>
    <mergeCell ref="AW36:AX36"/>
    <mergeCell ref="AR37:AS37"/>
    <mergeCell ref="AW37:AX37"/>
    <mergeCell ref="AR43:AS43"/>
    <mergeCell ref="AW43:AX43"/>
    <mergeCell ref="AR44:AS44"/>
    <mergeCell ref="AW44:AX44"/>
    <mergeCell ref="AR45:AS45"/>
    <mergeCell ref="AW45:AX45"/>
    <mergeCell ref="AW41:AX41"/>
    <mergeCell ref="AR41:AS41"/>
    <mergeCell ref="AR42:AS42"/>
    <mergeCell ref="AW42:AX42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46:AS46"/>
    <mergeCell ref="AR60:AS60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AB66:AL67"/>
    <mergeCell ref="C68:D68"/>
    <mergeCell ref="E68:F68"/>
    <mergeCell ref="I68:J68"/>
    <mergeCell ref="K68:L68"/>
    <mergeCell ref="N68:O68"/>
    <mergeCell ref="C71:D71"/>
    <mergeCell ref="E71:F71"/>
    <mergeCell ref="I71:J71"/>
    <mergeCell ref="K71:L71"/>
    <mergeCell ref="N71:O71"/>
    <mergeCell ref="Q71:R71"/>
    <mergeCell ref="Q68:R68"/>
    <mergeCell ref="C69:D69"/>
    <mergeCell ref="E69:F69"/>
    <mergeCell ref="I69:J69"/>
    <mergeCell ref="K69:L69"/>
    <mergeCell ref="N69:O69"/>
    <mergeCell ref="Q69:R69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S74:T74"/>
    <mergeCell ref="Z74:AC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Q76:R76"/>
    <mergeCell ref="AB76:AK76"/>
    <mergeCell ref="C77:D77"/>
    <mergeCell ref="E77:F77"/>
    <mergeCell ref="G77:H77"/>
    <mergeCell ref="I77:J77"/>
    <mergeCell ref="K77:L77"/>
    <mergeCell ref="N77:O77"/>
    <mergeCell ref="Q77:R77"/>
    <mergeCell ref="S77:T77"/>
    <mergeCell ref="C76:D76"/>
    <mergeCell ref="E76:F76"/>
    <mergeCell ref="G76:H76"/>
    <mergeCell ref="I76:J76"/>
    <mergeCell ref="K76:L76"/>
    <mergeCell ref="N76:O76"/>
    <mergeCell ref="Q78:R78"/>
    <mergeCell ref="C79:D79"/>
    <mergeCell ref="E79:F79"/>
    <mergeCell ref="G79:H79"/>
    <mergeCell ref="I79:J79"/>
    <mergeCell ref="K79:L79"/>
    <mergeCell ref="N79:O79"/>
    <mergeCell ref="Q79:R79"/>
    <mergeCell ref="C78:D78"/>
    <mergeCell ref="E78:F78"/>
    <mergeCell ref="G78:H78"/>
    <mergeCell ref="I78:J78"/>
    <mergeCell ref="K78:L78"/>
    <mergeCell ref="N78:O78"/>
    <mergeCell ref="Z80:AC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I80:J80"/>
    <mergeCell ref="K80:L80"/>
    <mergeCell ref="N80:O80"/>
    <mergeCell ref="Q80:R80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H87:N87"/>
    <mergeCell ref="O89:Z89"/>
    <mergeCell ref="O90:P90"/>
    <mergeCell ref="Q90:Z90"/>
    <mergeCell ref="O91:P91"/>
    <mergeCell ref="Q91:Z91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94:P194"/>
    <mergeCell ref="Q194:Z194"/>
    <mergeCell ref="O195:P195"/>
    <mergeCell ref="Q195:Z195"/>
    <mergeCell ref="O196:P196"/>
    <mergeCell ref="Q196:Z196"/>
    <mergeCell ref="AF188:AJ188"/>
    <mergeCell ref="O189:P189"/>
    <mergeCell ref="O191:Z191"/>
    <mergeCell ref="O192:P192"/>
    <mergeCell ref="Q192:Z192"/>
    <mergeCell ref="O193:P193"/>
    <mergeCell ref="Q193:Z193"/>
    <mergeCell ref="AA193:AB193"/>
    <mergeCell ref="O197:P197"/>
    <mergeCell ref="AA202:AC202"/>
    <mergeCell ref="AD202:AF202"/>
    <mergeCell ref="D203:H203"/>
    <mergeCell ref="I203:K203"/>
    <mergeCell ref="L203:N203"/>
    <mergeCell ref="O203:Q203"/>
    <mergeCell ref="R203:T203"/>
    <mergeCell ref="U203:W203"/>
    <mergeCell ref="X203:Z203"/>
    <mergeCell ref="AA203:AC203"/>
    <mergeCell ref="AD203:AF203"/>
    <mergeCell ref="AI204:AM204"/>
    <mergeCell ref="D205:H205"/>
    <mergeCell ref="I205:K205"/>
    <mergeCell ref="L205:N205"/>
    <mergeCell ref="O205:Q205"/>
    <mergeCell ref="R205:T205"/>
    <mergeCell ref="U205:W205"/>
    <mergeCell ref="X205:Z205"/>
    <mergeCell ref="AA205:AC205"/>
    <mergeCell ref="AD205:AF205"/>
    <mergeCell ref="D204:H204"/>
    <mergeCell ref="I204:K204"/>
    <mergeCell ref="L204:N204"/>
    <mergeCell ref="O204:Q204"/>
    <mergeCell ref="R204:T204"/>
    <mergeCell ref="U204:W204"/>
    <mergeCell ref="X204:Z204"/>
    <mergeCell ref="AA204:AC204"/>
    <mergeCell ref="AD204:AF204"/>
    <mergeCell ref="D206:H206"/>
    <mergeCell ref="I206:K206"/>
    <mergeCell ref="L206:N206"/>
    <mergeCell ref="O206:Q206"/>
    <mergeCell ref="R206:T206"/>
    <mergeCell ref="U206:W206"/>
    <mergeCell ref="X206:Z206"/>
    <mergeCell ref="AA206:AC206"/>
    <mergeCell ref="AD206:AF206"/>
    <mergeCell ref="X207:Z207"/>
    <mergeCell ref="AA207:AC207"/>
    <mergeCell ref="AD207:AF207"/>
    <mergeCell ref="D208:H208"/>
    <mergeCell ref="I208:K208"/>
    <mergeCell ref="L208:N208"/>
    <mergeCell ref="O208:Q208"/>
    <mergeCell ref="R208:T208"/>
    <mergeCell ref="U208:W208"/>
    <mergeCell ref="X208:Z208"/>
    <mergeCell ref="D207:H207"/>
    <mergeCell ref="I207:K207"/>
    <mergeCell ref="L207:N207"/>
    <mergeCell ref="O207:Q207"/>
    <mergeCell ref="R207:T207"/>
    <mergeCell ref="U207:W207"/>
    <mergeCell ref="AA208:AC208"/>
    <mergeCell ref="AD208:AF208"/>
    <mergeCell ref="AD211:AF211"/>
    <mergeCell ref="L213:N213"/>
    <mergeCell ref="AD213:AF213"/>
    <mergeCell ref="AD209:AF209"/>
    <mergeCell ref="D210:H210"/>
    <mergeCell ref="I210:K210"/>
    <mergeCell ref="L210:N210"/>
    <mergeCell ref="O210:Q210"/>
    <mergeCell ref="R210:T210"/>
    <mergeCell ref="U210:W210"/>
    <mergeCell ref="X210:Z210"/>
    <mergeCell ref="AA210:AC210"/>
    <mergeCell ref="AD210:AF210"/>
    <mergeCell ref="D209:H209"/>
    <mergeCell ref="I209:K209"/>
    <mergeCell ref="L209:N209"/>
    <mergeCell ref="O209:Q209"/>
    <mergeCell ref="R209:T209"/>
    <mergeCell ref="U209:W209"/>
    <mergeCell ref="X209:Z209"/>
    <mergeCell ref="AA209:AC209"/>
    <mergeCell ref="S211:U211"/>
    <mergeCell ref="X211:Z211"/>
  </mergeCells>
  <conditionalFormatting sqref="AP67 AH60 AP60 AH32:AH48 AP32:AP48">
    <cfRule type="cellIs" dxfId="273" priority="16" stopIfTrue="1" operator="lessThanOrEqual">
      <formula>0</formula>
    </cfRule>
  </conditionalFormatting>
  <conditionalFormatting sqref="L227:L228 K198:L198 K227:K230 L230 K158:L159 K215:L218 K179:L179 K85:L141 K79:K83 L79:L81">
    <cfRule type="cellIs" dxfId="272" priority="15" stopIfTrue="1" operator="greaterThanOrEqual">
      <formula>$K$72</formula>
    </cfRule>
  </conditionalFormatting>
  <conditionalFormatting sqref="AR48:AT48 AR46:AT46 AP56:AT57 AR60:AS60 AR43:AS45 AR32:AS32 AR33:AR42 AP22:AT26 AT19:AT22 AP19:AP22 AR19:AR22 AT5 AP11:AT18 AQ20:AQ21 AS20:AS21">
    <cfRule type="cellIs" dxfId="271" priority="14" stopIfTrue="1" operator="lessThan">
      <formula>0</formula>
    </cfRule>
  </conditionalFormatting>
  <conditionalFormatting sqref="AJ56:AJ57 F60 Z60 F56:F58 P60:P66 P56:P58 Z56:Z58 Z32:Z48 F32:F48 P32:P53 AJ11:AJ26 F11:F25 Z11:Z26 P11:P26">
    <cfRule type="cellIs" dxfId="270" priority="13" stopIfTrue="1" operator="lessThanOrEqual">
      <formula>0</formula>
    </cfRule>
  </conditionalFormatting>
  <conditionalFormatting sqref="AM56:AM57 AC60 I60 AC56:AC58 S60:S66 S56:S58 I56:I58 AC32:AC48 I32:I48 S32:S53 AM11:AM26 S11:S26 I11:I25 AC11:AC26">
    <cfRule type="cellIs" dxfId="269" priority="12" stopIfTrue="1" operator="lessThanOrEqual">
      <formula>0</formula>
    </cfRule>
  </conditionalFormatting>
  <conditionalFormatting sqref="K56:L58 AO56:AO57 AE56:AE57 K60:L60 AE60:AF60 U60:V66 AE58:AF58 U56:V58 K46:L48 AE46:AF48 U46:V54 K44:L44 AE44:AF44 AE45 U45 K45 AE41:AF41 U41:V41 U42:U43 AE42:AE43 U43:V44 U32:V32 U25:V26 K25:L26 AE32:AF32 AE25:AF26 U24 K22:L23 K24 K32:L32 U22:V23 U33:U40 AE33:AE40 K33:K43 AE14:AF14 K11:L11 AE11:AE13 U11:V11 K17:L17 V17 K12:K16 U12:U22 K18:K22 AO11:AO26 AE15:AE24">
    <cfRule type="cellIs" dxfId="268" priority="11" stopIfTrue="1" operator="lessThanOrEqual">
      <formula>0</formula>
    </cfRule>
  </conditionalFormatting>
  <conditionalFormatting sqref="Z49:AA53 Z61:AA66 W85:X85 W74:X83">
    <cfRule type="cellIs" dxfId="267" priority="10" stopIfTrue="1" operator="lessThan">
      <formula>0</formula>
    </cfRule>
  </conditionalFormatting>
  <conditionalFormatting sqref="X49:X53 X61:X66 U85 U74:U83">
    <cfRule type="cellIs" dxfId="266" priority="9" stopIfTrue="1" operator="greaterThan">
      <formula>48</formula>
    </cfRule>
  </conditionalFormatting>
  <conditionalFormatting sqref="C215:C219 C227:D230 C158:D158 D215:D226 C86:D141">
    <cfRule type="cellIs" dxfId="265" priority="8" stopIfTrue="1" operator="lessThan">
      <formula>$C$71</formula>
    </cfRule>
  </conditionalFormatting>
  <conditionalFormatting sqref="AI60:AO60 AI32:AO48">
    <cfRule type="cellIs" dxfId="264" priority="6" stopIfTrue="1" operator="equal">
      <formula>0</formula>
    </cfRule>
    <cfRule type="cellIs" dxfId="263" priority="7" stopIfTrue="1" operator="lessThan">
      <formula>0</formula>
    </cfRule>
  </conditionalFormatting>
  <conditionalFormatting sqref="AT60 AT32:AT45">
    <cfRule type="cellIs" dxfId="262" priority="4" stopIfTrue="1" operator="greaterThan">
      <formula>0</formula>
    </cfRule>
    <cfRule type="cellIs" dxfId="261" priority="5" stopIfTrue="1" operator="lessThan">
      <formula>1</formula>
    </cfRule>
  </conditionalFormatting>
  <conditionalFormatting sqref="K84:L84 K71:L81">
    <cfRule type="cellIs" dxfId="260" priority="3" stopIfTrue="1" operator="greaterThanOrEqual">
      <formula>$K$69</formula>
    </cfRule>
  </conditionalFormatting>
  <conditionalFormatting sqref="AF56:AF57 AF33:AF45 V32:V45 L32:L45 L12:L24 V12:V24 AF11:AF24">
    <cfRule type="cellIs" dxfId="259" priority="1" stopIfTrue="1" operator="equal">
      <formula>0</formula>
    </cfRule>
    <cfRule type="cellIs" dxfId="258" priority="2" stopIfTrue="1" operator="lessThan">
      <formula>0</formula>
    </cfRule>
  </conditionalFormatting>
  <hyperlinks>
    <hyperlink ref="AB76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Z20:BB22 AK37:AT39 AK41:AT44 AK40:AP40 AR40:AT40 BD20:BD22" formula="1"/>
  </ignoredErrors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19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H34" sqref="H34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83" customWidth="1"/>
    <col min="5" max="5" width="4.28515625" style="3" customWidth="1"/>
    <col min="6" max="6" width="4.28515625" style="4" customWidth="1"/>
    <col min="7" max="8" width="4.28515625" style="483" customWidth="1"/>
    <col min="9" max="9" width="4.28515625" style="4" customWidth="1"/>
    <col min="10" max="10" width="4.28515625" style="483" customWidth="1"/>
    <col min="11" max="12" width="4.28515625" style="5" customWidth="1"/>
    <col min="13" max="26" width="4.28515625" style="483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43173</v>
      </c>
      <c r="C1" s="483" t="s">
        <v>0</v>
      </c>
      <c r="AN1" s="7"/>
      <c r="AO1" s="7"/>
      <c r="AR1" s="1340">
        <f>+AR48+AT48</f>
        <v>177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43174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83">
        <v>0</v>
      </c>
    </row>
    <row r="5" spans="1:58" ht="10.9" customHeight="1">
      <c r="B5" s="1244" t="s">
        <v>1</v>
      </c>
      <c r="C5" s="1140">
        <v>43167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43168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43169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43170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43167</v>
      </c>
      <c r="AW7" s="1296">
        <f>+M5</f>
        <v>43168</v>
      </c>
      <c r="AX7" s="1296">
        <f>+W5</f>
        <v>43169</v>
      </c>
      <c r="AY7" s="1309">
        <f>+AG5</f>
        <v>43170</v>
      </c>
      <c r="AZ7" s="1296">
        <f>+C27</f>
        <v>43171</v>
      </c>
      <c r="BA7" s="1296">
        <f>+M27</f>
        <v>43172</v>
      </c>
      <c r="BB7" s="1296">
        <f>+W27</f>
        <v>43173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/>
      <c r="D11" s="335"/>
      <c r="E11" s="16"/>
      <c r="F11" s="17">
        <f t="shared" ref="F11:F21" si="1">+D11-C11-E11</f>
        <v>0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0</v>
      </c>
      <c r="L11" s="20">
        <f t="shared" ref="L11:L25" si="4">IF(C11&gt;0,(F11+I11)+IF(K$5&gt;0,F11,-8),0)+IF(U$5&gt;0,I11,0)</f>
        <v>0</v>
      </c>
      <c r="M11" s="336">
        <v>7</v>
      </c>
      <c r="N11" s="335">
        <v>18</v>
      </c>
      <c r="O11" s="16">
        <v>1</v>
      </c>
      <c r="P11" s="17">
        <f t="shared" ref="P11:P21" si="5">+N11-M11-O11</f>
        <v>10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2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>
        <v>7</v>
      </c>
      <c r="AH11" s="337">
        <v>16</v>
      </c>
      <c r="AI11" s="23">
        <v>1</v>
      </c>
      <c r="AJ11" s="24">
        <f t="shared" ref="AJ11:AJ25" si="12">+AH11-AG11-AI11</f>
        <v>8</v>
      </c>
      <c r="AK11" s="335"/>
      <c r="AL11" s="335"/>
      <c r="AM11" s="17">
        <f t="shared" ref="AM11:AM21" si="13">+AL11-AK11</f>
        <v>0</v>
      </c>
      <c r="AN11" s="22"/>
      <c r="AO11" s="25">
        <f t="shared" ref="AO11:AO21" si="14">(AJ11*2+AM11)</f>
        <v>16</v>
      </c>
      <c r="AP11" s="1297">
        <f t="shared" ref="AP11:AP25" si="15">+L11+V11+AF11+AO11+L33+V33+AF33-AN11</f>
        <v>18</v>
      </c>
      <c r="AQ11" s="1298"/>
      <c r="AR11" s="1299">
        <f t="shared" ref="AR11:AR21" si="16">ROUND(BD11*AP11,1)</f>
        <v>81.8</v>
      </c>
      <c r="AS11" s="1300"/>
      <c r="AT11" s="338">
        <f t="shared" ref="AT11:AT20" si="17">IF(AT33&gt;0,AT33*$AT$10,0)</f>
        <v>24</v>
      </c>
      <c r="AV11" s="26">
        <f t="shared" ref="AV11:AV21" si="18">+L11</f>
        <v>0</v>
      </c>
      <c r="AW11" s="26">
        <f t="shared" ref="AW11:AW21" si="19">+V11</f>
        <v>2</v>
      </c>
      <c r="AX11" s="26">
        <f t="shared" ref="AX11:AX21" si="20">+AF11</f>
        <v>0</v>
      </c>
      <c r="AY11" s="27">
        <f t="shared" ref="AY11:AY21" si="21">+AO11</f>
        <v>16</v>
      </c>
      <c r="AZ11" s="26">
        <f t="shared" ref="AZ11:AZ19" si="22">+L33</f>
        <v>0</v>
      </c>
      <c r="BA11" s="26">
        <f t="shared" ref="BA11:BA19" si="23">+V33</f>
        <v>0</v>
      </c>
      <c r="BB11" s="26">
        <f t="shared" ref="BB11:BB19" si="24">+AF33</f>
        <v>0</v>
      </c>
      <c r="BC11" s="28"/>
      <c r="BD11" s="339">
        <f t="shared" ref="BD11:BD17" si="25">+I73</f>
        <v>4.5464285714285708</v>
      </c>
      <c r="BE11" s="340">
        <f t="shared" ref="BE11:BE21" si="26">+BD11*AP11</f>
        <v>81.835714285714275</v>
      </c>
      <c r="BF11" s="341">
        <f t="shared" ref="BF11:BF21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479">
        <v>7</v>
      </c>
      <c r="N12" s="342">
        <v>23</v>
      </c>
      <c r="O12" s="30">
        <v>1</v>
      </c>
      <c r="P12" s="31">
        <f t="shared" si="5"/>
        <v>15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7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48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0</v>
      </c>
      <c r="AG12" s="37">
        <v>7</v>
      </c>
      <c r="AH12" s="342">
        <v>18</v>
      </c>
      <c r="AI12" s="30">
        <v>1</v>
      </c>
      <c r="AJ12" s="38">
        <f>+AH12-AG12-AI12</f>
        <v>10</v>
      </c>
      <c r="AK12" s="342"/>
      <c r="AL12" s="342"/>
      <c r="AM12" s="31">
        <f t="shared" si="13"/>
        <v>0</v>
      </c>
      <c r="AN12" s="39"/>
      <c r="AO12" s="40">
        <f t="shared" si="14"/>
        <v>20</v>
      </c>
      <c r="AP12" s="1282">
        <f t="shared" si="15"/>
        <v>49</v>
      </c>
      <c r="AQ12" s="1283"/>
      <c r="AR12" s="1284">
        <f t="shared" si="16"/>
        <v>251.6</v>
      </c>
      <c r="AS12" s="1285"/>
      <c r="AT12" s="345">
        <f t="shared" si="17"/>
        <v>28</v>
      </c>
      <c r="AV12" s="26">
        <f t="shared" si="18"/>
        <v>2</v>
      </c>
      <c r="AW12" s="26">
        <f t="shared" si="19"/>
        <v>7</v>
      </c>
      <c r="AX12" s="26">
        <f t="shared" si="20"/>
        <v>0</v>
      </c>
      <c r="AY12" s="27">
        <f t="shared" si="21"/>
        <v>20</v>
      </c>
      <c r="AZ12" s="26">
        <f t="shared" si="22"/>
        <v>4</v>
      </c>
      <c r="BA12" s="26">
        <f t="shared" si="23"/>
        <v>13</v>
      </c>
      <c r="BB12" s="26">
        <f t="shared" si="24"/>
        <v>3</v>
      </c>
      <c r="BC12" s="28"/>
      <c r="BD12" s="339">
        <f t="shared" si="25"/>
        <v>5.1339285714285712</v>
      </c>
      <c r="BE12" s="340">
        <f t="shared" si="26"/>
        <v>251.5625</v>
      </c>
      <c r="BF12" s="341">
        <f t="shared" si="27"/>
        <v>102.67857142857142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479"/>
      <c r="N13" s="342"/>
      <c r="O13" s="30"/>
      <c r="P13" s="31">
        <f t="shared" si="5"/>
        <v>0</v>
      </c>
      <c r="Q13" s="33"/>
      <c r="R13" s="346"/>
      <c r="S13" s="31">
        <f t="shared" si="6"/>
        <v>0</v>
      </c>
      <c r="T13" s="30"/>
      <c r="U13" s="32">
        <f t="shared" si="7"/>
        <v>0</v>
      </c>
      <c r="V13" s="20">
        <f t="shared" si="8"/>
        <v>0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0</v>
      </c>
      <c r="AQ13" s="1283"/>
      <c r="AR13" s="1284">
        <f t="shared" si="16"/>
        <v>0</v>
      </c>
      <c r="AS13" s="1285"/>
      <c r="AT13" s="345">
        <f t="shared" si="17"/>
        <v>12</v>
      </c>
      <c r="AV13" s="26">
        <f t="shared" si="18"/>
        <v>0</v>
      </c>
      <c r="AW13" s="26">
        <f t="shared" si="19"/>
        <v>0</v>
      </c>
      <c r="AX13" s="26">
        <f t="shared" si="20"/>
        <v>0</v>
      </c>
      <c r="AY13" s="27">
        <f t="shared" si="21"/>
        <v>0</v>
      </c>
      <c r="AZ13" s="26">
        <f t="shared" si="22"/>
        <v>1</v>
      </c>
      <c r="BA13" s="26">
        <f t="shared" si="23"/>
        <v>-3</v>
      </c>
      <c r="BB13" s="26">
        <f t="shared" si="24"/>
        <v>2</v>
      </c>
      <c r="BC13" s="28"/>
      <c r="BD13" s="339">
        <f t="shared" si="25"/>
        <v>5.1339285714285712</v>
      </c>
      <c r="BE13" s="340">
        <f t="shared" si="26"/>
        <v>0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20</v>
      </c>
      <c r="D14" s="346">
        <v>24</v>
      </c>
      <c r="E14" s="42">
        <v>1</v>
      </c>
      <c r="F14" s="44">
        <f t="shared" si="1"/>
        <v>3</v>
      </c>
      <c r="G14" s="346">
        <v>0</v>
      </c>
      <c r="H14" s="346">
        <v>8</v>
      </c>
      <c r="I14" s="44">
        <f t="shared" si="2"/>
        <v>8</v>
      </c>
      <c r="J14" s="42">
        <v>8</v>
      </c>
      <c r="K14" s="45">
        <f t="shared" si="3"/>
        <v>8</v>
      </c>
      <c r="L14" s="20">
        <f t="shared" si="4"/>
        <v>3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4</v>
      </c>
      <c r="W14" s="347">
        <v>20</v>
      </c>
      <c r="X14" s="346">
        <v>24</v>
      </c>
      <c r="Y14" s="42">
        <v>1</v>
      </c>
      <c r="Z14" s="44">
        <f t="shared" si="9"/>
        <v>3</v>
      </c>
      <c r="AA14" s="344">
        <v>0</v>
      </c>
      <c r="AB14" s="344">
        <v>8</v>
      </c>
      <c r="AC14" s="36">
        <f t="shared" si="10"/>
        <v>8</v>
      </c>
      <c r="AD14" s="42">
        <v>8</v>
      </c>
      <c r="AE14" s="45">
        <f t="shared" si="11"/>
        <v>5</v>
      </c>
      <c r="AF14" s="20">
        <f>IF(W14&gt;0,IF(AE$5&gt;0,(Z14+AC14)*2,(Z14+AC14-8)),0)*IF(Z14&lt;9,IF(AE$5&gt;0,1,2),1)+IF(Z14&gt;8,AC14,0)</f>
        <v>6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31</v>
      </c>
      <c r="AQ14" s="1283"/>
      <c r="AR14" s="1284">
        <f t="shared" si="16"/>
        <v>129.19999999999999</v>
      </c>
      <c r="AS14" s="1285"/>
      <c r="AT14" s="345">
        <f t="shared" si="17"/>
        <v>24</v>
      </c>
      <c r="AV14" s="26">
        <f t="shared" si="18"/>
        <v>3</v>
      </c>
      <c r="AW14" s="26">
        <f t="shared" si="19"/>
        <v>4</v>
      </c>
      <c r="AX14" s="26">
        <f t="shared" si="20"/>
        <v>6</v>
      </c>
      <c r="AY14" s="27">
        <f t="shared" si="21"/>
        <v>0</v>
      </c>
      <c r="AZ14" s="26">
        <f t="shared" si="22"/>
        <v>1</v>
      </c>
      <c r="BA14" s="26">
        <f t="shared" si="23"/>
        <v>14</v>
      </c>
      <c r="BB14" s="26">
        <f t="shared" si="24"/>
        <v>3</v>
      </c>
      <c r="BC14" s="28"/>
      <c r="BD14" s="339">
        <f t="shared" si="25"/>
        <v>4.1666785714285712</v>
      </c>
      <c r="BE14" s="340">
        <f t="shared" si="26"/>
        <v>129.1670357142857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19</v>
      </c>
      <c r="E15" s="30">
        <v>1</v>
      </c>
      <c r="F15" s="31">
        <f t="shared" si="1"/>
        <v>11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3</v>
      </c>
      <c r="M15" s="479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18</v>
      </c>
      <c r="Y15" s="30">
        <v>1</v>
      </c>
      <c r="Z15" s="31">
        <f t="shared" si="9"/>
        <v>9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7</v>
      </c>
      <c r="AQ15" s="1295"/>
      <c r="AR15" s="1284">
        <f t="shared" si="16"/>
        <v>35.9</v>
      </c>
      <c r="AS15" s="1285"/>
      <c r="AT15" s="345">
        <f t="shared" si="17"/>
        <v>24</v>
      </c>
      <c r="AV15" s="26">
        <f t="shared" si="18"/>
        <v>3</v>
      </c>
      <c r="AW15" s="26">
        <f t="shared" si="19"/>
        <v>1</v>
      </c>
      <c r="AX15" s="26">
        <f t="shared" si="20"/>
        <v>1</v>
      </c>
      <c r="AY15" s="27">
        <f t="shared" si="21"/>
        <v>0</v>
      </c>
      <c r="AZ15" s="26">
        <f t="shared" si="22"/>
        <v>0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35.9375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8</v>
      </c>
      <c r="D16" s="342">
        <v>16</v>
      </c>
      <c r="E16" s="30">
        <v>1</v>
      </c>
      <c r="F16" s="31">
        <f>+D16-C16-E16</f>
        <v>7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-1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-2</v>
      </c>
      <c r="AQ16" s="1283"/>
      <c r="AR16" s="1284">
        <f>ROUND(BD16*AP16,1)</f>
        <v>-10.3</v>
      </c>
      <c r="AS16" s="1285"/>
      <c r="AT16" s="345">
        <f t="shared" si="17"/>
        <v>24</v>
      </c>
      <c r="AU16" s="6"/>
      <c r="AV16" s="26">
        <f>+L16</f>
        <v>-1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-1</v>
      </c>
      <c r="BC16" s="54"/>
      <c r="BD16" s="339">
        <f t="shared" si="25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B17" s="48" t="str">
        <f t="shared" si="0"/>
        <v>Antony Tejada Ch.</v>
      </c>
      <c r="C17" s="334">
        <v>20</v>
      </c>
      <c r="D17" s="342">
        <v>24</v>
      </c>
      <c r="E17" s="30">
        <v>1</v>
      </c>
      <c r="F17" s="31">
        <f>+D17-C17-E17</f>
        <v>3</v>
      </c>
      <c r="G17" s="342">
        <v>0</v>
      </c>
      <c r="H17" s="342">
        <v>8</v>
      </c>
      <c r="I17" s="31">
        <f>+H17-G17</f>
        <v>8</v>
      </c>
      <c r="J17" s="30">
        <v>8</v>
      </c>
      <c r="K17" s="32">
        <f>+I17+F17-L17</f>
        <v>8</v>
      </c>
      <c r="L17" s="20">
        <f>IF(C17&gt;0,(F17+I17)+IF(K$5&gt;0,F17,-8),0)+IF(U$5&gt;0,I17,0)</f>
        <v>3</v>
      </c>
      <c r="M17" s="334">
        <v>22</v>
      </c>
      <c r="N17" s="342">
        <v>24</v>
      </c>
      <c r="O17" s="30">
        <v>1</v>
      </c>
      <c r="P17" s="31">
        <f>+N17-M17-O17</f>
        <v>1</v>
      </c>
      <c r="Q17" s="346">
        <v>0</v>
      </c>
      <c r="R17" s="346">
        <v>7</v>
      </c>
      <c r="S17" s="31">
        <f>+R17-Q17</f>
        <v>7</v>
      </c>
      <c r="T17" s="30">
        <v>8</v>
      </c>
      <c r="U17" s="32">
        <f>+S17+P17-V17</f>
        <v>8</v>
      </c>
      <c r="V17" s="20">
        <f>IF(M17&gt;0,(P17+S17)+IF(U$5&gt;0,P17,-8),0)+IF(AE$5&gt;0,S17,0)</f>
        <v>0</v>
      </c>
      <c r="W17" s="342">
        <v>19</v>
      </c>
      <c r="X17" s="342">
        <v>24</v>
      </c>
      <c r="Y17" s="30">
        <v>1</v>
      </c>
      <c r="Z17" s="44">
        <f>+X17-W17-Y17</f>
        <v>4</v>
      </c>
      <c r="AA17" s="346">
        <v>0</v>
      </c>
      <c r="AB17" s="344">
        <v>7</v>
      </c>
      <c r="AC17" s="31">
        <f>+AB17-AA17</f>
        <v>7</v>
      </c>
      <c r="AD17" s="30">
        <v>8</v>
      </c>
      <c r="AE17" s="32">
        <f>+AC17+Z17-IF(AE$5&gt;0,AF17/2,AF17)</f>
        <v>5</v>
      </c>
      <c r="AF17" s="20">
        <f t="shared" ref="AF17:AF25" si="28">IF(W17&gt;0,IF(AE$5&gt;0,(Z17+AC17)*2,(Z17+AC17-8)),0)*IF(Z17&lt;9,IF(AE$5&gt;0,1,2),1)+IF(Z17&gt;8,AC17,0)</f>
        <v>6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9</v>
      </c>
      <c r="AQ17" s="1283"/>
      <c r="AR17" s="1284">
        <f t="shared" si="16"/>
        <v>33.299999999999997</v>
      </c>
      <c r="AS17" s="1285"/>
      <c r="AT17" s="345">
        <f t="shared" si="17"/>
        <v>12</v>
      </c>
      <c r="AV17" s="26">
        <f t="shared" si="18"/>
        <v>3</v>
      </c>
      <c r="AW17" s="26">
        <f t="shared" si="19"/>
        <v>0</v>
      </c>
      <c r="AX17" s="26">
        <f t="shared" si="20"/>
        <v>6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33.267857142857146</v>
      </c>
      <c r="BF17" s="350">
        <f t="shared" si="27"/>
        <v>0</v>
      </c>
    </row>
    <row r="18" spans="1:58" ht="14.1" customHeight="1">
      <c r="B18" s="48" t="str">
        <f>+B80</f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19</v>
      </c>
      <c r="Y18" s="30">
        <v>1</v>
      </c>
      <c r="Z18" s="31">
        <f>+X18-W18-Y18</f>
        <v>11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3</v>
      </c>
      <c r="AG18" s="37"/>
      <c r="AH18" s="342"/>
      <c r="AI18" s="30"/>
      <c r="AJ18" s="38">
        <f>+AH18-AG18-AI18</f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12</v>
      </c>
      <c r="AQ18" s="1283"/>
      <c r="AR18" s="1284">
        <f t="shared" si="16"/>
        <v>42.5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3</v>
      </c>
      <c r="AY18" s="27">
        <f t="shared" si="21"/>
        <v>0</v>
      </c>
      <c r="AZ18" s="26">
        <f t="shared" si="22"/>
        <v>1</v>
      </c>
      <c r="BA18" s="26">
        <f t="shared" si="23"/>
        <v>2</v>
      </c>
      <c r="BB18" s="26">
        <f t="shared" si="24"/>
        <v>2</v>
      </c>
      <c r="BC18" s="28"/>
      <c r="BD18" s="339">
        <f>+I80</f>
        <v>3.5416660714285717</v>
      </c>
      <c r="BE18" s="349">
        <f t="shared" si="26"/>
        <v>42.499992857142857</v>
      </c>
      <c r="BF18" s="350">
        <f t="shared" si="27"/>
        <v>0</v>
      </c>
    </row>
    <row r="19" spans="1:58" s="55" customFormat="1" ht="14.1" customHeight="1">
      <c r="A19" s="50">
        <v>7</v>
      </c>
      <c r="B19" s="58" t="str">
        <f>+B81</f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 t="shared" ref="BD19:BD25" si="29">+I80</f>
        <v>3.5416660714285717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>
      <c r="A20" s="50">
        <v>8</v>
      </c>
      <c r="B20" s="60" t="str">
        <f t="shared" ref="B20:B25" si="30">+B81</f>
        <v xml:space="preserve">  -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28"/>
        <v>0</v>
      </c>
      <c r="AG20" s="65"/>
      <c r="AH20" s="65"/>
      <c r="AI20" s="61"/>
      <c r="AJ20" s="66">
        <f t="shared" si="12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5"/>
        <v>0</v>
      </c>
      <c r="AQ20" s="1395"/>
      <c r="AR20" s="1396">
        <f>ROUND(BD20*AP20,1)</f>
        <v>0</v>
      </c>
      <c r="AS20" s="1397"/>
      <c r="AT20" s="356">
        <f t="shared" si="17"/>
        <v>0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0</v>
      </c>
      <c r="BA20" s="69">
        <f>+V45</f>
        <v>0</v>
      </c>
      <c r="BB20" s="69">
        <f>+AF45</f>
        <v>0</v>
      </c>
      <c r="BC20" s="54"/>
      <c r="BD20" s="339">
        <f t="shared" si="29"/>
        <v>0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3" t="str">
        <f t="shared" si="30"/>
        <v>Jaime Lizarbe C.</v>
      </c>
      <c r="C21" s="74"/>
      <c r="D21" s="75"/>
      <c r="E21" s="75"/>
      <c r="F21" s="76">
        <f t="shared" si="1"/>
        <v>0</v>
      </c>
      <c r="G21" s="75"/>
      <c r="H21" s="75"/>
      <c r="I21" s="76">
        <f t="shared" si="2"/>
        <v>0</v>
      </c>
      <c r="J21" s="75"/>
      <c r="K21" s="76">
        <f t="shared" si="3"/>
        <v>0</v>
      </c>
      <c r="L21" s="77">
        <f t="shared" si="4"/>
        <v>0</v>
      </c>
      <c r="M21" s="487"/>
      <c r="N21" s="75"/>
      <c r="O21" s="75"/>
      <c r="P21" s="76">
        <f t="shared" si="5"/>
        <v>0</v>
      </c>
      <c r="Q21" s="75"/>
      <c r="R21" s="75"/>
      <c r="S21" s="76">
        <f t="shared" si="6"/>
        <v>0</v>
      </c>
      <c r="T21" s="75"/>
      <c r="U21" s="76">
        <f t="shared" si="7"/>
        <v>0</v>
      </c>
      <c r="V21" s="77">
        <f t="shared" si="8"/>
        <v>0</v>
      </c>
      <c r="W21" s="75"/>
      <c r="X21" s="75"/>
      <c r="Y21" s="75"/>
      <c r="Z21" s="76">
        <f t="shared" si="9"/>
        <v>0</v>
      </c>
      <c r="AA21" s="75"/>
      <c r="AB21" s="78"/>
      <c r="AC21" s="76">
        <f t="shared" si="10"/>
        <v>0</v>
      </c>
      <c r="AD21" s="75"/>
      <c r="AE21" s="76">
        <f t="shared" si="11"/>
        <v>0</v>
      </c>
      <c r="AF21" s="77">
        <f t="shared" si="28"/>
        <v>0</v>
      </c>
      <c r="AG21" s="75"/>
      <c r="AH21" s="75"/>
      <c r="AI21" s="75"/>
      <c r="AJ21" s="79">
        <f t="shared" si="12"/>
        <v>0</v>
      </c>
      <c r="AK21" s="75"/>
      <c r="AL21" s="75"/>
      <c r="AM21" s="76">
        <f t="shared" si="13"/>
        <v>0</v>
      </c>
      <c r="AN21" s="75"/>
      <c r="AO21" s="80">
        <f t="shared" si="14"/>
        <v>0</v>
      </c>
      <c r="AP21" s="1398">
        <f t="shared" si="15"/>
        <v>0</v>
      </c>
      <c r="AQ21" s="1399"/>
      <c r="AR21" s="1400">
        <f t="shared" si="16"/>
        <v>0</v>
      </c>
      <c r="AS21" s="1401"/>
      <c r="AT21" s="357">
        <f>IF(AT43&gt;0,AT43*$AT$10,0)</f>
        <v>0</v>
      </c>
      <c r="AV21" s="69">
        <f t="shared" si="18"/>
        <v>0</v>
      </c>
      <c r="AW21" s="69">
        <f t="shared" si="19"/>
        <v>0</v>
      </c>
      <c r="AX21" s="69">
        <f t="shared" si="20"/>
        <v>0</v>
      </c>
      <c r="AY21" s="70">
        <f t="shared" si="21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29"/>
        <v>4.6964285714285712</v>
      </c>
      <c r="BE21" s="351">
        <f t="shared" si="26"/>
        <v>0</v>
      </c>
      <c r="BF21" s="352">
        <f t="shared" si="27"/>
        <v>0</v>
      </c>
    </row>
    <row r="22" spans="1:58" s="81" customFormat="1" ht="14.1" customHeight="1">
      <c r="A22" s="72"/>
      <c r="B22" s="73" t="str">
        <f t="shared" si="30"/>
        <v>Eddie Uchupe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80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460">
        <f>+AC22+Z22-IF(AE$5&gt;0,AF22/2,AF22)</f>
        <v>8</v>
      </c>
      <c r="AF22" s="461">
        <f t="shared" si="28"/>
        <v>2</v>
      </c>
      <c r="AG22" s="459"/>
      <c r="AH22" s="459"/>
      <c r="AI22" s="459"/>
      <c r="AJ22" s="464">
        <f t="shared" si="12"/>
        <v>0</v>
      </c>
      <c r="AK22" s="459"/>
      <c r="AL22" s="459"/>
      <c r="AM22" s="460">
        <f>+AL22-AK22</f>
        <v>0</v>
      </c>
      <c r="AN22" s="459"/>
      <c r="AO22" s="465">
        <f>(AJ22*2+AM22)</f>
        <v>0</v>
      </c>
      <c r="AP22" s="1290">
        <f t="shared" si="15"/>
        <v>6</v>
      </c>
      <c r="AQ22" s="1291"/>
      <c r="AR22" s="1292">
        <f>ROUND(BD22*AP22,1)</f>
        <v>27.5</v>
      </c>
      <c r="AS22" s="1293"/>
      <c r="AT22" s="488">
        <f>IF(AT44&gt;0,AT44*$AT$10,0)</f>
        <v>16</v>
      </c>
      <c r="AV22" s="82">
        <f>+L22</f>
        <v>0</v>
      </c>
      <c r="AW22" s="82">
        <f>+V22</f>
        <v>0</v>
      </c>
      <c r="AX22" s="82">
        <f>+AF22</f>
        <v>2</v>
      </c>
      <c r="AY22" s="82">
        <f>+AO22</f>
        <v>0</v>
      </c>
      <c r="AZ22" s="82">
        <f>+L44</f>
        <v>1</v>
      </c>
      <c r="BA22" s="82">
        <f>+V44</f>
        <v>2</v>
      </c>
      <c r="BB22" s="82">
        <f>+AF44</f>
        <v>1</v>
      </c>
      <c r="BC22" s="83"/>
      <c r="BD22" s="358">
        <f t="shared" si="29"/>
        <v>4.583328571428571</v>
      </c>
      <c r="BE22" s="358">
        <f>+BD22*AP22</f>
        <v>27.499971428571428</v>
      </c>
      <c r="BF22" s="358">
        <f>+BD22*AY22</f>
        <v>0</v>
      </c>
    </row>
    <row r="23" spans="1:58" s="55" customFormat="1" ht="14.1" customHeight="1">
      <c r="A23" s="50"/>
      <c r="B23" s="85" t="str">
        <f t="shared" si="30"/>
        <v xml:space="preserve">   -  .  -</v>
      </c>
      <c r="C23" s="458"/>
      <c r="D23" s="459"/>
      <c r="E23" s="30"/>
      <c r="F23" s="460">
        <f>+D23-C23-E23</f>
        <v>0</v>
      </c>
      <c r="G23" s="459"/>
      <c r="H23" s="459"/>
      <c r="I23" s="460">
        <f>+H23-G23</f>
        <v>0</v>
      </c>
      <c r="J23" s="459"/>
      <c r="K23" s="460">
        <f>+I23+F23-L23</f>
        <v>0</v>
      </c>
      <c r="L23" s="461">
        <f t="shared" si="4"/>
        <v>0</v>
      </c>
      <c r="M23" s="462"/>
      <c r="N23" s="459"/>
      <c r="O23" s="30"/>
      <c r="P23" s="460">
        <f>+N23-M23-O23</f>
        <v>0</v>
      </c>
      <c r="Q23" s="459"/>
      <c r="R23" s="459"/>
      <c r="S23" s="460">
        <f>+R23-Q23</f>
        <v>0</v>
      </c>
      <c r="T23" s="459"/>
      <c r="U23" s="460">
        <f>+S23+P23-V23</f>
        <v>0</v>
      </c>
      <c r="V23" s="461">
        <f>IF(M23&gt;0,(P23+S23)+IF(U$5&gt;0,P23,-8),0)+IF(AE$5&gt;0,S23,0)</f>
        <v>0</v>
      </c>
      <c r="W23" s="459"/>
      <c r="X23" s="459"/>
      <c r="Y23" s="459"/>
      <c r="Z23" s="460">
        <f>+X23-W23-Y23</f>
        <v>0</v>
      </c>
      <c r="AA23" s="459"/>
      <c r="AB23" s="463"/>
      <c r="AC23" s="460">
        <f>+AB23-AA23</f>
        <v>0</v>
      </c>
      <c r="AD23" s="459"/>
      <c r="AE23" s="460">
        <f>+AC23+Z23-IF(AE$5&gt;0,AF23/2,AF23)</f>
        <v>0</v>
      </c>
      <c r="AF23" s="461">
        <f t="shared" si="28"/>
        <v>0</v>
      </c>
      <c r="AG23" s="459"/>
      <c r="AH23" s="459"/>
      <c r="AI23" s="459"/>
      <c r="AJ23" s="464">
        <f t="shared" si="12"/>
        <v>0</v>
      </c>
      <c r="AK23" s="459"/>
      <c r="AL23" s="459"/>
      <c r="AM23" s="460">
        <f>+AL23-AK23</f>
        <v>0</v>
      </c>
      <c r="AN23" s="459"/>
      <c r="AO23" s="465">
        <f>(AJ23*2+AM23)</f>
        <v>0</v>
      </c>
      <c r="AP23" s="1282">
        <f t="shared" si="15"/>
        <v>0</v>
      </c>
      <c r="AQ23" s="1283"/>
      <c r="AR23" s="1284">
        <f>ROUND(BD23*AP23,1)</f>
        <v>0</v>
      </c>
      <c r="AS23" s="1285"/>
      <c r="AT23" s="345">
        <f>IF(AT45&gt;0,AT45*$AT$10,0)</f>
        <v>0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+L45</f>
        <v>0</v>
      </c>
      <c r="BA23" s="69">
        <f>+V45</f>
        <v>0</v>
      </c>
      <c r="BB23" s="69">
        <f>+AF45</f>
        <v>0</v>
      </c>
      <c r="BC23" s="54"/>
      <c r="BD23" s="339">
        <f t="shared" si="29"/>
        <v>0</v>
      </c>
      <c r="BE23" s="351">
        <f>+BD23*AP23</f>
        <v>0</v>
      </c>
      <c r="BF23" s="352">
        <f>+BD23*AY23</f>
        <v>0</v>
      </c>
    </row>
    <row r="24" spans="1:58" s="55" customFormat="1" ht="14.1" customHeight="1">
      <c r="A24" s="50"/>
      <c r="B24" s="85" t="str">
        <f t="shared" si="30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28"/>
        <v>0</v>
      </c>
      <c r="AG24" s="87"/>
      <c r="AH24" s="87"/>
      <c r="AI24" s="87"/>
      <c r="AJ24" s="92">
        <f t="shared" si="12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5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29"/>
        <v>0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 t="shared" si="30"/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28"/>
        <v>0</v>
      </c>
      <c r="AG25" s="101"/>
      <c r="AH25" s="361"/>
      <c r="AI25" s="96"/>
      <c r="AJ25" s="102">
        <f t="shared" si="12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5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29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591.50271428571432</v>
      </c>
      <c r="BF26" s="1242">
        <f>SUM(BF11:BF25)</f>
        <v>175.42142857142855</v>
      </c>
    </row>
    <row r="27" spans="1:58" ht="10.9" customHeight="1">
      <c r="B27" s="1244" t="s">
        <v>1</v>
      </c>
      <c r="C27" s="1140">
        <f>1+AG5</f>
        <v>43171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43172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43173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43167</v>
      </c>
      <c r="AJ27" s="1218">
        <f t="shared" ref="AJ27:AO27" si="31">1+AI27</f>
        <v>43168</v>
      </c>
      <c r="AK27" s="1218">
        <f t="shared" si="31"/>
        <v>43169</v>
      </c>
      <c r="AL27" s="1219">
        <f t="shared" si="31"/>
        <v>43170</v>
      </c>
      <c r="AM27" s="1219">
        <f t="shared" si="31"/>
        <v>43171</v>
      </c>
      <c r="AN27" s="1220">
        <f t="shared" si="31"/>
        <v>43172</v>
      </c>
      <c r="AO27" s="1220">
        <f t="shared" si="31"/>
        <v>43173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43170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130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94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2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3">+D33-C33-E33</f>
        <v>8</v>
      </c>
      <c r="G33" s="33"/>
      <c r="H33" s="47"/>
      <c r="I33" s="31">
        <f t="shared" ref="I33:I47" si="34">+H33-G33</f>
        <v>0</v>
      </c>
      <c r="J33" s="30"/>
      <c r="K33" s="32">
        <f t="shared" ref="K33:K47" si="35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6">+N33-M33-O33</f>
        <v>8</v>
      </c>
      <c r="Q33" s="106"/>
      <c r="R33" s="107"/>
      <c r="S33" s="31">
        <f t="shared" ref="S33:S47" si="37">+R33-Q33</f>
        <v>0</v>
      </c>
      <c r="T33" s="30"/>
      <c r="U33" s="32">
        <f t="shared" ref="U33:U47" si="38">+S33+P33-V33</f>
        <v>8</v>
      </c>
      <c r="V33" s="20">
        <f t="shared" ref="V33:V47" si="39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0">+X33-W33-Y33</f>
        <v>8</v>
      </c>
      <c r="AA33" s="370"/>
      <c r="AB33" s="18"/>
      <c r="AC33" s="109">
        <f t="shared" ref="AC33:AC47" si="41">+AB33-AA33</f>
        <v>0</v>
      </c>
      <c r="AD33" s="108"/>
      <c r="AE33" s="110">
        <f t="shared" ref="AE33:AE47" si="42">+AC33+Z33-AF33</f>
        <v>8</v>
      </c>
      <c r="AF33" s="111">
        <f t="shared" ref="AF33:AF47" si="43">IF(W33&gt;0,(Z33+AC33)+IF(AE$27&gt;0,0+Z33,-8),0)</f>
        <v>0</v>
      </c>
      <c r="AG33" s="55"/>
      <c r="AH33" s="112">
        <v>0</v>
      </c>
      <c r="AI33" s="113">
        <f t="shared" ref="AI33:AI47" si="44">+K11+(IF(ISBLANK($K$5),-8,0))</f>
        <v>-8</v>
      </c>
      <c r="AJ33" s="113">
        <f t="shared" ref="AJ33:AJ47" si="45">IF(ISBLANK($U$5),-8,0)+U11</f>
        <v>0</v>
      </c>
      <c r="AK33" s="113">
        <f>IF(ISBLANK($AE$5),-8,0)+AE11</f>
        <v>0</v>
      </c>
      <c r="AL33" s="113">
        <f t="shared" ref="AL33:AL47" si="46">IF(ISBLANK($AO$5),-8,0)+AO11+AW33</f>
        <v>0</v>
      </c>
      <c r="AM33" s="113">
        <f t="shared" ref="AM33:AM47" si="47">IF(ISBLANK($K$27),-8,0)+K33</f>
        <v>0</v>
      </c>
      <c r="AN33" s="113">
        <f t="shared" ref="AN33:AN47" si="48">IF(ISBLANK($U$27),-8,0)+U33</f>
        <v>0</v>
      </c>
      <c r="AO33" s="113">
        <f t="shared" ref="AO33:AO47" si="49">IF(ISBLANK($AE$27),-8,0)+AE33</f>
        <v>0</v>
      </c>
      <c r="AP33" s="114">
        <f t="shared" ref="AP33:AP47" si="50">SUM(AH33:AO33)</f>
        <v>-8</v>
      </c>
      <c r="AQ33" s="55"/>
      <c r="AR33" s="1159">
        <f t="shared" ref="AR33:AR39" si="51">+X73*Q73</f>
        <v>0</v>
      </c>
      <c r="AS33" s="1197"/>
      <c r="AT33" s="117">
        <f t="shared" ref="AT33:AT43" si="52">IF(K11+L11&gt;0,1,0)+IF(U11+V11&gt;0,1,0)+IF(AE11+AF11&gt;0,1,0)+IF(AO11&gt;3,1,0)+IF(K33+L33&gt;0,1,0)+IF(U33+V33&gt;0,1,0)+IF(AE33+AF33&gt;0,1,0)</f>
        <v>6</v>
      </c>
      <c r="AU33" s="55"/>
      <c r="AV33" s="55"/>
      <c r="AW33" s="1134">
        <v>-16</v>
      </c>
      <c r="AX33" s="1135"/>
      <c r="BD33" s="115"/>
    </row>
    <row r="34" spans="1:56" ht="14.1" customHeight="1">
      <c r="B34" s="29" t="str">
        <f t="shared" si="32"/>
        <v>Cesar Mendez M.</v>
      </c>
      <c r="C34" s="334">
        <v>7</v>
      </c>
      <c r="D34" s="342">
        <v>20</v>
      </c>
      <c r="E34" s="30">
        <v>1</v>
      </c>
      <c r="F34" s="31">
        <f t="shared" si="33"/>
        <v>12</v>
      </c>
      <c r="G34" s="33"/>
      <c r="H34" s="346"/>
      <c r="I34" s="31">
        <f t="shared" si="34"/>
        <v>0</v>
      </c>
      <c r="J34" s="30"/>
      <c r="K34" s="32">
        <f t="shared" si="35"/>
        <v>8</v>
      </c>
      <c r="L34" s="20">
        <f>IF(C34&gt;0,(F34+I34)+IF(K$27&gt;0,F34,-8),0)+IF(U$27&gt;0,I34,0)</f>
        <v>4</v>
      </c>
      <c r="M34" s="342">
        <v>8</v>
      </c>
      <c r="N34" s="342">
        <v>24</v>
      </c>
      <c r="O34" s="30">
        <v>2</v>
      </c>
      <c r="P34" s="31">
        <f t="shared" si="36"/>
        <v>14</v>
      </c>
      <c r="Q34" s="346">
        <v>0</v>
      </c>
      <c r="R34" s="346">
        <v>7</v>
      </c>
      <c r="S34" s="31">
        <f t="shared" si="37"/>
        <v>7</v>
      </c>
      <c r="T34" s="30">
        <v>8</v>
      </c>
      <c r="U34" s="32">
        <f t="shared" si="38"/>
        <v>8</v>
      </c>
      <c r="V34" s="20">
        <f t="shared" si="39"/>
        <v>13</v>
      </c>
      <c r="W34" s="334">
        <v>19</v>
      </c>
      <c r="X34" s="342">
        <v>24</v>
      </c>
      <c r="Y34" s="30">
        <v>1</v>
      </c>
      <c r="Z34" s="31">
        <f t="shared" si="40"/>
        <v>4</v>
      </c>
      <c r="AA34" s="342">
        <v>0</v>
      </c>
      <c r="AB34" s="346">
        <v>7</v>
      </c>
      <c r="AC34" s="31">
        <f t="shared" si="41"/>
        <v>7</v>
      </c>
      <c r="AD34" s="30">
        <v>8</v>
      </c>
      <c r="AE34" s="32">
        <f t="shared" si="42"/>
        <v>8</v>
      </c>
      <c r="AF34" s="20">
        <f t="shared" si="43"/>
        <v>3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IF(ISBLANK($AE$5),-8,0)+AE12</f>
        <v>0</v>
      </c>
      <c r="AL34" s="113">
        <f t="shared" si="46"/>
        <v>0</v>
      </c>
      <c r="AM34" s="113">
        <f t="shared" si="47"/>
        <v>0</v>
      </c>
      <c r="AN34" s="113">
        <f t="shared" si="48"/>
        <v>0</v>
      </c>
      <c r="AO34" s="113">
        <f t="shared" si="49"/>
        <v>0</v>
      </c>
      <c r="AP34" s="114">
        <f t="shared" si="50"/>
        <v>0</v>
      </c>
      <c r="AQ34" s="55"/>
      <c r="AR34" s="1159">
        <f t="shared" si="51"/>
        <v>-5.6428571428571388</v>
      </c>
      <c r="AS34" s="1160"/>
      <c r="AT34" s="117">
        <f t="shared" si="52"/>
        <v>7</v>
      </c>
      <c r="AU34" s="55"/>
      <c r="AV34" s="55"/>
      <c r="AW34" s="1134">
        <v>-20</v>
      </c>
      <c r="AX34" s="1135"/>
    </row>
    <row r="35" spans="1:56" ht="14.1" customHeight="1">
      <c r="B35" s="29" t="str">
        <f t="shared" si="32"/>
        <v>Miguel Tejada Ll.</v>
      </c>
      <c r="C35" s="334">
        <v>7</v>
      </c>
      <c r="D35" s="342">
        <v>17</v>
      </c>
      <c r="E35" s="30">
        <v>1</v>
      </c>
      <c r="F35" s="31">
        <f t="shared" si="33"/>
        <v>9</v>
      </c>
      <c r="G35" s="346"/>
      <c r="H35" s="346"/>
      <c r="I35" s="31">
        <f t="shared" si="34"/>
        <v>0</v>
      </c>
      <c r="J35" s="30"/>
      <c r="K35" s="32">
        <f t="shared" si="35"/>
        <v>8</v>
      </c>
      <c r="L35" s="20">
        <f t="shared" ref="L35:L47" si="53">IF(C35&gt;0,(F35+I35)+IF(K$27&gt;0,F35,-8),0)+IF(U$27&gt;0,I35,0)</f>
        <v>1</v>
      </c>
      <c r="M35" s="334">
        <v>7</v>
      </c>
      <c r="N35" s="342">
        <v>12</v>
      </c>
      <c r="O35" s="30">
        <v>0</v>
      </c>
      <c r="P35" s="31">
        <f t="shared" si="36"/>
        <v>5</v>
      </c>
      <c r="Q35" s="106"/>
      <c r="R35" s="106"/>
      <c r="S35" s="31">
        <f t="shared" si="37"/>
        <v>0</v>
      </c>
      <c r="T35" s="30"/>
      <c r="U35" s="32">
        <f t="shared" si="38"/>
        <v>8</v>
      </c>
      <c r="V35" s="20">
        <f t="shared" si="39"/>
        <v>-3</v>
      </c>
      <c r="W35" s="334">
        <v>7</v>
      </c>
      <c r="X35" s="342">
        <v>18</v>
      </c>
      <c r="Y35" s="30">
        <v>1</v>
      </c>
      <c r="Z35" s="31">
        <f t="shared" si="40"/>
        <v>10</v>
      </c>
      <c r="AA35" s="342"/>
      <c r="AB35" s="116"/>
      <c r="AC35" s="31">
        <f t="shared" si="41"/>
        <v>0</v>
      </c>
      <c r="AD35" s="30"/>
      <c r="AE35" s="32">
        <f t="shared" si="42"/>
        <v>8</v>
      </c>
      <c r="AF35" s="20">
        <f t="shared" si="43"/>
        <v>2</v>
      </c>
      <c r="AG35" s="55"/>
      <c r="AH35" s="112">
        <v>0</v>
      </c>
      <c r="AI35" s="113">
        <f t="shared" si="44"/>
        <v>-8</v>
      </c>
      <c r="AJ35" s="113">
        <f t="shared" si="45"/>
        <v>-8</v>
      </c>
      <c r="AK35" s="113">
        <f>IF(ISBLANK($AE$5),-8,0)+AE13</f>
        <v>-8</v>
      </c>
      <c r="AL35" s="113">
        <f t="shared" si="46"/>
        <v>0</v>
      </c>
      <c r="AM35" s="113">
        <f t="shared" si="47"/>
        <v>0</v>
      </c>
      <c r="AN35" s="113">
        <f t="shared" si="48"/>
        <v>0</v>
      </c>
      <c r="AO35" s="113">
        <f t="shared" si="49"/>
        <v>0</v>
      </c>
      <c r="AP35" s="114">
        <f t="shared" si="50"/>
        <v>-24</v>
      </c>
      <c r="AQ35" s="55"/>
      <c r="AR35" s="1159">
        <f t="shared" si="51"/>
        <v>0</v>
      </c>
      <c r="AS35" s="1160"/>
      <c r="AT35" s="118">
        <f t="shared" si="52"/>
        <v>3</v>
      </c>
      <c r="AU35" s="55"/>
      <c r="AV35" s="55"/>
      <c r="AW35" s="1134"/>
      <c r="AX35" s="1135"/>
    </row>
    <row r="36" spans="1:56" ht="14.1" customHeight="1">
      <c r="B36" s="29" t="str">
        <f t="shared" si="32"/>
        <v>Alejandro Dueñas</v>
      </c>
      <c r="C36" s="372">
        <v>8</v>
      </c>
      <c r="D36" s="348">
        <v>18</v>
      </c>
      <c r="E36" s="119">
        <v>1</v>
      </c>
      <c r="F36" s="120">
        <f t="shared" si="33"/>
        <v>9</v>
      </c>
      <c r="G36" s="346"/>
      <c r="H36" s="346"/>
      <c r="I36" s="120">
        <f t="shared" si="34"/>
        <v>0</v>
      </c>
      <c r="J36" s="119"/>
      <c r="K36" s="121">
        <f t="shared" si="35"/>
        <v>8</v>
      </c>
      <c r="L36" s="20">
        <f t="shared" si="53"/>
        <v>1</v>
      </c>
      <c r="M36" s="342">
        <v>7</v>
      </c>
      <c r="N36" s="342">
        <v>24</v>
      </c>
      <c r="O36" s="30">
        <v>2</v>
      </c>
      <c r="P36" s="31">
        <f t="shared" si="36"/>
        <v>15</v>
      </c>
      <c r="Q36" s="346">
        <v>0</v>
      </c>
      <c r="R36" s="346">
        <v>7</v>
      </c>
      <c r="S36" s="120">
        <f t="shared" si="37"/>
        <v>7</v>
      </c>
      <c r="T36" s="30">
        <v>8</v>
      </c>
      <c r="U36" s="32">
        <f t="shared" si="38"/>
        <v>8</v>
      </c>
      <c r="V36" s="20">
        <f t="shared" si="39"/>
        <v>14</v>
      </c>
      <c r="W36" s="334">
        <v>19</v>
      </c>
      <c r="X36" s="342">
        <v>24</v>
      </c>
      <c r="Y36" s="30">
        <v>1</v>
      </c>
      <c r="Z36" s="31">
        <f t="shared" si="40"/>
        <v>4</v>
      </c>
      <c r="AA36" s="342">
        <v>0</v>
      </c>
      <c r="AB36" s="342">
        <v>7</v>
      </c>
      <c r="AC36" s="31">
        <f t="shared" si="41"/>
        <v>7</v>
      </c>
      <c r="AD36" s="30">
        <v>8</v>
      </c>
      <c r="AE36" s="32">
        <f t="shared" si="42"/>
        <v>8</v>
      </c>
      <c r="AF36" s="20">
        <f t="shared" si="43"/>
        <v>3</v>
      </c>
      <c r="AG36" s="55"/>
      <c r="AH36" s="112">
        <v>0</v>
      </c>
      <c r="AI36" s="113">
        <f t="shared" si="44"/>
        <v>0</v>
      </c>
      <c r="AJ36" s="113">
        <f t="shared" si="45"/>
        <v>0</v>
      </c>
      <c r="AK36" s="113">
        <f>IF(ISBLANK($AE$5),-8,0)+AE14</f>
        <v>-3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-3</v>
      </c>
      <c r="AQ36" s="55"/>
      <c r="AR36" s="1159">
        <f t="shared" si="51"/>
        <v>24.582857142857151</v>
      </c>
      <c r="AS36" s="1160"/>
      <c r="AT36" s="118">
        <f t="shared" si="52"/>
        <v>6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2"/>
        <v>Juan Manrique V.</v>
      </c>
      <c r="C37" s="334">
        <v>7</v>
      </c>
      <c r="D37" s="342">
        <v>16</v>
      </c>
      <c r="E37" s="30">
        <v>1</v>
      </c>
      <c r="F37" s="31">
        <f t="shared" si="33"/>
        <v>8</v>
      </c>
      <c r="G37" s="33"/>
      <c r="H37" s="47"/>
      <c r="I37" s="31">
        <f t="shared" si="34"/>
        <v>0</v>
      </c>
      <c r="J37" s="30"/>
      <c r="K37" s="32">
        <f t="shared" si="35"/>
        <v>8</v>
      </c>
      <c r="L37" s="20">
        <f t="shared" si="53"/>
        <v>0</v>
      </c>
      <c r="M37" s="342">
        <v>8</v>
      </c>
      <c r="N37" s="342">
        <v>18</v>
      </c>
      <c r="O37" s="30">
        <v>1</v>
      </c>
      <c r="P37" s="31">
        <f t="shared" si="36"/>
        <v>9</v>
      </c>
      <c r="Q37" s="106"/>
      <c r="R37" s="106"/>
      <c r="S37" s="31">
        <f t="shared" si="37"/>
        <v>0</v>
      </c>
      <c r="T37" s="30"/>
      <c r="U37" s="32">
        <f t="shared" si="38"/>
        <v>8</v>
      </c>
      <c r="V37" s="20">
        <f t="shared" si="39"/>
        <v>1</v>
      </c>
      <c r="W37" s="334">
        <v>8</v>
      </c>
      <c r="X37" s="342">
        <v>18</v>
      </c>
      <c r="Y37" s="30">
        <v>1</v>
      </c>
      <c r="Z37" s="31">
        <f t="shared" si="40"/>
        <v>9</v>
      </c>
      <c r="AA37" s="342"/>
      <c r="AB37" s="342"/>
      <c r="AC37" s="31">
        <f t="shared" si="41"/>
        <v>0</v>
      </c>
      <c r="AD37" s="30"/>
      <c r="AE37" s="32">
        <f t="shared" si="42"/>
        <v>8</v>
      </c>
      <c r="AF37" s="20">
        <f t="shared" si="43"/>
        <v>1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13">
        <f>IF(ISBLANK($AE$5),-8,0)+AE15</f>
        <v>0</v>
      </c>
      <c r="AL37" s="113">
        <f t="shared" si="46"/>
        <v>0</v>
      </c>
      <c r="AM37" s="113">
        <f t="shared" si="47"/>
        <v>0</v>
      </c>
      <c r="AN37" s="113">
        <f t="shared" si="48"/>
        <v>0</v>
      </c>
      <c r="AO37" s="113">
        <f t="shared" si="49"/>
        <v>0</v>
      </c>
      <c r="AP37" s="114">
        <f t="shared" si="50"/>
        <v>0</v>
      </c>
      <c r="AQ37" s="55"/>
      <c r="AR37" s="1159">
        <f t="shared" si="51"/>
        <v>0</v>
      </c>
      <c r="AS37" s="1160"/>
      <c r="AT37" s="118">
        <f t="shared" si="52"/>
        <v>6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2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3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8</v>
      </c>
      <c r="X38" s="342">
        <v>16</v>
      </c>
      <c r="Y38" s="30">
        <v>1</v>
      </c>
      <c r="Z38" s="31">
        <f>+X38-W38-Y38</f>
        <v>7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3"/>
        <v>-1</v>
      </c>
      <c r="AG38" s="55"/>
      <c r="AH38" s="112">
        <v>0</v>
      </c>
      <c r="AI38" s="113">
        <f t="shared" si="44"/>
        <v>0</v>
      </c>
      <c r="AJ38" s="113">
        <f t="shared" si="45"/>
        <v>0</v>
      </c>
      <c r="AK38" s="124">
        <f>IF(ISBLANK($AE$5),-5,0)+AE16</f>
        <v>0</v>
      </c>
      <c r="AL38" s="113">
        <f t="shared" si="46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1"/>
        <v>0</v>
      </c>
      <c r="AS38" s="1160"/>
      <c r="AT38" s="118">
        <f t="shared" si="52"/>
        <v>6</v>
      </c>
      <c r="AU38" s="55"/>
      <c r="AV38" s="55"/>
      <c r="AW38" s="1134"/>
      <c r="AX38" s="1135"/>
    </row>
    <row r="39" spans="1:56" ht="14.1" customHeight="1">
      <c r="B39" s="48" t="str">
        <f t="shared" si="32"/>
        <v>Antony Tejada Ch.</v>
      </c>
      <c r="C39" s="334"/>
      <c r="D39" s="342"/>
      <c r="E39" s="30"/>
      <c r="F39" s="31">
        <f t="shared" si="33"/>
        <v>0</v>
      </c>
      <c r="G39" s="33"/>
      <c r="H39" s="346"/>
      <c r="I39" s="31">
        <f t="shared" si="34"/>
        <v>0</v>
      </c>
      <c r="J39" s="30"/>
      <c r="K39" s="32">
        <f t="shared" si="35"/>
        <v>0</v>
      </c>
      <c r="L39" s="20">
        <f t="shared" si="53"/>
        <v>0</v>
      </c>
      <c r="M39" s="342"/>
      <c r="N39" s="342"/>
      <c r="O39" s="30"/>
      <c r="P39" s="31">
        <f t="shared" si="36"/>
        <v>0</v>
      </c>
      <c r="Q39" s="106"/>
      <c r="R39" s="106"/>
      <c r="S39" s="31">
        <f t="shared" si="37"/>
        <v>0</v>
      </c>
      <c r="T39" s="30"/>
      <c r="U39" s="32">
        <f t="shared" si="38"/>
        <v>0</v>
      </c>
      <c r="V39" s="20">
        <f t="shared" si="39"/>
        <v>0</v>
      </c>
      <c r="W39" s="334"/>
      <c r="X39" s="342"/>
      <c r="Y39" s="30"/>
      <c r="Z39" s="31">
        <f t="shared" si="40"/>
        <v>0</v>
      </c>
      <c r="AA39" s="342"/>
      <c r="AB39" s="342"/>
      <c r="AC39" s="31">
        <f>+AB39-AA39</f>
        <v>0</v>
      </c>
      <c r="AD39" s="30"/>
      <c r="AE39" s="32">
        <f t="shared" si="42"/>
        <v>0</v>
      </c>
      <c r="AF39" s="20">
        <f t="shared" si="43"/>
        <v>0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ref="AK39:AK47" si="54">IF(ISBLANK($AE$5),-8,0)+AE17</f>
        <v>-3</v>
      </c>
      <c r="AL39" s="113">
        <f t="shared" si="46"/>
        <v>0</v>
      </c>
      <c r="AM39" s="113">
        <f t="shared" si="47"/>
        <v>-8</v>
      </c>
      <c r="AN39" s="113">
        <f t="shared" si="48"/>
        <v>-8</v>
      </c>
      <c r="AO39" s="113">
        <f t="shared" si="49"/>
        <v>-8</v>
      </c>
      <c r="AP39" s="114">
        <f t="shared" si="50"/>
        <v>-27</v>
      </c>
      <c r="AQ39" s="55"/>
      <c r="AR39" s="1159">
        <f t="shared" si="51"/>
        <v>26.035714285714281</v>
      </c>
      <c r="AS39" s="1160"/>
      <c r="AT39" s="118">
        <f t="shared" si="52"/>
        <v>3</v>
      </c>
      <c r="AU39" s="55"/>
      <c r="AV39" s="55"/>
      <c r="AW39" s="1134"/>
      <c r="AX39" s="1135"/>
      <c r="AZ39" s="115"/>
    </row>
    <row r="40" spans="1:56" ht="14.1" customHeight="1">
      <c r="B40" s="48" t="str">
        <f t="shared" si="32"/>
        <v>Pedro Hostos S,</v>
      </c>
      <c r="C40" s="372">
        <v>7</v>
      </c>
      <c r="D40" s="348">
        <v>17</v>
      </c>
      <c r="E40" s="119">
        <v>1</v>
      </c>
      <c r="F40" s="31">
        <f t="shared" si="33"/>
        <v>9</v>
      </c>
      <c r="G40" s="33"/>
      <c r="H40" s="346"/>
      <c r="I40" s="31">
        <f t="shared" si="34"/>
        <v>0</v>
      </c>
      <c r="J40" s="30"/>
      <c r="K40" s="32">
        <f t="shared" si="35"/>
        <v>8</v>
      </c>
      <c r="L40" s="20">
        <f t="shared" si="53"/>
        <v>1</v>
      </c>
      <c r="M40" s="342">
        <v>7</v>
      </c>
      <c r="N40" s="342">
        <v>18</v>
      </c>
      <c r="O40" s="30">
        <v>1</v>
      </c>
      <c r="P40" s="31">
        <f t="shared" si="36"/>
        <v>10</v>
      </c>
      <c r="Q40" s="106"/>
      <c r="R40" s="106"/>
      <c r="S40" s="31">
        <f t="shared" si="37"/>
        <v>0</v>
      </c>
      <c r="T40" s="30"/>
      <c r="U40" s="32">
        <f t="shared" si="38"/>
        <v>8</v>
      </c>
      <c r="V40" s="20">
        <f t="shared" si="39"/>
        <v>2</v>
      </c>
      <c r="W40" s="334">
        <v>7</v>
      </c>
      <c r="X40" s="342">
        <v>18</v>
      </c>
      <c r="Y40" s="30">
        <v>1</v>
      </c>
      <c r="Z40" s="31">
        <f t="shared" si="40"/>
        <v>10</v>
      </c>
      <c r="AA40" s="342"/>
      <c r="AB40" s="342"/>
      <c r="AC40" s="31">
        <f t="shared" si="41"/>
        <v>0</v>
      </c>
      <c r="AD40" s="30"/>
      <c r="AE40" s="32">
        <f t="shared" si="42"/>
        <v>8</v>
      </c>
      <c r="AF40" s="20">
        <f t="shared" si="43"/>
        <v>2</v>
      </c>
      <c r="AG40" s="55"/>
      <c r="AH40" s="112">
        <v>0</v>
      </c>
      <c r="AI40" s="113">
        <f t="shared" si="44"/>
        <v>0</v>
      </c>
      <c r="AJ40" s="113">
        <f t="shared" si="45"/>
        <v>0</v>
      </c>
      <c r="AK40" s="113">
        <f t="shared" si="54"/>
        <v>0</v>
      </c>
      <c r="AL40" s="113">
        <f t="shared" si="46"/>
        <v>0</v>
      </c>
      <c r="AM40" s="125">
        <f t="shared" si="47"/>
        <v>0</v>
      </c>
      <c r="AN40" s="125">
        <f t="shared" si="48"/>
        <v>0</v>
      </c>
      <c r="AO40" s="125">
        <f t="shared" si="49"/>
        <v>0</v>
      </c>
      <c r="AP40" s="114">
        <f t="shared" si="50"/>
        <v>0</v>
      </c>
      <c r="AQ40" s="55"/>
      <c r="AR40" s="1159">
        <f>+X78*Q78</f>
        <v>0</v>
      </c>
      <c r="AS40" s="1160"/>
      <c r="AT40" s="118">
        <f t="shared" si="52"/>
        <v>6</v>
      </c>
      <c r="AU40" s="55"/>
      <c r="AV40" s="55"/>
      <c r="AW40" s="1134"/>
      <c r="AX40" s="1135"/>
    </row>
    <row r="41" spans="1:56" ht="14.1" customHeight="1">
      <c r="B41" s="58" t="str">
        <f t="shared" si="32"/>
        <v xml:space="preserve">  -  .  -  </v>
      </c>
      <c r="C41" s="334"/>
      <c r="D41" s="342"/>
      <c r="E41" s="30"/>
      <c r="F41" s="31">
        <f t="shared" si="33"/>
        <v>0</v>
      </c>
      <c r="G41" s="33"/>
      <c r="H41" s="346"/>
      <c r="I41" s="31">
        <f t="shared" si="34"/>
        <v>0</v>
      </c>
      <c r="J41" s="30"/>
      <c r="K41" s="32">
        <f t="shared" si="35"/>
        <v>0</v>
      </c>
      <c r="L41" s="20">
        <f t="shared" si="53"/>
        <v>0</v>
      </c>
      <c r="M41" s="342"/>
      <c r="N41" s="342"/>
      <c r="O41" s="30"/>
      <c r="P41" s="31">
        <f t="shared" si="36"/>
        <v>0</v>
      </c>
      <c r="Q41" s="106"/>
      <c r="R41" s="106"/>
      <c r="S41" s="31">
        <f t="shared" si="37"/>
        <v>0</v>
      </c>
      <c r="T41" s="30"/>
      <c r="U41" s="32">
        <f t="shared" si="38"/>
        <v>0</v>
      </c>
      <c r="V41" s="20">
        <f t="shared" si="39"/>
        <v>0</v>
      </c>
      <c r="W41" s="334"/>
      <c r="X41" s="342"/>
      <c r="Y41" s="30"/>
      <c r="Z41" s="31">
        <f t="shared" si="40"/>
        <v>0</v>
      </c>
      <c r="AA41" s="342"/>
      <c r="AB41" s="346"/>
      <c r="AC41" s="44">
        <f t="shared" si="41"/>
        <v>0</v>
      </c>
      <c r="AD41" s="30"/>
      <c r="AE41" s="32">
        <f t="shared" si="42"/>
        <v>0</v>
      </c>
      <c r="AF41" s="20">
        <f t="shared" si="43"/>
        <v>0</v>
      </c>
      <c r="AG41" s="126"/>
      <c r="AH41" s="127">
        <v>0</v>
      </c>
      <c r="AI41" s="113">
        <f t="shared" si="44"/>
        <v>-8</v>
      </c>
      <c r="AJ41" s="113">
        <f t="shared" si="45"/>
        <v>-8</v>
      </c>
      <c r="AK41" s="128">
        <f t="shared" si="54"/>
        <v>-8</v>
      </c>
      <c r="AL41" s="113">
        <f t="shared" si="46"/>
        <v>0</v>
      </c>
      <c r="AM41" s="113">
        <f t="shared" si="47"/>
        <v>-8</v>
      </c>
      <c r="AN41" s="113">
        <f t="shared" si="48"/>
        <v>-8</v>
      </c>
      <c r="AO41" s="113">
        <f t="shared" si="49"/>
        <v>-8</v>
      </c>
      <c r="AP41" s="114">
        <f t="shared" si="50"/>
        <v>-48</v>
      </c>
      <c r="AQ41" s="55"/>
      <c r="AR41" s="1159">
        <f>+X80*Q80</f>
        <v>0</v>
      </c>
      <c r="AS41" s="1160"/>
      <c r="AT41" s="118">
        <f t="shared" si="52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2"/>
        <v xml:space="preserve">  -  .  -  </v>
      </c>
      <c r="C42" s="353"/>
      <c r="D42" s="354"/>
      <c r="E42" s="61"/>
      <c r="F42" s="62">
        <f t="shared" si="33"/>
        <v>0</v>
      </c>
      <c r="G42" s="65"/>
      <c r="H42" s="354"/>
      <c r="I42" s="62">
        <f t="shared" si="34"/>
        <v>0</v>
      </c>
      <c r="J42" s="61"/>
      <c r="K42" s="63">
        <f t="shared" si="35"/>
        <v>0</v>
      </c>
      <c r="L42" s="130">
        <f t="shared" si="53"/>
        <v>0</v>
      </c>
      <c r="M42" s="354"/>
      <c r="N42" s="354"/>
      <c r="O42" s="61"/>
      <c r="P42" s="62">
        <f t="shared" si="36"/>
        <v>0</v>
      </c>
      <c r="Q42" s="131"/>
      <c r="R42" s="131"/>
      <c r="S42" s="62">
        <f t="shared" si="37"/>
        <v>0</v>
      </c>
      <c r="T42" s="61"/>
      <c r="U42" s="63">
        <f t="shared" si="38"/>
        <v>0</v>
      </c>
      <c r="V42" s="130">
        <f t="shared" si="39"/>
        <v>0</v>
      </c>
      <c r="W42" s="353"/>
      <c r="X42" s="354"/>
      <c r="Y42" s="61"/>
      <c r="Z42" s="62">
        <f t="shared" si="40"/>
        <v>0</v>
      </c>
      <c r="AA42" s="354"/>
      <c r="AB42" s="354"/>
      <c r="AC42" s="62">
        <f t="shared" si="41"/>
        <v>0</v>
      </c>
      <c r="AD42" s="61"/>
      <c r="AE42" s="63">
        <f t="shared" si="42"/>
        <v>0</v>
      </c>
      <c r="AF42" s="130">
        <f t="shared" si="43"/>
        <v>0</v>
      </c>
      <c r="AG42" s="55"/>
      <c r="AH42" s="127">
        <v>0</v>
      </c>
      <c r="AI42" s="113">
        <f t="shared" si="44"/>
        <v>-8</v>
      </c>
      <c r="AJ42" s="113">
        <f t="shared" si="45"/>
        <v>-8</v>
      </c>
      <c r="AK42" s="128">
        <f t="shared" si="54"/>
        <v>-8</v>
      </c>
      <c r="AL42" s="113">
        <f t="shared" si="46"/>
        <v>0</v>
      </c>
      <c r="AM42" s="113">
        <f t="shared" si="47"/>
        <v>-8</v>
      </c>
      <c r="AN42" s="113">
        <f t="shared" si="48"/>
        <v>-8</v>
      </c>
      <c r="AO42" s="113">
        <f t="shared" si="49"/>
        <v>-8</v>
      </c>
      <c r="AP42" s="114">
        <f t="shared" si="50"/>
        <v>-48</v>
      </c>
      <c r="AQ42" s="55"/>
      <c r="AR42" s="1159">
        <f>+X81*Q81</f>
        <v>0</v>
      </c>
      <c r="AS42" s="1160"/>
      <c r="AT42" s="118">
        <f t="shared" si="52"/>
        <v>0</v>
      </c>
      <c r="AU42" s="55"/>
      <c r="AV42" s="55"/>
      <c r="AW42" s="1134"/>
      <c r="AX42" s="1135"/>
    </row>
    <row r="43" spans="1:56" ht="14.1" customHeight="1">
      <c r="B43" s="73" t="str">
        <f t="shared" si="32"/>
        <v>Jaime Lizarbe C.</v>
      </c>
      <c r="C43" s="75"/>
      <c r="D43" s="75"/>
      <c r="E43" s="75"/>
      <c r="F43" s="76">
        <f t="shared" si="33"/>
        <v>0</v>
      </c>
      <c r="G43" s="75"/>
      <c r="H43" s="75"/>
      <c r="I43" s="76">
        <f t="shared" si="34"/>
        <v>0</v>
      </c>
      <c r="J43" s="75"/>
      <c r="K43" s="76">
        <f t="shared" si="35"/>
        <v>0</v>
      </c>
      <c r="L43" s="77">
        <f t="shared" si="53"/>
        <v>0</v>
      </c>
      <c r="M43" s="75"/>
      <c r="N43" s="75"/>
      <c r="O43" s="75"/>
      <c r="P43" s="76">
        <f t="shared" si="36"/>
        <v>0</v>
      </c>
      <c r="Q43" s="134"/>
      <c r="R43" s="134"/>
      <c r="S43" s="76">
        <f t="shared" si="37"/>
        <v>0</v>
      </c>
      <c r="T43" s="75"/>
      <c r="U43" s="76">
        <f t="shared" si="38"/>
        <v>0</v>
      </c>
      <c r="V43" s="77">
        <f t="shared" si="39"/>
        <v>0</v>
      </c>
      <c r="W43" s="74"/>
      <c r="X43" s="75"/>
      <c r="Y43" s="75"/>
      <c r="Z43" s="76">
        <f t="shared" si="40"/>
        <v>0</v>
      </c>
      <c r="AA43" s="75"/>
      <c r="AB43" s="75"/>
      <c r="AC43" s="76">
        <f t="shared" si="41"/>
        <v>0</v>
      </c>
      <c r="AD43" s="75"/>
      <c r="AE43" s="76">
        <f t="shared" si="42"/>
        <v>0</v>
      </c>
      <c r="AF43" s="77">
        <f t="shared" si="43"/>
        <v>0</v>
      </c>
      <c r="AG43" s="55"/>
      <c r="AH43" s="135">
        <v>0</v>
      </c>
      <c r="AI43" s="136">
        <f t="shared" si="44"/>
        <v>-8</v>
      </c>
      <c r="AJ43" s="136">
        <f t="shared" si="45"/>
        <v>-8</v>
      </c>
      <c r="AK43" s="136">
        <f t="shared" si="54"/>
        <v>-8</v>
      </c>
      <c r="AL43" s="136">
        <f t="shared" si="46"/>
        <v>0</v>
      </c>
      <c r="AM43" s="136">
        <f t="shared" si="47"/>
        <v>-8</v>
      </c>
      <c r="AN43" s="136">
        <f t="shared" si="48"/>
        <v>-8</v>
      </c>
      <c r="AO43" s="136">
        <f t="shared" si="49"/>
        <v>-8</v>
      </c>
      <c r="AP43" s="137">
        <f t="shared" si="50"/>
        <v>-48</v>
      </c>
      <c r="AQ43" s="55"/>
      <c r="AR43" s="1159"/>
      <c r="AS43" s="1160"/>
      <c r="AT43" s="118">
        <f t="shared" si="52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2"/>
        <v>Eddie Uchupe C.</v>
      </c>
      <c r="C44" s="459">
        <v>7</v>
      </c>
      <c r="D44" s="459">
        <v>17</v>
      </c>
      <c r="E44" s="459">
        <v>1</v>
      </c>
      <c r="F44" s="460">
        <f t="shared" si="33"/>
        <v>9</v>
      </c>
      <c r="G44" s="459"/>
      <c r="H44" s="459"/>
      <c r="I44" s="460">
        <f t="shared" si="34"/>
        <v>0</v>
      </c>
      <c r="J44" s="459"/>
      <c r="K44" s="460">
        <f t="shared" si="35"/>
        <v>8</v>
      </c>
      <c r="L44" s="461">
        <f t="shared" si="53"/>
        <v>1</v>
      </c>
      <c r="M44" s="459">
        <v>7</v>
      </c>
      <c r="N44" s="459">
        <v>18</v>
      </c>
      <c r="O44" s="459">
        <v>1</v>
      </c>
      <c r="P44" s="460">
        <f t="shared" si="36"/>
        <v>10</v>
      </c>
      <c r="Q44" s="489"/>
      <c r="R44" s="489"/>
      <c r="S44" s="460">
        <f t="shared" si="37"/>
        <v>0</v>
      </c>
      <c r="T44" s="459"/>
      <c r="U44" s="460">
        <f t="shared" si="38"/>
        <v>8</v>
      </c>
      <c r="V44" s="461">
        <f t="shared" si="39"/>
        <v>2</v>
      </c>
      <c r="W44" s="458">
        <v>7</v>
      </c>
      <c r="X44" s="459">
        <v>17</v>
      </c>
      <c r="Y44" s="459">
        <v>1</v>
      </c>
      <c r="Z44" s="460">
        <f t="shared" si="40"/>
        <v>9</v>
      </c>
      <c r="AA44" s="459"/>
      <c r="AB44" s="459"/>
      <c r="AC44" s="460">
        <f t="shared" si="41"/>
        <v>0</v>
      </c>
      <c r="AD44" s="459"/>
      <c r="AE44" s="460">
        <f t="shared" si="42"/>
        <v>8</v>
      </c>
      <c r="AF44" s="461">
        <f t="shared" si="43"/>
        <v>1</v>
      </c>
      <c r="AG44" s="55"/>
      <c r="AH44" s="490">
        <v>0</v>
      </c>
      <c r="AI44" s="491">
        <f t="shared" si="44"/>
        <v>-8</v>
      </c>
      <c r="AJ44" s="491">
        <f t="shared" si="45"/>
        <v>-8</v>
      </c>
      <c r="AK44" s="491">
        <f t="shared" si="54"/>
        <v>0</v>
      </c>
      <c r="AL44" s="491">
        <f t="shared" si="46"/>
        <v>0</v>
      </c>
      <c r="AM44" s="491">
        <f t="shared" si="47"/>
        <v>0</v>
      </c>
      <c r="AN44" s="491">
        <f t="shared" si="48"/>
        <v>0</v>
      </c>
      <c r="AO44" s="491">
        <f t="shared" si="49"/>
        <v>0</v>
      </c>
      <c r="AP44" s="492">
        <f t="shared" si="50"/>
        <v>-16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4</v>
      </c>
      <c r="AU44" s="138"/>
      <c r="AV44" s="138"/>
      <c r="AW44" s="1392"/>
      <c r="AX44" s="1393"/>
    </row>
    <row r="45" spans="1:56" ht="14.1" customHeight="1">
      <c r="B45" s="71" t="str">
        <f t="shared" si="32"/>
        <v xml:space="preserve">   -  .  -</v>
      </c>
      <c r="C45" s="372"/>
      <c r="D45" s="348"/>
      <c r="E45" s="119"/>
      <c r="F45" s="120">
        <f t="shared" si="33"/>
        <v>0</v>
      </c>
      <c r="G45" s="141"/>
      <c r="H45" s="348"/>
      <c r="I45" s="120">
        <f t="shared" si="34"/>
        <v>0</v>
      </c>
      <c r="J45" s="119"/>
      <c r="K45" s="121">
        <f t="shared" si="35"/>
        <v>0</v>
      </c>
      <c r="L45" s="142">
        <f t="shared" si="53"/>
        <v>0</v>
      </c>
      <c r="M45" s="342"/>
      <c r="N45" s="342"/>
      <c r="O45" s="30"/>
      <c r="P45" s="31">
        <f t="shared" si="36"/>
        <v>0</v>
      </c>
      <c r="Q45" s="348"/>
      <c r="R45" s="348"/>
      <c r="S45" s="88">
        <f t="shared" si="37"/>
        <v>0</v>
      </c>
      <c r="T45" s="87"/>
      <c r="U45" s="32">
        <f t="shared" si="38"/>
        <v>0</v>
      </c>
      <c r="V45" s="89">
        <f t="shared" si="39"/>
        <v>0</v>
      </c>
      <c r="W45" s="334"/>
      <c r="X45" s="342"/>
      <c r="Y45" s="30"/>
      <c r="Z45" s="31">
        <f t="shared" si="40"/>
        <v>0</v>
      </c>
      <c r="AA45" s="342"/>
      <c r="AB45" s="342"/>
      <c r="AC45" s="44">
        <f t="shared" si="41"/>
        <v>0</v>
      </c>
      <c r="AD45" s="30"/>
      <c r="AE45" s="32">
        <f t="shared" si="42"/>
        <v>0</v>
      </c>
      <c r="AF45" s="20">
        <f t="shared" si="43"/>
        <v>0</v>
      </c>
      <c r="AG45" s="55"/>
      <c r="AH45" s="143">
        <v>0</v>
      </c>
      <c r="AI45" s="144">
        <f t="shared" si="44"/>
        <v>-8</v>
      </c>
      <c r="AJ45" s="144">
        <f t="shared" si="45"/>
        <v>-8</v>
      </c>
      <c r="AK45" s="144">
        <f t="shared" si="54"/>
        <v>-8</v>
      </c>
      <c r="AL45" s="113">
        <f t="shared" si="46"/>
        <v>0</v>
      </c>
      <c r="AM45" s="144">
        <f t="shared" si="47"/>
        <v>-8</v>
      </c>
      <c r="AN45" s="144">
        <f t="shared" si="48"/>
        <v>-8</v>
      </c>
      <c r="AO45" s="144">
        <f t="shared" si="49"/>
        <v>-8</v>
      </c>
      <c r="AP45" s="145">
        <f t="shared" si="50"/>
        <v>-48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46" t="str">
        <f t="shared" si="32"/>
        <v xml:space="preserve"> </v>
      </c>
      <c r="C46" s="87"/>
      <c r="D46" s="87"/>
      <c r="E46" s="87"/>
      <c r="F46" s="88">
        <f t="shared" si="33"/>
        <v>0</v>
      </c>
      <c r="G46" s="87"/>
      <c r="H46" s="87"/>
      <c r="I46" s="88">
        <f t="shared" si="34"/>
        <v>0</v>
      </c>
      <c r="J46" s="87"/>
      <c r="K46" s="88">
        <f t="shared" si="35"/>
        <v>0</v>
      </c>
      <c r="L46" s="89">
        <f t="shared" si="53"/>
        <v>0</v>
      </c>
      <c r="M46" s="147"/>
      <c r="N46" s="147"/>
      <c r="O46" s="147"/>
      <c r="P46" s="148">
        <f t="shared" si="36"/>
        <v>0</v>
      </c>
      <c r="Q46" s="149"/>
      <c r="R46" s="149"/>
      <c r="S46" s="148">
        <f t="shared" si="37"/>
        <v>0</v>
      </c>
      <c r="T46" s="147"/>
      <c r="U46" s="148">
        <f t="shared" si="38"/>
        <v>0</v>
      </c>
      <c r="V46" s="150">
        <f t="shared" si="39"/>
        <v>0</v>
      </c>
      <c r="W46" s="151"/>
      <c r="X46" s="147"/>
      <c r="Y46" s="147"/>
      <c r="Z46" s="148">
        <f t="shared" si="40"/>
        <v>0</v>
      </c>
      <c r="AA46" s="147"/>
      <c r="AB46" s="152"/>
      <c r="AC46" s="148">
        <f t="shared" si="41"/>
        <v>0</v>
      </c>
      <c r="AD46" s="147"/>
      <c r="AE46" s="148">
        <f t="shared" si="42"/>
        <v>0</v>
      </c>
      <c r="AF46" s="150">
        <f t="shared" si="43"/>
        <v>0</v>
      </c>
      <c r="AG46" s="55"/>
      <c r="AH46" s="127">
        <v>0</v>
      </c>
      <c r="AI46" s="113">
        <f t="shared" si="44"/>
        <v>-8</v>
      </c>
      <c r="AJ46" s="113">
        <f t="shared" si="45"/>
        <v>-8</v>
      </c>
      <c r="AK46" s="128">
        <f t="shared" si="54"/>
        <v>-8</v>
      </c>
      <c r="AL46" s="113">
        <f t="shared" si="46"/>
        <v>0</v>
      </c>
      <c r="AM46" s="113">
        <f t="shared" si="47"/>
        <v>-8</v>
      </c>
      <c r="AN46" s="113">
        <f t="shared" si="48"/>
        <v>-8</v>
      </c>
      <c r="AO46" s="113">
        <f t="shared" si="49"/>
        <v>-8</v>
      </c>
      <c r="AP46" s="114">
        <f t="shared" si="50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2"/>
        <v xml:space="preserve"> </v>
      </c>
      <c r="C47" s="360"/>
      <c r="D47" s="361"/>
      <c r="E47" s="96"/>
      <c r="F47" s="97">
        <f t="shared" si="33"/>
        <v>0</v>
      </c>
      <c r="G47" s="153"/>
      <c r="H47" s="363"/>
      <c r="I47" s="97">
        <f t="shared" si="34"/>
        <v>0</v>
      </c>
      <c r="J47" s="96"/>
      <c r="K47" s="98">
        <f t="shared" si="35"/>
        <v>0</v>
      </c>
      <c r="L47" s="99">
        <f t="shared" si="53"/>
        <v>0</v>
      </c>
      <c r="M47" s="361"/>
      <c r="N47" s="361"/>
      <c r="O47" s="96"/>
      <c r="P47" s="97">
        <f t="shared" si="36"/>
        <v>0</v>
      </c>
      <c r="Q47" s="154"/>
      <c r="R47" s="154"/>
      <c r="S47" s="97">
        <f t="shared" si="37"/>
        <v>0</v>
      </c>
      <c r="T47" s="96"/>
      <c r="U47" s="98">
        <f t="shared" si="38"/>
        <v>0</v>
      </c>
      <c r="V47" s="99">
        <f t="shared" si="39"/>
        <v>0</v>
      </c>
      <c r="W47" s="360"/>
      <c r="X47" s="361"/>
      <c r="Y47" s="96"/>
      <c r="Z47" s="97">
        <f t="shared" si="40"/>
        <v>0</v>
      </c>
      <c r="AA47" s="361"/>
      <c r="AB47" s="361"/>
      <c r="AC47" s="97">
        <f t="shared" si="41"/>
        <v>0</v>
      </c>
      <c r="AD47" s="96"/>
      <c r="AE47" s="98">
        <f t="shared" si="42"/>
        <v>0</v>
      </c>
      <c r="AF47" s="99">
        <f t="shared" si="43"/>
        <v>0</v>
      </c>
      <c r="AG47" s="55"/>
      <c r="AH47" s="112">
        <v>0</v>
      </c>
      <c r="AI47" s="113">
        <f t="shared" si="44"/>
        <v>-8</v>
      </c>
      <c r="AJ47" s="113">
        <f t="shared" si="45"/>
        <v>-8</v>
      </c>
      <c r="AK47" s="113">
        <f t="shared" si="54"/>
        <v>-8</v>
      </c>
      <c r="AL47" s="113">
        <f t="shared" si="46"/>
        <v>0</v>
      </c>
      <c r="AM47" s="113">
        <f t="shared" si="47"/>
        <v>-8</v>
      </c>
      <c r="AN47" s="113">
        <f t="shared" si="48"/>
        <v>-8</v>
      </c>
      <c r="AO47" s="113">
        <f t="shared" si="49"/>
        <v>-8</v>
      </c>
      <c r="AP47" s="114">
        <f t="shared" si="50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130</v>
      </c>
      <c r="AS48" s="1162"/>
      <c r="AT48" s="167">
        <f>SUM(AT33:AT47)</f>
        <v>47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36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43167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43168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43169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43170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9.7916660714285708</v>
      </c>
      <c r="BE58" s="351">
        <f>+BD58*AP58</f>
        <v>29.374998214285711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43171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43172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43173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-62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122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83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83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83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83"/>
      <c r="AB70" s="483"/>
      <c r="AC70" s="483"/>
      <c r="AD70" s="483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83"/>
      <c r="AB71" s="483"/>
      <c r="AC71" s="483"/>
      <c r="AD71" s="483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83"/>
      <c r="AB72" s="483"/>
      <c r="AC72" s="483"/>
      <c r="AD72" s="483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048">
        <f t="shared" ref="E73:E80" si="55">+C73/7</f>
        <v>36.371428571428567</v>
      </c>
      <c r="F73" s="1049"/>
      <c r="G73" s="388"/>
      <c r="H73" s="388"/>
      <c r="I73" s="1052">
        <f t="shared" ref="I73:I80" si="56">+E73/8</f>
        <v>4.5464285714285708</v>
      </c>
      <c r="J73" s="1058"/>
      <c r="K73" s="1059">
        <f t="shared" ref="K73:K81" si="57">+E73*30</f>
        <v>1091.1428571428569</v>
      </c>
      <c r="L73" s="1059"/>
      <c r="M73" s="5"/>
      <c r="N73" s="1020">
        <f t="shared" ref="N73:N87" si="58">+I73/6*7</f>
        <v>5.3041666666666654</v>
      </c>
      <c r="O73" s="1020"/>
      <c r="P73" s="5"/>
      <c r="Q73" s="1056">
        <f t="shared" ref="Q73:Q87" si="59">+$I$71-I73</f>
        <v>0.23482142857142918</v>
      </c>
      <c r="R73" s="1057"/>
      <c r="U73" s="238">
        <f t="shared" ref="U73:U79" si="60">+AE33+U33+K33+AO11+AE11+U11+K11</f>
        <v>56</v>
      </c>
      <c r="V73" s="239">
        <v>48</v>
      </c>
      <c r="W73" s="240">
        <f t="shared" ref="W73:W87" si="61">+V73-U73</f>
        <v>-8</v>
      </c>
      <c r="X73" s="241">
        <f t="shared" ref="X73:X79" si="62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048">
        <f t="shared" si="55"/>
        <v>41.071428571428569</v>
      </c>
      <c r="F74" s="1049"/>
      <c r="G74" s="388"/>
      <c r="H74" s="388"/>
      <c r="I74" s="1052">
        <f t="shared" si="56"/>
        <v>5.1339285714285712</v>
      </c>
      <c r="J74" s="1058"/>
      <c r="K74" s="1059">
        <f t="shared" si="57"/>
        <v>1232.1428571428571</v>
      </c>
      <c r="L74" s="1059"/>
      <c r="M74" s="5"/>
      <c r="N74" s="1020">
        <f t="shared" si="58"/>
        <v>5.989583333333333</v>
      </c>
      <c r="O74" s="1020"/>
      <c r="P74" s="5"/>
      <c r="Q74" s="1056">
        <f t="shared" si="59"/>
        <v>-0.35267857142857117</v>
      </c>
      <c r="R74" s="1057"/>
      <c r="U74" s="238">
        <f t="shared" si="60"/>
        <v>68</v>
      </c>
      <c r="V74" s="239">
        <v>48</v>
      </c>
      <c r="W74" s="240">
        <f t="shared" si="61"/>
        <v>-20</v>
      </c>
      <c r="X74" s="241">
        <f t="shared" si="62"/>
        <v>16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048">
        <f t="shared" si="55"/>
        <v>41.071428571428569</v>
      </c>
      <c r="F75" s="1049"/>
      <c r="G75" s="388"/>
      <c r="H75" s="388"/>
      <c r="I75" s="1052">
        <f t="shared" si="56"/>
        <v>5.1339285714285712</v>
      </c>
      <c r="J75" s="1058"/>
      <c r="K75" s="1059">
        <f t="shared" si="57"/>
        <v>1232.1428571428571</v>
      </c>
      <c r="L75" s="1059"/>
      <c r="M75" s="5"/>
      <c r="N75" s="1020">
        <f t="shared" si="58"/>
        <v>5.989583333333333</v>
      </c>
      <c r="O75" s="1020"/>
      <c r="P75" s="5"/>
      <c r="Q75" s="1056">
        <f t="shared" si="59"/>
        <v>-0.35267857142857117</v>
      </c>
      <c r="R75" s="1057"/>
      <c r="U75" s="238">
        <f t="shared" si="60"/>
        <v>24</v>
      </c>
      <c r="V75" s="239">
        <v>48</v>
      </c>
      <c r="W75" s="240">
        <f t="shared" si="61"/>
        <v>24</v>
      </c>
      <c r="X75" s="241">
        <f t="shared" si="62"/>
        <v>0</v>
      </c>
      <c r="Z75" s="389"/>
      <c r="AA75" s="484"/>
      <c r="AB75" s="484"/>
      <c r="AC75" s="484"/>
      <c r="AD75" s="484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048">
        <f t="shared" si="55"/>
        <v>33.33342857142857</v>
      </c>
      <c r="F76" s="1049"/>
      <c r="G76" s="388"/>
      <c r="H76" s="388"/>
      <c r="I76" s="1052">
        <f t="shared" si="56"/>
        <v>4.1666785714285712</v>
      </c>
      <c r="J76" s="1058"/>
      <c r="K76" s="1059">
        <f t="shared" si="57"/>
        <v>1000.0028571428571</v>
      </c>
      <c r="L76" s="1059"/>
      <c r="M76" s="5"/>
      <c r="N76" s="1020">
        <f t="shared" si="58"/>
        <v>4.8611250000000004</v>
      </c>
      <c r="O76" s="1020"/>
      <c r="P76" s="5"/>
      <c r="Q76" s="1056">
        <f t="shared" si="59"/>
        <v>0.61457142857142877</v>
      </c>
      <c r="R76" s="1057"/>
      <c r="S76" s="1066">
        <f>20*30/180*117</f>
        <v>390</v>
      </c>
      <c r="T76" s="1067"/>
      <c r="U76" s="238">
        <f t="shared" si="60"/>
        <v>45</v>
      </c>
      <c r="V76" s="239">
        <v>48</v>
      </c>
      <c r="W76" s="240">
        <f t="shared" si="61"/>
        <v>3</v>
      </c>
      <c r="X76" s="241">
        <f t="shared" si="62"/>
        <v>40</v>
      </c>
      <c r="Z76" s="1045" t="s">
        <v>53</v>
      </c>
      <c r="AA76" s="1045"/>
      <c r="AB76" s="1045"/>
      <c r="AC76" s="1045"/>
      <c r="AD76" s="389" t="s">
        <v>54</v>
      </c>
      <c r="AE76" s="484"/>
      <c r="AF76" s="386"/>
      <c r="AG76" s="391"/>
      <c r="AH76" s="391"/>
      <c r="AI76" s="386"/>
      <c r="AJ76" s="386"/>
      <c r="AK76" s="481"/>
      <c r="AL76" s="481"/>
      <c r="AM76" s="481"/>
      <c r="AN76" s="481"/>
      <c r="AO76" s="481"/>
      <c r="AP76" s="481"/>
      <c r="AQ76" s="481"/>
      <c r="AR76" s="481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048">
        <f t="shared" si="55"/>
        <v>41.071428571428569</v>
      </c>
      <c r="F77" s="1049"/>
      <c r="G77" s="388"/>
      <c r="H77" s="388"/>
      <c r="I77" s="1052">
        <f t="shared" si="56"/>
        <v>5.1339285714285712</v>
      </c>
      <c r="J77" s="1058"/>
      <c r="K77" s="1059">
        <f t="shared" si="57"/>
        <v>1232.1428571428571</v>
      </c>
      <c r="L77" s="1059"/>
      <c r="M77" s="5"/>
      <c r="N77" s="1020">
        <f t="shared" si="58"/>
        <v>5.989583333333333</v>
      </c>
      <c r="O77" s="1020"/>
      <c r="P77" s="5"/>
      <c r="Q77" s="1056">
        <f t="shared" si="59"/>
        <v>-0.35267857142857117</v>
      </c>
      <c r="R77" s="1057"/>
      <c r="U77" s="238">
        <f t="shared" si="60"/>
        <v>48</v>
      </c>
      <c r="V77" s="239">
        <v>48</v>
      </c>
      <c r="W77" s="240">
        <f t="shared" si="61"/>
        <v>0</v>
      </c>
      <c r="X77" s="241">
        <f t="shared" si="62"/>
        <v>0</v>
      </c>
      <c r="Z77" s="484"/>
      <c r="AA77" s="484"/>
      <c r="AB77" s="484"/>
      <c r="AC77" s="484"/>
      <c r="AD77" s="484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048">
        <f t="shared" si="55"/>
        <v>41.071428571428569</v>
      </c>
      <c r="F78" s="1049"/>
      <c r="G78" s="1068"/>
      <c r="H78" s="1069"/>
      <c r="I78" s="1052">
        <f t="shared" si="56"/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0"/>
        <v>45</v>
      </c>
      <c r="V78" s="239">
        <v>48</v>
      </c>
      <c r="W78" s="240">
        <f>+V78-U78</f>
        <v>3</v>
      </c>
      <c r="X78" s="241">
        <f t="shared" si="62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62</v>
      </c>
      <c r="C79" s="1060">
        <f>6*3+7*(27)</f>
        <v>207</v>
      </c>
      <c r="D79" s="1061"/>
      <c r="E79" s="1048">
        <f t="shared" si="55"/>
        <v>29.571428571428573</v>
      </c>
      <c r="F79" s="1049"/>
      <c r="G79" s="1062"/>
      <c r="H79" s="1063"/>
      <c r="I79" s="1052">
        <f t="shared" si="56"/>
        <v>3.6964285714285716</v>
      </c>
      <c r="J79" s="1058"/>
      <c r="K79" s="1059">
        <f>+E79*30</f>
        <v>887.14285714285722</v>
      </c>
      <c r="L79" s="1059"/>
      <c r="M79" s="5"/>
      <c r="N79" s="1020">
        <f t="shared" si="58"/>
        <v>4.3125</v>
      </c>
      <c r="O79" s="1020"/>
      <c r="P79" s="5"/>
      <c r="Q79" s="1056">
        <f t="shared" si="59"/>
        <v>1.0848214285714284</v>
      </c>
      <c r="R79" s="1057"/>
      <c r="S79" s="1066">
        <f>20*30/180*117</f>
        <v>390</v>
      </c>
      <c r="T79" s="1067"/>
      <c r="U79" s="238">
        <f t="shared" si="60"/>
        <v>21</v>
      </c>
      <c r="V79" s="239">
        <v>48</v>
      </c>
      <c r="W79" s="240">
        <f t="shared" si="61"/>
        <v>27</v>
      </c>
      <c r="X79" s="241">
        <f t="shared" si="62"/>
        <v>24</v>
      </c>
      <c r="Y79" s="248"/>
      <c r="Z79" s="484"/>
      <c r="AA79" s="484"/>
      <c r="AB79" s="484"/>
      <c r="AC79" s="484"/>
      <c r="AD79" s="484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117</v>
      </c>
      <c r="C80" s="1060">
        <f>6*3+7*(25.7619)</f>
        <v>198.33330000000001</v>
      </c>
      <c r="D80" s="1061"/>
      <c r="E80" s="1048">
        <f t="shared" si="55"/>
        <v>28.333328571428574</v>
      </c>
      <c r="F80" s="1049"/>
      <c r="G80" s="1050">
        <v>25.761900000000001</v>
      </c>
      <c r="H80" s="1051"/>
      <c r="I80" s="1052">
        <f t="shared" si="56"/>
        <v>3.5416660714285717</v>
      </c>
      <c r="J80" s="1058"/>
      <c r="K80" s="1059">
        <f>+E80*30</f>
        <v>849.99985714285719</v>
      </c>
      <c r="L80" s="1059"/>
      <c r="M80" s="5"/>
      <c r="N80" s="1020">
        <f t="shared" si="58"/>
        <v>4.1319437500000005</v>
      </c>
      <c r="O80" s="1020"/>
      <c r="P80" s="5"/>
      <c r="Q80" s="1056">
        <f t="shared" si="59"/>
        <v>1.2395839285714283</v>
      </c>
      <c r="R80" s="1057"/>
      <c r="S80" s="483"/>
      <c r="T80" s="483"/>
      <c r="U80" s="238">
        <f>+AE41+U41+K41+AO19+AE19+U19+K19</f>
        <v>0</v>
      </c>
      <c r="V80" s="239">
        <v>48</v>
      </c>
      <c r="W80" s="240">
        <f t="shared" si="61"/>
        <v>48</v>
      </c>
      <c r="X80" s="241">
        <f>+J19+T19+AD19+J41+T41+AD41</f>
        <v>0</v>
      </c>
      <c r="Y80" s="483"/>
      <c r="Z80" s="484"/>
      <c r="AA80" s="484"/>
      <c r="AB80" s="484"/>
      <c r="AC80" s="484"/>
      <c r="AD80" s="484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121</v>
      </c>
      <c r="C81" s="1060"/>
      <c r="D81" s="1061"/>
      <c r="E81" s="1048"/>
      <c r="F81" s="1049"/>
      <c r="G81" s="1062"/>
      <c r="H81" s="1063"/>
      <c r="I81" s="1052"/>
      <c r="J81" s="1058"/>
      <c r="K81" s="1059">
        <f t="shared" si="57"/>
        <v>0</v>
      </c>
      <c r="L81" s="1059"/>
      <c r="M81" s="5"/>
      <c r="N81" s="1020">
        <f>+I81/6*7</f>
        <v>0</v>
      </c>
      <c r="O81" s="1020"/>
      <c r="P81" s="5"/>
      <c r="Q81" s="1056">
        <f>+$I$71-I81</f>
        <v>4.78125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84"/>
      <c r="AC81" s="484"/>
      <c r="AD81" s="484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37" t="s">
        <v>61</v>
      </c>
      <c r="C82" s="1046">
        <f>6*3+7*35</f>
        <v>263</v>
      </c>
      <c r="D82" s="1047"/>
      <c r="E82" s="1048">
        <f t="shared" ref="E82:E87" si="63">+C82/7</f>
        <v>37.571428571428569</v>
      </c>
      <c r="F82" s="1049"/>
      <c r="G82" s="388"/>
      <c r="H82" s="388"/>
      <c r="I82" s="1052">
        <f>+E82/8</f>
        <v>4.6964285714285712</v>
      </c>
      <c r="J82" s="1058"/>
      <c r="K82" s="1059">
        <f>+E82*30</f>
        <v>1127.1428571428571</v>
      </c>
      <c r="L82" s="1059"/>
      <c r="M82" s="251"/>
      <c r="N82" s="1020">
        <f>+I82/6*7</f>
        <v>5.479166666666667</v>
      </c>
      <c r="O82" s="1020"/>
      <c r="P82" s="5"/>
      <c r="Q82" s="1056">
        <f>+$I$71-I82</f>
        <v>8.4821428571428825E-2</v>
      </c>
      <c r="R82" s="1057"/>
      <c r="S82" s="486"/>
      <c r="T82" s="486"/>
      <c r="U82" s="238">
        <f>+AE43+U43+K43+AO21+AE21+U21+K21</f>
        <v>0</v>
      </c>
      <c r="V82" s="239">
        <v>48</v>
      </c>
      <c r="W82" s="240">
        <f>+V82-U82</f>
        <v>48</v>
      </c>
      <c r="X82" s="241">
        <f>+J21+T21+AD21+J43+T43+AD43</f>
        <v>0</v>
      </c>
      <c r="Z82" s="1045">
        <f>+K82/E82</f>
        <v>30</v>
      </c>
      <c r="AA82" s="1045"/>
      <c r="AB82" s="1045"/>
      <c r="AC82" s="1045"/>
      <c r="AD82" s="484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118</v>
      </c>
      <c r="C83" s="1046">
        <f>6*3+7*34.0952</f>
        <v>256.66639999999995</v>
      </c>
      <c r="D83" s="1047"/>
      <c r="E83" s="1048">
        <f t="shared" si="63"/>
        <v>36.666628571428568</v>
      </c>
      <c r="F83" s="1049"/>
      <c r="G83" s="1050">
        <f>(C83-18)/7</f>
        <v>34.095199999999991</v>
      </c>
      <c r="H83" s="1051"/>
      <c r="I83" s="1052">
        <f>+E83/8</f>
        <v>4.583328571428571</v>
      </c>
      <c r="J83" s="1058"/>
      <c r="K83" s="1059">
        <f>+E83*30</f>
        <v>1099.9988571428571</v>
      </c>
      <c r="L83" s="1059"/>
      <c r="M83" s="251"/>
      <c r="N83" s="1020">
        <f>+I83/6*7</f>
        <v>5.3472166666666663</v>
      </c>
      <c r="O83" s="1020"/>
      <c r="P83" s="5"/>
      <c r="Q83" s="1056">
        <f>+$I$71-I83</f>
        <v>0.19792142857142903</v>
      </c>
      <c r="R83" s="1057"/>
      <c r="U83" s="238">
        <f>+AE44+U44+K44+AO22+AE22+U22+K22</f>
        <v>32</v>
      </c>
      <c r="V83" s="239">
        <v>48</v>
      </c>
      <c r="W83" s="240">
        <f>+V83-U83</f>
        <v>16</v>
      </c>
      <c r="X83" s="241">
        <f>+J22+T22+AD22+J44+T44+AD44</f>
        <v>0</v>
      </c>
      <c r="Z83" s="252"/>
      <c r="AA83" s="394"/>
      <c r="AB83" s="389"/>
      <c r="AC83" s="484"/>
      <c r="AD83" s="484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119</v>
      </c>
      <c r="C84" s="1035">
        <f>+G84*6</f>
        <v>0</v>
      </c>
      <c r="D84" s="1036"/>
      <c r="E84" s="1382">
        <f t="shared" si="63"/>
        <v>0</v>
      </c>
      <c r="F84" s="1383"/>
      <c r="G84" s="1039"/>
      <c r="H84" s="1040"/>
      <c r="I84" s="1037">
        <f>+G84/8</f>
        <v>0</v>
      </c>
      <c r="J84" s="1038"/>
      <c r="K84" s="1388">
        <f>+G84*30</f>
        <v>0</v>
      </c>
      <c r="L84" s="1389"/>
      <c r="M84" s="5"/>
      <c r="N84" s="1020">
        <f t="shared" si="58"/>
        <v>0</v>
      </c>
      <c r="O84" s="1020"/>
      <c r="P84" s="5"/>
      <c r="Q84" s="1004">
        <f t="shared" si="59"/>
        <v>4.78125</v>
      </c>
      <c r="R84" s="1005"/>
      <c r="U84" s="238">
        <f>+AE46+U46+K46+AO24+AE24+U24+K24</f>
        <v>0</v>
      </c>
      <c r="V84" s="239">
        <v>48</v>
      </c>
      <c r="W84" s="240">
        <f t="shared" si="61"/>
        <v>48</v>
      </c>
      <c r="X84" s="241">
        <f>+J23+T23+AD23+J45+T45+AD45</f>
        <v>0</v>
      </c>
      <c r="Z84" s="252"/>
      <c r="AA84" s="394"/>
      <c r="AB84" s="389"/>
      <c r="AC84" s="494"/>
      <c r="AD84" s="484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0</v>
      </c>
      <c r="D85" s="1036"/>
      <c r="E85" s="1382">
        <f t="shared" si="63"/>
        <v>0</v>
      </c>
      <c r="F85" s="1383"/>
      <c r="G85" s="1384"/>
      <c r="H85" s="1385"/>
      <c r="I85" s="1037">
        <f>+G85/8</f>
        <v>0</v>
      </c>
      <c r="J85" s="1038"/>
      <c r="K85" s="1388">
        <f>+G85*30</f>
        <v>0</v>
      </c>
      <c r="L85" s="1389"/>
      <c r="M85" s="5"/>
      <c r="N85" s="1020">
        <f t="shared" si="58"/>
        <v>0</v>
      </c>
      <c r="O85" s="1020"/>
      <c r="P85" s="5"/>
      <c r="Q85" s="1033">
        <f t="shared" si="59"/>
        <v>4.78125</v>
      </c>
      <c r="R85" s="1034"/>
      <c r="U85" s="238">
        <f>+AE49+U49+K49+AO27+AE27+U27+K27</f>
        <v>43173</v>
      </c>
      <c r="V85" s="239">
        <v>48</v>
      </c>
      <c r="W85" s="240">
        <f t="shared" si="61"/>
        <v>-43125</v>
      </c>
      <c r="X85" s="241">
        <f>+J27+T27+AD27+J49+T49+AD49</f>
        <v>0</v>
      </c>
      <c r="Z85" s="246"/>
      <c r="AA85" s="246"/>
      <c r="AB85" s="484"/>
      <c r="AC85" s="484"/>
      <c r="AD85" s="484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26">
        <f t="shared" si="63"/>
        <v>14.285714285714286</v>
      </c>
      <c r="F86" s="1027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1"/>
        <v>48</v>
      </c>
      <c r="X86" s="241">
        <f>+J24+T24+AD24+J46+T46+AD46</f>
        <v>0</v>
      </c>
      <c r="Y86" s="248"/>
      <c r="Z86" s="484"/>
      <c r="AA86" s="484"/>
      <c r="AB86" s="484"/>
      <c r="AC86" s="484"/>
      <c r="AD86" s="484"/>
      <c r="AE86" s="386"/>
      <c r="AF86" s="386"/>
      <c r="AG86" s="391"/>
      <c r="AH86" s="391"/>
      <c r="AI86" s="386"/>
      <c r="AJ86" s="386"/>
      <c r="AK86" s="481"/>
      <c r="AL86" s="481"/>
      <c r="AM86" s="481"/>
      <c r="AN86" s="481"/>
      <c r="AO86" s="481"/>
      <c r="AP86" s="481"/>
      <c r="AQ86" s="481"/>
      <c r="AR86" s="481"/>
      <c r="AS86" s="386"/>
      <c r="AT86" s="386"/>
    </row>
    <row r="87" spans="1:46" ht="16.5">
      <c r="B87" s="253" t="s">
        <v>63</v>
      </c>
      <c r="C87" s="1010">
        <f>6*3+7*(G87)</f>
        <v>548.33330000000001</v>
      </c>
      <c r="D87" s="1011"/>
      <c r="E87" s="1012">
        <f t="shared" si="63"/>
        <v>78.333328571428567</v>
      </c>
      <c r="F87" s="1013"/>
      <c r="G87" s="1014">
        <v>75.761899999999997</v>
      </c>
      <c r="H87" s="1015"/>
      <c r="I87" s="1016">
        <f>+E87/8</f>
        <v>9.7916660714285708</v>
      </c>
      <c r="J87" s="1017"/>
      <c r="K87" s="1018">
        <f>+E87*30</f>
        <v>2349.9998571428569</v>
      </c>
      <c r="L87" s="1019"/>
      <c r="M87" s="5"/>
      <c r="N87" s="1020">
        <f t="shared" si="58"/>
        <v>11.423610416666666</v>
      </c>
      <c r="O87" s="1020"/>
      <c r="P87" s="5"/>
      <c r="Q87" s="1004">
        <f t="shared" si="59"/>
        <v>-5.0104160714285708</v>
      </c>
      <c r="R87" s="1005"/>
      <c r="U87" s="238">
        <f>+AE50+U50+K50+AO28+AE28+U28+K28</f>
        <v>0</v>
      </c>
      <c r="V87" s="239">
        <v>48</v>
      </c>
      <c r="W87" s="240">
        <f t="shared" si="61"/>
        <v>48</v>
      </c>
      <c r="X87" s="241">
        <f>+J28+T28+AD28+J50+T50+AD50</f>
        <v>0</v>
      </c>
      <c r="Z87" s="246"/>
      <c r="AA87" s="246"/>
      <c r="AB87" s="484"/>
      <c r="AC87" s="484"/>
      <c r="AD87" s="484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>
      <c r="AE88" s="255"/>
      <c r="AF88" s="255"/>
      <c r="AJ88" s="255"/>
      <c r="AK88" s="255"/>
    </row>
    <row r="89" spans="1:46" ht="26.25" thickBot="1">
      <c r="B89" s="256" t="s">
        <v>118</v>
      </c>
      <c r="C89" s="486"/>
      <c r="D89" s="486"/>
      <c r="G89" s="486"/>
      <c r="H89" s="1124">
        <v>43191</v>
      </c>
      <c r="I89" s="1124"/>
      <c r="J89" s="1124"/>
      <c r="K89" s="1124"/>
      <c r="L89" s="1124"/>
      <c r="M89" s="1124"/>
      <c r="N89" s="1124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D89" s="257"/>
      <c r="AE89" s="257"/>
      <c r="AF89" s="257"/>
      <c r="AG89" s="104"/>
      <c r="AH89" s="104"/>
      <c r="AI89" s="104"/>
      <c r="AJ89" s="255"/>
      <c r="AK89" s="255"/>
    </row>
    <row r="90" spans="1:46" ht="16.5" thickBot="1">
      <c r="B90" s="395">
        <v>1100</v>
      </c>
      <c r="C90" s="156" t="s">
        <v>66</v>
      </c>
      <c r="D90" s="486"/>
      <c r="G90" s="486"/>
      <c r="H90" s="486"/>
      <c r="J90" s="486"/>
      <c r="M90" s="486"/>
      <c r="N90" s="486"/>
      <c r="O90" s="486"/>
      <c r="P90" s="486"/>
      <c r="Q90" s="486"/>
      <c r="R90" s="486"/>
      <c r="S90" s="486"/>
      <c r="T90" s="486"/>
      <c r="U90" s="486"/>
      <c r="V90" s="486"/>
      <c r="W90" s="486"/>
      <c r="X90" s="486"/>
      <c r="Y90" s="486"/>
      <c r="Z90" s="486"/>
      <c r="AD90" s="386"/>
      <c r="AE90" s="386"/>
      <c r="AF90" s="386"/>
      <c r="AG90" s="386"/>
      <c r="AH90" s="386"/>
      <c r="AI90" s="386"/>
      <c r="AJ90" s="386"/>
      <c r="AK90" s="386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 ht="15.75">
      <c r="B91" s="365">
        <f>+B90/30*7</f>
        <v>256.66666666666663</v>
      </c>
      <c r="C91" s="156" t="s">
        <v>67</v>
      </c>
      <c r="D91" s="258"/>
      <c r="G91" s="486"/>
      <c r="H91" s="486"/>
      <c r="J91" s="486"/>
      <c r="M91" s="486"/>
      <c r="N91" s="486"/>
      <c r="O91" s="1093" t="s">
        <v>68</v>
      </c>
      <c r="P91" s="1093"/>
      <c r="Q91" s="1093"/>
      <c r="R91" s="1093"/>
      <c r="S91" s="1093"/>
      <c r="T91" s="1093"/>
      <c r="U91" s="1093"/>
      <c r="V91" s="1093"/>
      <c r="W91" s="1093"/>
      <c r="X91" s="1093"/>
      <c r="Y91" s="1093"/>
      <c r="Z91" s="1093"/>
      <c r="AD91" s="386"/>
      <c r="AE91" s="391"/>
      <c r="AF91" s="391"/>
      <c r="AG91" s="386"/>
      <c r="AH91" s="386"/>
      <c r="AI91" s="386"/>
      <c r="AJ91" s="391"/>
      <c r="AK91" s="391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65">
        <f>+B91-18</f>
        <v>238.66666666666663</v>
      </c>
      <c r="C92" s="156" t="s">
        <v>69</v>
      </c>
      <c r="D92" s="486"/>
      <c r="G92" s="486"/>
      <c r="H92" s="486"/>
      <c r="J92" s="486"/>
      <c r="M92" s="486"/>
      <c r="N92" s="486"/>
      <c r="O92" s="1093">
        <f>+B90</f>
        <v>1100</v>
      </c>
      <c r="P92" s="1093"/>
      <c r="Q92" s="1093" t="s">
        <v>70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6" t="s">
        <v>71</v>
      </c>
      <c r="AD92" s="386"/>
      <c r="AE92" s="391"/>
      <c r="AF92" s="391"/>
      <c r="AG92" s="386"/>
      <c r="AH92" s="386"/>
      <c r="AI92" s="386"/>
      <c r="AJ92" s="391"/>
      <c r="AK92" s="391"/>
      <c r="AL92" s="386"/>
      <c r="AM92" s="386"/>
      <c r="AN92" s="386"/>
      <c r="AO92" s="386"/>
      <c r="AP92" s="173"/>
      <c r="AQ92" s="173"/>
      <c r="AR92" s="173"/>
      <c r="AS92" s="173"/>
      <c r="AT92" s="173"/>
    </row>
    <row r="93" spans="1:46">
      <c r="B93" s="396">
        <f>+B92/7+0</f>
        <v>34.095238095238088</v>
      </c>
      <c r="C93" s="259" t="s">
        <v>72</v>
      </c>
      <c r="D93" s="260"/>
      <c r="G93" s="486"/>
      <c r="H93" s="486"/>
      <c r="J93" s="486"/>
      <c r="M93" s="486"/>
      <c r="N93" s="486"/>
      <c r="O93" s="1093">
        <f>+O92/30*7</f>
        <v>256.66666666666663</v>
      </c>
      <c r="P93" s="1093"/>
      <c r="Q93" s="1093" t="s">
        <v>73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A93" s="1092">
        <f>+O93*0.87</f>
        <v>223.29999999999995</v>
      </c>
      <c r="AB93" s="1092"/>
      <c r="AD93" s="386"/>
      <c r="AE93" s="261"/>
      <c r="AF93" s="261"/>
      <c r="AG93" s="386"/>
      <c r="AH93" s="386"/>
      <c r="AI93" s="386"/>
      <c r="AJ93" s="261"/>
      <c r="AK93" s="261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C94" s="486"/>
      <c r="D94" s="486"/>
      <c r="G94" s="486"/>
      <c r="H94" s="486"/>
      <c r="J94" s="486"/>
      <c r="M94" s="486"/>
      <c r="N94" s="486"/>
      <c r="O94" s="1093">
        <f>+O93/7</f>
        <v>36.666666666666664</v>
      </c>
      <c r="P94" s="1093"/>
      <c r="Q94" s="1093" t="s">
        <v>74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99"/>
      <c r="AM94" s="399"/>
      <c r="AN94" s="397"/>
      <c r="AO94" s="397"/>
      <c r="AP94" s="398"/>
      <c r="AQ94" s="398"/>
      <c r="AR94" s="173"/>
      <c r="AS94" s="173"/>
      <c r="AT94" s="173"/>
    </row>
    <row r="95" spans="1:46" ht="15.75">
      <c r="B95" s="499">
        <f>+B93</f>
        <v>34.095238095238088</v>
      </c>
      <c r="C95" s="262" t="s">
        <v>75</v>
      </c>
      <c r="D95" s="263"/>
      <c r="E95" s="263"/>
      <c r="F95" s="263"/>
      <c r="G95" s="486"/>
      <c r="H95" s="486"/>
      <c r="J95" s="486"/>
      <c r="M95" s="486"/>
      <c r="N95" s="486"/>
      <c r="O95" s="1094">
        <f>(O93-18)/7</f>
        <v>34.095238095238088</v>
      </c>
      <c r="P95" s="1094"/>
      <c r="Q95" s="1094" t="s">
        <v>76</v>
      </c>
      <c r="R95" s="1094"/>
      <c r="S95" s="1094"/>
      <c r="T95" s="1094"/>
      <c r="U95" s="1094"/>
      <c r="V95" s="1094"/>
      <c r="W95" s="1094"/>
      <c r="X95" s="1094"/>
      <c r="Y95" s="1094"/>
      <c r="Z95" s="1094"/>
      <c r="AD95" s="386"/>
      <c r="AE95" s="264"/>
      <c r="AF95" s="264"/>
      <c r="AG95" s="265"/>
      <c r="AH95" s="265"/>
      <c r="AI95" s="265"/>
      <c r="AJ95" s="264"/>
      <c r="AK95" s="264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65">
        <v>3</v>
      </c>
      <c r="C96" s="156" t="s">
        <v>77</v>
      </c>
      <c r="D96" s="486"/>
      <c r="G96" s="486"/>
      <c r="H96" s="486"/>
      <c r="J96" s="486"/>
      <c r="M96" s="486"/>
      <c r="N96" s="486"/>
      <c r="O96" s="1093">
        <v>3</v>
      </c>
      <c r="P96" s="1093"/>
      <c r="Q96" s="1093" t="s">
        <v>78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D96" s="386"/>
      <c r="AE96" s="386"/>
      <c r="AF96" s="264"/>
      <c r="AG96" s="265"/>
      <c r="AH96" s="265"/>
      <c r="AI96" s="265"/>
      <c r="AJ96" s="264"/>
      <c r="AK96" s="386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B97" s="396">
        <f>+B96+B95</f>
        <v>37.095238095238088</v>
      </c>
      <c r="C97" s="259" t="s">
        <v>79</v>
      </c>
      <c r="D97" s="266"/>
      <c r="E97" s="267"/>
      <c r="F97" s="268"/>
      <c r="G97" s="266"/>
      <c r="H97" s="266"/>
      <c r="I97" s="268"/>
      <c r="J97" s="266"/>
      <c r="K97" s="269"/>
      <c r="L97" s="269"/>
      <c r="M97" s="260"/>
      <c r="N97" s="486"/>
      <c r="O97" s="1093">
        <f>+O96+O95</f>
        <v>37.095238095238088</v>
      </c>
      <c r="P97" s="1093"/>
      <c r="Q97" s="486"/>
      <c r="R97" s="486"/>
      <c r="S97" s="486"/>
      <c r="T97" s="486"/>
      <c r="U97" s="486"/>
      <c r="V97" s="486"/>
      <c r="W97" s="486"/>
      <c r="X97" s="486"/>
      <c r="Y97" s="486"/>
      <c r="Z97" s="486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9"/>
      <c r="AO97" s="399"/>
      <c r="AP97" s="401"/>
      <c r="AQ97" s="173"/>
      <c r="AR97" s="173"/>
      <c r="AS97" s="173"/>
      <c r="AT97" s="173"/>
    </row>
    <row r="98" spans="2:46">
      <c r="B98" s="365"/>
      <c r="C98" s="486"/>
      <c r="D98" s="486"/>
      <c r="G98" s="486"/>
      <c r="H98" s="486"/>
      <c r="J98" s="486"/>
      <c r="M98" s="486"/>
      <c r="N98" s="486"/>
      <c r="O98" s="486"/>
      <c r="P98" s="486"/>
      <c r="Q98" s="486"/>
      <c r="R98" s="486"/>
      <c r="S98" s="486"/>
      <c r="T98" s="486"/>
      <c r="U98" s="486"/>
      <c r="V98" s="486"/>
      <c r="W98" s="486"/>
      <c r="X98" s="486"/>
      <c r="Y98" s="486"/>
      <c r="Z98" s="486"/>
      <c r="AD98" s="386"/>
      <c r="AE98" s="402"/>
      <c r="AF98" s="402"/>
      <c r="AG98" s="402"/>
      <c r="AH98" s="386"/>
      <c r="AI98" s="386"/>
      <c r="AJ98" s="402"/>
      <c r="AK98" s="402"/>
      <c r="AL98" s="397"/>
      <c r="AM98" s="386"/>
      <c r="AN98" s="386"/>
      <c r="AO98" s="386"/>
      <c r="AP98" s="173"/>
      <c r="AQ98" s="173"/>
      <c r="AR98" s="173"/>
      <c r="AS98" s="173"/>
      <c r="AT98" s="173"/>
    </row>
    <row r="99" spans="2:46">
      <c r="B99" s="365">
        <f>+B97*6</f>
        <v>222.57142857142853</v>
      </c>
      <c r="C99" s="156" t="s">
        <v>80</v>
      </c>
      <c r="D99" s="486"/>
      <c r="G99" s="486"/>
      <c r="H99" s="486"/>
      <c r="J99" s="486"/>
      <c r="M99" s="486"/>
      <c r="N99" s="486"/>
      <c r="O99" s="1093" t="s">
        <v>81</v>
      </c>
      <c r="P99" s="1093"/>
      <c r="Q99" s="1093"/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386"/>
      <c r="AG99" s="386"/>
      <c r="AH99" s="386"/>
      <c r="AI99" s="397"/>
      <c r="AJ99" s="397"/>
      <c r="AK99" s="399"/>
      <c r="AL99" s="485"/>
      <c r="AM99" s="391"/>
      <c r="AN99" s="485"/>
      <c r="AO99" s="386"/>
      <c r="AP99" s="173"/>
      <c r="AQ99" s="173"/>
      <c r="AR99" s="173"/>
      <c r="AS99" s="173"/>
      <c r="AT99" s="173"/>
    </row>
    <row r="100" spans="2:46">
      <c r="B100" s="403">
        <f>+B95</f>
        <v>34.095238095238088</v>
      </c>
      <c r="C100" s="270" t="s">
        <v>82</v>
      </c>
      <c r="D100" s="271"/>
      <c r="E100" s="272"/>
      <c r="F100" s="273"/>
      <c r="G100" s="271"/>
      <c r="H100" s="271"/>
      <c r="I100" s="273"/>
      <c r="J100" s="271"/>
      <c r="K100" s="274"/>
      <c r="L100" s="275"/>
      <c r="M100" s="486"/>
      <c r="N100" s="486"/>
      <c r="O100" s="1093">
        <f>+O92*1.1</f>
        <v>1210</v>
      </c>
      <c r="P100" s="1093"/>
      <c r="Q100" s="1093" t="s">
        <v>70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6" t="s">
        <v>83</v>
      </c>
      <c r="AG100" s="173"/>
      <c r="AH100" s="173"/>
      <c r="AI100" s="398"/>
      <c r="AJ100" s="398"/>
      <c r="AK100" s="398"/>
      <c r="AL100" s="173"/>
      <c r="AM100" s="173"/>
      <c r="AN100" s="173"/>
      <c r="AO100" s="173"/>
    </row>
    <row r="101" spans="2:46">
      <c r="B101" s="396">
        <f>+B100+B99</f>
        <v>256.66666666666663</v>
      </c>
      <c r="C101" s="259" t="s">
        <v>84</v>
      </c>
      <c r="D101" s="266"/>
      <c r="E101" s="267"/>
      <c r="F101" s="268"/>
      <c r="G101" s="266"/>
      <c r="H101" s="266"/>
      <c r="I101" s="268"/>
      <c r="J101" s="266"/>
      <c r="K101" s="276"/>
      <c r="L101" s="275"/>
      <c r="M101" s="486"/>
      <c r="N101" s="486"/>
      <c r="O101" s="1093">
        <f>+O100/30*7</f>
        <v>282.33333333333337</v>
      </c>
      <c r="P101" s="1093"/>
      <c r="Q101" s="1093" t="s">
        <v>73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A101" s="1092">
        <f>+O101*0.87</f>
        <v>245.63000000000002</v>
      </c>
      <c r="AB101" s="1092"/>
      <c r="AG101" s="173"/>
      <c r="AH101" s="173"/>
      <c r="AI101" s="398"/>
      <c r="AJ101" s="398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M102" s="486"/>
      <c r="N102" s="486"/>
      <c r="O102" s="1093">
        <f>+O101/7</f>
        <v>40.333333333333336</v>
      </c>
      <c r="P102" s="1093"/>
      <c r="Q102" s="1093" t="s">
        <v>74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281"/>
      <c r="AJ102" s="282"/>
      <c r="AK102" s="277"/>
      <c r="AL102" s="173"/>
      <c r="AM102" s="173"/>
      <c r="AN102" s="173"/>
      <c r="AO102" s="173"/>
    </row>
    <row r="103" spans="2:46" ht="15.75">
      <c r="B103" s="500">
        <f>+B101/7</f>
        <v>36.666666666666664</v>
      </c>
      <c r="C103" s="283" t="s">
        <v>85</v>
      </c>
      <c r="D103" s="284"/>
      <c r="E103" s="285"/>
      <c r="F103" s="286"/>
      <c r="G103" s="287"/>
      <c r="H103" s="287"/>
      <c r="I103" s="280"/>
      <c r="J103" s="226"/>
      <c r="K103" s="275"/>
      <c r="L103" s="275"/>
      <c r="M103" s="486"/>
      <c r="N103" s="486"/>
      <c r="O103" s="1094">
        <f>(O101-18)/7</f>
        <v>37.761904761904766</v>
      </c>
      <c r="P103" s="1094"/>
      <c r="Q103" s="1094" t="s">
        <v>76</v>
      </c>
      <c r="R103" s="1094"/>
      <c r="S103" s="1094"/>
      <c r="T103" s="1094"/>
      <c r="U103" s="1094"/>
      <c r="V103" s="1094"/>
      <c r="W103" s="1094"/>
      <c r="X103" s="1094"/>
      <c r="Y103" s="1094"/>
      <c r="Z103" s="1094"/>
      <c r="AG103" s="173"/>
      <c r="AH103" s="173"/>
      <c r="AI103" s="173"/>
      <c r="AJ103" s="173"/>
      <c r="AK103" s="277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M104" s="486"/>
      <c r="N104" s="486"/>
      <c r="O104" s="1093">
        <v>3</v>
      </c>
      <c r="P104" s="1093"/>
      <c r="Q104" s="1093" t="s">
        <v>78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M105" s="486"/>
      <c r="N105" s="486"/>
      <c r="O105" s="1093">
        <f>+O104+O103</f>
        <v>40.761904761904766</v>
      </c>
      <c r="P105" s="1093"/>
      <c r="Q105" s="486"/>
      <c r="R105" s="486"/>
      <c r="S105" s="486"/>
      <c r="T105" s="486"/>
      <c r="U105" s="486"/>
      <c r="V105" s="486"/>
      <c r="W105" s="486"/>
      <c r="X105" s="486"/>
      <c r="Y105" s="486"/>
      <c r="Z105" s="486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>
      <c r="C106" s="495"/>
      <c r="D106" s="495"/>
      <c r="G106" s="495"/>
      <c r="H106" s="495"/>
      <c r="J106" s="495"/>
      <c r="M106" s="495"/>
      <c r="N106" s="495"/>
      <c r="O106" s="495"/>
      <c r="P106" s="495"/>
      <c r="Q106" s="495"/>
      <c r="R106" s="495"/>
      <c r="S106" s="495"/>
      <c r="T106" s="495"/>
      <c r="U106" s="495"/>
      <c r="V106" s="495"/>
      <c r="W106" s="495"/>
      <c r="X106" s="495"/>
      <c r="Y106" s="495"/>
      <c r="Z106" s="495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26.25" thickBot="1">
      <c r="B107" s="256" t="s">
        <v>117</v>
      </c>
      <c r="C107" s="495"/>
      <c r="D107" s="495"/>
      <c r="G107" s="495"/>
      <c r="H107" s="1124">
        <v>43167</v>
      </c>
      <c r="I107" s="1124"/>
      <c r="J107" s="1124"/>
      <c r="K107" s="1124"/>
      <c r="L107" s="1124"/>
      <c r="M107" s="1124"/>
      <c r="N107" s="1124"/>
      <c r="O107" s="496" t="s">
        <v>120</v>
      </c>
      <c r="P107" s="497"/>
      <c r="Q107" s="498"/>
      <c r="R107" s="495"/>
      <c r="S107" s="495"/>
      <c r="T107" s="495"/>
      <c r="U107" s="495"/>
      <c r="V107" s="495"/>
      <c r="W107" s="495"/>
      <c r="X107" s="495"/>
      <c r="Y107" s="495"/>
      <c r="Z107" s="495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 ht="16.5" thickBot="1">
      <c r="B108" s="395">
        <v>850</v>
      </c>
      <c r="C108" s="156" t="s">
        <v>66</v>
      </c>
      <c r="D108" s="495"/>
      <c r="G108" s="495"/>
      <c r="H108" s="495"/>
      <c r="J108" s="495"/>
      <c r="M108" s="495"/>
      <c r="N108" s="495"/>
      <c r="O108" s="495"/>
      <c r="P108" s="495"/>
      <c r="Q108" s="495"/>
      <c r="R108" s="495"/>
      <c r="S108" s="495"/>
      <c r="T108" s="495"/>
      <c r="U108" s="495"/>
      <c r="V108" s="495"/>
      <c r="W108" s="495"/>
      <c r="X108" s="495"/>
      <c r="Y108" s="495"/>
      <c r="Z108" s="495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 ht="15.75">
      <c r="B109" s="501">
        <f>+B108/30*7</f>
        <v>198.33333333333331</v>
      </c>
      <c r="C109" s="156" t="s">
        <v>67</v>
      </c>
      <c r="D109" s="258"/>
      <c r="G109" s="495"/>
      <c r="H109" s="495"/>
      <c r="J109" s="495"/>
      <c r="M109" s="495"/>
      <c r="N109" s="495"/>
      <c r="O109" s="1093" t="s">
        <v>68</v>
      </c>
      <c r="P109" s="1093"/>
      <c r="Q109" s="1093"/>
      <c r="R109" s="1093"/>
      <c r="S109" s="1093"/>
      <c r="T109" s="1093"/>
      <c r="U109" s="1093"/>
      <c r="V109" s="1093"/>
      <c r="W109" s="1093"/>
      <c r="X109" s="1093"/>
      <c r="Y109" s="1093"/>
      <c r="Z109" s="1093"/>
      <c r="AD109" s="386"/>
      <c r="AE109" s="391"/>
      <c r="AF109" s="391"/>
      <c r="AG109" s="386"/>
      <c r="AH109" s="386"/>
      <c r="AI109" s="386"/>
      <c r="AJ109" s="391"/>
      <c r="AK109" s="391"/>
      <c r="AL109" s="386"/>
      <c r="AM109" s="386"/>
      <c r="AN109" s="386"/>
      <c r="AO109" s="386"/>
      <c r="AP109" s="173"/>
      <c r="AQ109" s="173"/>
      <c r="AR109" s="173"/>
      <c r="AS109" s="173"/>
      <c r="AT109" s="173"/>
    </row>
    <row r="110" spans="2:46">
      <c r="B110" s="501">
        <f>+B109-18</f>
        <v>180.33333333333331</v>
      </c>
      <c r="C110" s="156" t="s">
        <v>69</v>
      </c>
      <c r="D110" s="495"/>
      <c r="G110" s="495"/>
      <c r="H110" s="495"/>
      <c r="J110" s="495"/>
      <c r="M110" s="495"/>
      <c r="N110" s="495"/>
      <c r="O110" s="1093">
        <f>+B108</f>
        <v>850</v>
      </c>
      <c r="P110" s="1093"/>
      <c r="Q110" s="1093" t="s">
        <v>70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6" t="s">
        <v>71</v>
      </c>
      <c r="AD110" s="386"/>
      <c r="AE110" s="991">
        <v>198.32</v>
      </c>
      <c r="AF110" s="991"/>
      <c r="AG110" s="991"/>
      <c r="AH110" s="386"/>
      <c r="AI110" s="991"/>
      <c r="AJ110" s="991"/>
      <c r="AK110" s="991"/>
      <c r="AL110" s="1129">
        <f>+AL111+AL112</f>
        <v>192.18149689334777</v>
      </c>
      <c r="AM110" s="1129"/>
      <c r="AN110" s="1129"/>
      <c r="AO110" s="1129">
        <f>+AL110-18</f>
        <v>174.18149689334777</v>
      </c>
      <c r="AP110" s="1129"/>
      <c r="AQ110" s="1129"/>
      <c r="AR110" s="173"/>
      <c r="AS110" s="173"/>
      <c r="AT110" s="173"/>
    </row>
    <row r="111" spans="2:46">
      <c r="B111" s="502">
        <f>+B110/7</f>
        <v>25.761904761904759</v>
      </c>
      <c r="C111" s="259" t="s">
        <v>72</v>
      </c>
      <c r="D111" s="260"/>
      <c r="G111" s="495"/>
      <c r="H111" s="495"/>
      <c r="J111" s="495"/>
      <c r="M111" s="495"/>
      <c r="N111" s="495"/>
      <c r="O111" s="1093">
        <f>+O110/30*7</f>
        <v>198.33333333333331</v>
      </c>
      <c r="P111" s="1093"/>
      <c r="Q111" s="1093" t="s">
        <v>73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A111" s="1092">
        <f>+O111*0.87</f>
        <v>172.54999999999998</v>
      </c>
      <c r="AB111" s="1092"/>
      <c r="AD111" s="386"/>
      <c r="AE111" s="991">
        <v>22.89</v>
      </c>
      <c r="AF111" s="991"/>
      <c r="AG111" s="991"/>
      <c r="AH111" s="386"/>
      <c r="AI111" s="1130">
        <f>+AE111/AE110</f>
        <v>0.11541952400161357</v>
      </c>
      <c r="AJ111" s="1130"/>
      <c r="AK111" s="1130"/>
      <c r="AL111" s="1129">
        <f>+AI111*AL112/AI112</f>
        <v>22.181496893347781</v>
      </c>
      <c r="AM111" s="1129"/>
      <c r="AN111" s="1129"/>
      <c r="AO111" s="1131">
        <f>+AO110/7</f>
        <v>24.883070984763968</v>
      </c>
      <c r="AP111" s="1132"/>
      <c r="AQ111" s="1133"/>
      <c r="AR111" s="173"/>
      <c r="AS111" s="173"/>
      <c r="AT111" s="173"/>
    </row>
    <row r="112" spans="2:46">
      <c r="C112" s="495"/>
      <c r="D112" s="495"/>
      <c r="G112" s="495"/>
      <c r="H112" s="495"/>
      <c r="J112" s="495"/>
      <c r="M112" s="495"/>
      <c r="N112" s="495"/>
      <c r="O112" s="1093">
        <f>+O111/7</f>
        <v>28.333333333333332</v>
      </c>
      <c r="P112" s="1093"/>
      <c r="Q112" s="1093" t="s">
        <v>74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175.43</v>
      </c>
      <c r="AF112" s="991"/>
      <c r="AG112" s="991"/>
      <c r="AH112" s="386"/>
      <c r="AI112" s="1128">
        <f>1-AI111</f>
        <v>0.88458047599838641</v>
      </c>
      <c r="AJ112" s="1127"/>
      <c r="AK112" s="1127"/>
      <c r="AL112" s="1129">
        <v>170</v>
      </c>
      <c r="AM112" s="1129"/>
      <c r="AN112" s="1129"/>
      <c r="AO112" s="991"/>
      <c r="AP112" s="991"/>
      <c r="AQ112" s="991"/>
      <c r="AR112" s="173"/>
      <c r="AS112" s="173"/>
      <c r="AT112" s="173"/>
    </row>
    <row r="113" spans="2:46" ht="15.75">
      <c r="B113" s="499">
        <f>+B111</f>
        <v>25.761904761904759</v>
      </c>
      <c r="C113" s="262" t="s">
        <v>75</v>
      </c>
      <c r="D113" s="263"/>
      <c r="E113" s="263"/>
      <c r="F113" s="263"/>
      <c r="G113" s="495"/>
      <c r="H113" s="495"/>
      <c r="J113" s="495"/>
      <c r="M113" s="495"/>
      <c r="N113" s="495"/>
      <c r="O113" s="1094">
        <f>(O111-18)/7</f>
        <v>25.761904761904759</v>
      </c>
      <c r="P113" s="1094"/>
      <c r="Q113" s="1094" t="s">
        <v>76</v>
      </c>
      <c r="R113" s="1094"/>
      <c r="S113" s="1094"/>
      <c r="T113" s="1094"/>
      <c r="U113" s="1094"/>
      <c r="V113" s="1094"/>
      <c r="W113" s="1094"/>
      <c r="X113" s="1094"/>
      <c r="Y113" s="1094"/>
      <c r="Z113" s="1094"/>
      <c r="AD113" s="386"/>
      <c r="AE113" s="991"/>
      <c r="AF113" s="991"/>
      <c r="AG113" s="991"/>
      <c r="AH113" s="386"/>
      <c r="AI113" s="1127"/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65">
        <v>3</v>
      </c>
      <c r="C114" s="156" t="s">
        <v>77</v>
      </c>
      <c r="D114" s="495"/>
      <c r="G114" s="495"/>
      <c r="H114" s="495"/>
      <c r="J114" s="495"/>
      <c r="M114" s="495"/>
      <c r="N114" s="495"/>
      <c r="O114" s="1093">
        <v>3</v>
      </c>
      <c r="P114" s="1093"/>
      <c r="Q114" s="1093" t="s">
        <v>78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D114" s="386"/>
      <c r="AE114" s="991">
        <v>198.39</v>
      </c>
      <c r="AF114" s="991"/>
      <c r="AG114" s="991"/>
      <c r="AH114" s="386"/>
      <c r="AI114" s="1127">
        <v>198.32</v>
      </c>
      <c r="AJ114" s="1127"/>
      <c r="AK114" s="1127"/>
      <c r="AL114" s="386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B115" s="396">
        <f>+B114+B113</f>
        <v>28.761904761904759</v>
      </c>
      <c r="C115" s="259" t="s">
        <v>79</v>
      </c>
      <c r="D115" s="266"/>
      <c r="E115" s="267"/>
      <c r="F115" s="268"/>
      <c r="G115" s="266"/>
      <c r="H115" s="266"/>
      <c r="I115" s="268"/>
      <c r="J115" s="266"/>
      <c r="K115" s="269"/>
      <c r="L115" s="269"/>
      <c r="M115" s="260"/>
      <c r="N115" s="495"/>
      <c r="O115" s="1093">
        <f>+O114+O113</f>
        <v>28.761904761904759</v>
      </c>
      <c r="P115" s="1093"/>
      <c r="Q115" s="495"/>
      <c r="R115" s="495"/>
      <c r="S115" s="495"/>
      <c r="T115" s="495"/>
      <c r="U115" s="495"/>
      <c r="V115" s="495"/>
      <c r="W115" s="495"/>
      <c r="X115" s="495"/>
      <c r="Y115" s="495"/>
      <c r="Z115" s="495"/>
      <c r="AD115" s="386"/>
      <c r="AE115" s="1125">
        <f>+AE114/7*30</f>
        <v>850.24285714285702</v>
      </c>
      <c r="AF115" s="1125"/>
      <c r="AG115" s="1125"/>
      <c r="AH115" s="386"/>
      <c r="AI115" s="1126">
        <f>+AI114/7*30</f>
        <v>849.94285714285718</v>
      </c>
      <c r="AJ115" s="1126"/>
      <c r="AK115" s="1126"/>
      <c r="AL115" s="386"/>
      <c r="AM115" s="399"/>
      <c r="AN115" s="399"/>
      <c r="AO115" s="399"/>
      <c r="AP115" s="401"/>
      <c r="AQ115" s="173"/>
      <c r="AR115" s="173"/>
      <c r="AS115" s="173"/>
      <c r="AT115" s="173"/>
    </row>
    <row r="116" spans="2:46">
      <c r="B116" s="365"/>
      <c r="C116" s="495"/>
      <c r="D116" s="495"/>
      <c r="G116" s="495"/>
      <c r="H116" s="495"/>
      <c r="J116" s="495"/>
      <c r="M116" s="495"/>
      <c r="N116" s="495"/>
      <c r="O116" s="495"/>
      <c r="P116" s="495"/>
      <c r="Q116" s="495"/>
      <c r="R116" s="495"/>
      <c r="S116" s="495"/>
      <c r="T116" s="495"/>
      <c r="U116" s="495"/>
      <c r="V116" s="495"/>
      <c r="W116" s="495"/>
      <c r="X116" s="495"/>
      <c r="Y116" s="495"/>
      <c r="Z116" s="495"/>
      <c r="AD116" s="386"/>
      <c r="AE116" s="386"/>
      <c r="AF116" s="386"/>
      <c r="AG116" s="386"/>
      <c r="AH116" s="386"/>
      <c r="AI116" s="386"/>
      <c r="AJ116" s="386"/>
      <c r="AK116" s="386"/>
      <c r="AL116" s="386"/>
      <c r="AM116" s="386"/>
      <c r="AN116" s="386"/>
      <c r="AO116" s="386"/>
      <c r="AP116" s="173"/>
      <c r="AQ116" s="173"/>
      <c r="AR116" s="173"/>
      <c r="AS116" s="173"/>
      <c r="AT116" s="173"/>
    </row>
    <row r="117" spans="2:46">
      <c r="B117" s="365">
        <f>+B115*6</f>
        <v>172.57142857142856</v>
      </c>
      <c r="C117" s="156" t="s">
        <v>80</v>
      </c>
      <c r="D117" s="495"/>
      <c r="G117" s="495"/>
      <c r="H117" s="495"/>
      <c r="J117" s="495"/>
      <c r="M117" s="495"/>
      <c r="N117" s="495"/>
      <c r="O117" s="1093" t="s">
        <v>81</v>
      </c>
      <c r="P117" s="1093"/>
      <c r="Q117" s="1093"/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386"/>
      <c r="AG117" s="386"/>
      <c r="AH117" s="386"/>
      <c r="AI117" s="397"/>
      <c r="AJ117" s="397"/>
      <c r="AK117" s="399"/>
      <c r="AL117" s="493"/>
      <c r="AM117" s="391"/>
      <c r="AN117" s="493"/>
      <c r="AO117" s="386"/>
      <c r="AP117" s="173"/>
      <c r="AQ117" s="173"/>
      <c r="AR117" s="173"/>
      <c r="AS117" s="173"/>
      <c r="AT117" s="173"/>
    </row>
    <row r="118" spans="2:46">
      <c r="B118" s="403">
        <f>+B113</f>
        <v>25.761904761904759</v>
      </c>
      <c r="C118" s="270" t="s">
        <v>82</v>
      </c>
      <c r="D118" s="271"/>
      <c r="E118" s="272"/>
      <c r="F118" s="273"/>
      <c r="G118" s="271"/>
      <c r="H118" s="271"/>
      <c r="I118" s="273"/>
      <c r="J118" s="271"/>
      <c r="K118" s="274"/>
      <c r="L118" s="275"/>
      <c r="M118" s="495"/>
      <c r="N118" s="495"/>
      <c r="O118" s="1093">
        <f>+O110*1.1</f>
        <v>935.00000000000011</v>
      </c>
      <c r="P118" s="1093"/>
      <c r="Q118" s="1093" t="s">
        <v>70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6" t="s">
        <v>83</v>
      </c>
      <c r="AG118" s="173"/>
      <c r="AH118" s="173"/>
      <c r="AI118" s="398"/>
      <c r="AJ118" s="398"/>
      <c r="AK118" s="398"/>
      <c r="AL118" s="173"/>
      <c r="AM118" s="173"/>
      <c r="AN118" s="173"/>
      <c r="AO118" s="173"/>
    </row>
    <row r="119" spans="2:46">
      <c r="B119" s="396">
        <f>+B118+B117</f>
        <v>198.33333333333331</v>
      </c>
      <c r="C119" s="259" t="s">
        <v>84</v>
      </c>
      <c r="D119" s="266"/>
      <c r="E119" s="267"/>
      <c r="F119" s="268"/>
      <c r="G119" s="266"/>
      <c r="H119" s="266"/>
      <c r="I119" s="268"/>
      <c r="J119" s="266"/>
      <c r="K119" s="276"/>
      <c r="L119" s="275"/>
      <c r="M119" s="495"/>
      <c r="N119" s="495"/>
      <c r="O119" s="1093">
        <f>+O118/30*7</f>
        <v>218.16666666666669</v>
      </c>
      <c r="P119" s="1093"/>
      <c r="Q119" s="1093" t="s">
        <v>73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A119" s="1092">
        <f>+O119*0.87</f>
        <v>189.80500000000001</v>
      </c>
      <c r="AB119" s="1092"/>
      <c r="AG119" s="173"/>
      <c r="AH119" s="173"/>
      <c r="AI119" s="398"/>
      <c r="AJ119" s="398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M120" s="495"/>
      <c r="N120" s="495"/>
      <c r="O120" s="1093">
        <f>+O119/7</f>
        <v>31.166666666666668</v>
      </c>
      <c r="P120" s="1093"/>
      <c r="Q120" s="1093" t="s">
        <v>74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281"/>
      <c r="AJ120" s="282"/>
      <c r="AK120" s="277"/>
      <c r="AL120" s="173"/>
      <c r="AM120" s="173"/>
      <c r="AN120" s="173"/>
      <c r="AO120" s="173"/>
    </row>
    <row r="121" spans="2:46" ht="15.75">
      <c r="B121" s="405">
        <f>+B119/7</f>
        <v>28.333333333333332</v>
      </c>
      <c r="C121" s="283" t="s">
        <v>85</v>
      </c>
      <c r="D121" s="284"/>
      <c r="E121" s="285"/>
      <c r="F121" s="280"/>
      <c r="G121" s="226"/>
      <c r="H121" s="226"/>
      <c r="I121" s="280"/>
      <c r="J121" s="226"/>
      <c r="K121" s="275"/>
      <c r="L121" s="275"/>
      <c r="M121" s="495"/>
      <c r="N121" s="495"/>
      <c r="O121" s="1094">
        <f>(O119-18)/7</f>
        <v>28.595238095238098</v>
      </c>
      <c r="P121" s="1094"/>
      <c r="Q121" s="1094" t="s">
        <v>76</v>
      </c>
      <c r="R121" s="1094"/>
      <c r="S121" s="1094"/>
      <c r="T121" s="1094"/>
      <c r="U121" s="1094"/>
      <c r="V121" s="1094"/>
      <c r="W121" s="1094"/>
      <c r="X121" s="1094"/>
      <c r="Y121" s="1094"/>
      <c r="Z121" s="1094"/>
      <c r="AG121" s="173"/>
      <c r="AH121" s="173"/>
      <c r="AI121" s="173"/>
      <c r="AJ121" s="173"/>
      <c r="AK121" s="277"/>
      <c r="AL121" s="173"/>
      <c r="AM121" s="173"/>
      <c r="AN121" s="173"/>
      <c r="AO121" s="173"/>
    </row>
    <row r="122" spans="2:46">
      <c r="B122" s="404"/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M122" s="495"/>
      <c r="N122" s="495"/>
      <c r="O122" s="1093">
        <v>3</v>
      </c>
      <c r="P122" s="1093"/>
      <c r="Q122" s="1093" t="s">
        <v>78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404">
        <v>28.333333333333332</v>
      </c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M123" s="495"/>
      <c r="N123" s="495"/>
      <c r="O123" s="1093">
        <f>+O122+O121</f>
        <v>31.595238095238098</v>
      </c>
      <c r="P123" s="1093"/>
      <c r="Q123" s="495"/>
      <c r="R123" s="495"/>
      <c r="S123" s="495"/>
      <c r="T123" s="495"/>
      <c r="U123" s="495"/>
      <c r="V123" s="495"/>
      <c r="W123" s="495"/>
      <c r="X123" s="495"/>
      <c r="Y123" s="495"/>
      <c r="Z123" s="49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C124" s="495"/>
      <c r="D124" s="495"/>
      <c r="G124" s="495"/>
      <c r="H124" s="495"/>
      <c r="J124" s="495"/>
      <c r="M124" s="495"/>
      <c r="N124" s="495"/>
      <c r="O124" s="495"/>
      <c r="P124" s="495"/>
      <c r="Q124" s="495"/>
      <c r="R124" s="495"/>
      <c r="S124" s="495"/>
      <c r="T124" s="495"/>
      <c r="U124" s="495"/>
      <c r="V124" s="495"/>
      <c r="W124" s="495"/>
      <c r="X124" s="495"/>
      <c r="Y124" s="495"/>
      <c r="Z124" s="49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>
      <c r="B125" s="365"/>
      <c r="C125" s="486"/>
      <c r="D125" s="486"/>
      <c r="G125" s="486"/>
      <c r="H125" s="486"/>
      <c r="J125" s="486"/>
      <c r="M125" s="486"/>
      <c r="N125" s="486"/>
      <c r="O125" s="486"/>
      <c r="P125" s="486"/>
      <c r="Q125" s="486"/>
      <c r="R125" s="486"/>
      <c r="S125" s="486"/>
      <c r="T125" s="486"/>
      <c r="U125" s="486"/>
      <c r="V125" s="486"/>
      <c r="W125" s="486"/>
      <c r="X125" s="486"/>
      <c r="Y125" s="486"/>
      <c r="Z125" s="486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 ht="26.25" thickBot="1">
      <c r="B126" s="256" t="s">
        <v>59</v>
      </c>
      <c r="H126" s="1124">
        <v>42922</v>
      </c>
      <c r="I126" s="1124"/>
      <c r="J126" s="1124"/>
      <c r="K126" s="1124"/>
      <c r="L126" s="1124"/>
      <c r="M126" s="1124"/>
      <c r="N126" s="1124"/>
      <c r="AD126" s="257"/>
      <c r="AE126" s="257"/>
      <c r="AF126" s="257"/>
      <c r="AG126" s="104"/>
      <c r="AH126" s="104"/>
      <c r="AI126" s="104"/>
      <c r="AJ126" s="255"/>
      <c r="AK126" s="255"/>
    </row>
    <row r="127" spans="2:46" ht="16.5" thickBot="1">
      <c r="B127" s="395">
        <v>1231.53</v>
      </c>
      <c r="C127" s="156" t="s">
        <v>66</v>
      </c>
      <c r="AD127" s="386"/>
      <c r="AE127" s="386"/>
      <c r="AF127" s="386"/>
      <c r="AG127" s="386"/>
      <c r="AH127" s="386"/>
      <c r="AI127" s="386"/>
      <c r="AJ127" s="386"/>
      <c r="AK127" s="386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 ht="15.75">
      <c r="B128" s="365">
        <f>+B127/30*7</f>
        <v>287.35700000000003</v>
      </c>
      <c r="C128" s="156" t="s">
        <v>67</v>
      </c>
      <c r="D128" s="258"/>
      <c r="O128" s="1093" t="s">
        <v>68</v>
      </c>
      <c r="P128" s="1093"/>
      <c r="Q128" s="1093"/>
      <c r="R128" s="1093"/>
      <c r="S128" s="1093"/>
      <c r="T128" s="1093"/>
      <c r="U128" s="1093"/>
      <c r="V128" s="1093"/>
      <c r="W128" s="1093"/>
      <c r="X128" s="1093"/>
      <c r="Y128" s="1093"/>
      <c r="Z128" s="1093"/>
      <c r="AD128" s="386"/>
      <c r="AE128" s="391"/>
      <c r="AF128" s="391"/>
      <c r="AG128" s="386"/>
      <c r="AH128" s="386"/>
      <c r="AI128" s="386"/>
      <c r="AJ128" s="391"/>
      <c r="AK128" s="391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65">
        <f>+B128-18</f>
        <v>269.35700000000003</v>
      </c>
      <c r="C129" s="156" t="s">
        <v>69</v>
      </c>
      <c r="O129" s="1093">
        <f>+B127</f>
        <v>1231.53</v>
      </c>
      <c r="P129" s="1093"/>
      <c r="Q129" s="1093" t="s">
        <v>70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6" t="s">
        <v>71</v>
      </c>
      <c r="AD129" s="386"/>
      <c r="AE129" s="391"/>
      <c r="AF129" s="391"/>
      <c r="AG129" s="386"/>
      <c r="AH129" s="386"/>
      <c r="AI129" s="386"/>
      <c r="AJ129" s="391"/>
      <c r="AK129" s="391"/>
      <c r="AL129" s="386"/>
      <c r="AM129" s="386"/>
      <c r="AN129" s="386"/>
      <c r="AO129" s="386"/>
      <c r="AP129" s="173"/>
      <c r="AQ129" s="173"/>
      <c r="AR129" s="173"/>
      <c r="AS129" s="173"/>
      <c r="AT129" s="173"/>
    </row>
    <row r="130" spans="2:46">
      <c r="B130" s="396">
        <f>+B129/7+0</f>
        <v>38.479571428571433</v>
      </c>
      <c r="C130" s="259" t="s">
        <v>72</v>
      </c>
      <c r="D130" s="260"/>
      <c r="O130" s="1093">
        <f>+O129/30*7</f>
        <v>287.35700000000003</v>
      </c>
      <c r="P130" s="1093"/>
      <c r="Q130" s="1093" t="s">
        <v>73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A130" s="1092">
        <f>+O130*0.87</f>
        <v>250.00059000000002</v>
      </c>
      <c r="AB130" s="1092"/>
      <c r="AD130" s="386"/>
      <c r="AE130" s="261"/>
      <c r="AF130" s="261"/>
      <c r="AG130" s="386"/>
      <c r="AH130" s="386"/>
      <c r="AI130" s="386"/>
      <c r="AJ130" s="261"/>
      <c r="AK130" s="261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O131" s="1093">
        <f>+O130/7</f>
        <v>41.051000000000002</v>
      </c>
      <c r="P131" s="1093"/>
      <c r="Q131" s="1093" t="s">
        <v>74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91"/>
      <c r="AF131" s="391"/>
      <c r="AG131" s="386"/>
      <c r="AH131" s="386"/>
      <c r="AI131" s="386"/>
      <c r="AJ131" s="391"/>
      <c r="AK131" s="391"/>
      <c r="AL131" s="399"/>
      <c r="AM131" s="399"/>
      <c r="AN131" s="397"/>
      <c r="AO131" s="397"/>
      <c r="AP131" s="398"/>
      <c r="AQ131" s="398"/>
      <c r="AR131" s="173"/>
      <c r="AS131" s="173"/>
      <c r="AT131" s="173"/>
    </row>
    <row r="132" spans="2:46" ht="15.75">
      <c r="B132" s="400">
        <f>+B130</f>
        <v>38.479571428571433</v>
      </c>
      <c r="C132" s="262" t="s">
        <v>75</v>
      </c>
      <c r="D132" s="263"/>
      <c r="E132" s="263"/>
      <c r="F132" s="263"/>
      <c r="O132" s="1094">
        <f>(O130-18)/7</f>
        <v>38.479571428571433</v>
      </c>
      <c r="P132" s="1094"/>
      <c r="Q132" s="1094" t="s">
        <v>76</v>
      </c>
      <c r="R132" s="1094"/>
      <c r="S132" s="1094"/>
      <c r="T132" s="1094"/>
      <c r="U132" s="1094"/>
      <c r="V132" s="1094"/>
      <c r="W132" s="1094"/>
      <c r="X132" s="1094"/>
      <c r="Y132" s="1094"/>
      <c r="Z132" s="1094"/>
      <c r="AD132" s="386"/>
      <c r="AE132" s="264"/>
      <c r="AF132" s="264"/>
      <c r="AG132" s="265"/>
      <c r="AH132" s="265"/>
      <c r="AI132" s="265"/>
      <c r="AJ132" s="264"/>
      <c r="AK132" s="264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65">
        <v>3</v>
      </c>
      <c r="C133" s="156" t="s">
        <v>77</v>
      </c>
      <c r="O133" s="1093">
        <v>3</v>
      </c>
      <c r="P133" s="1093"/>
      <c r="Q133" s="1093" t="s">
        <v>78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D133" s="386"/>
      <c r="AE133" s="386"/>
      <c r="AF133" s="264"/>
      <c r="AG133" s="265"/>
      <c r="AH133" s="265"/>
      <c r="AI133" s="265"/>
      <c r="AJ133" s="264"/>
      <c r="AK133" s="386"/>
      <c r="AL133" s="397"/>
      <c r="AM133" s="397"/>
      <c r="AN133" s="397"/>
      <c r="AO133" s="397"/>
      <c r="AP133" s="398"/>
      <c r="AQ133" s="398"/>
      <c r="AR133" s="173"/>
      <c r="AS133" s="173"/>
      <c r="AT133" s="173"/>
    </row>
    <row r="134" spans="2:46">
      <c r="B134" s="396">
        <f>+B133+B132</f>
        <v>41.479571428571433</v>
      </c>
      <c r="C134" s="259" t="s">
        <v>79</v>
      </c>
      <c r="D134" s="266"/>
      <c r="E134" s="267"/>
      <c r="F134" s="268"/>
      <c r="G134" s="266"/>
      <c r="H134" s="266"/>
      <c r="I134" s="268"/>
      <c r="J134" s="266"/>
      <c r="K134" s="269"/>
      <c r="L134" s="269"/>
      <c r="M134" s="260"/>
      <c r="O134" s="1093">
        <f>+O133+O132</f>
        <v>41.479571428571433</v>
      </c>
      <c r="P134" s="1093"/>
      <c r="AD134" s="386"/>
      <c r="AE134" s="391"/>
      <c r="AF134" s="391"/>
      <c r="AG134" s="386"/>
      <c r="AH134" s="386"/>
      <c r="AI134" s="386"/>
      <c r="AJ134" s="391"/>
      <c r="AK134" s="391"/>
      <c r="AL134" s="399"/>
      <c r="AM134" s="399"/>
      <c r="AN134" s="399"/>
      <c r="AO134" s="399"/>
      <c r="AP134" s="401"/>
      <c r="AQ134" s="173"/>
      <c r="AR134" s="173"/>
      <c r="AS134" s="173"/>
      <c r="AT134" s="173"/>
    </row>
    <row r="135" spans="2:46">
      <c r="B135" s="365"/>
      <c r="AD135" s="386"/>
      <c r="AE135" s="402"/>
      <c r="AF135" s="402"/>
      <c r="AG135" s="402"/>
      <c r="AH135" s="386"/>
      <c r="AI135" s="386"/>
      <c r="AJ135" s="402"/>
      <c r="AK135" s="402"/>
      <c r="AL135" s="397"/>
      <c r="AM135" s="386"/>
      <c r="AN135" s="386"/>
      <c r="AO135" s="386"/>
      <c r="AP135" s="173"/>
      <c r="AQ135" s="173"/>
      <c r="AR135" s="173"/>
      <c r="AS135" s="173"/>
      <c r="AT135" s="173"/>
    </row>
    <row r="136" spans="2:46">
      <c r="B136" s="365">
        <f>+B134*6</f>
        <v>248.8774285714286</v>
      </c>
      <c r="C136" s="156" t="s">
        <v>80</v>
      </c>
      <c r="O136" s="1093" t="s">
        <v>81</v>
      </c>
      <c r="P136" s="1093"/>
      <c r="Q136" s="1093"/>
      <c r="R136" s="1093"/>
      <c r="S136" s="1093"/>
      <c r="T136" s="1093"/>
      <c r="U136" s="1093"/>
      <c r="V136" s="1093"/>
      <c r="W136" s="1093"/>
      <c r="X136" s="1093"/>
      <c r="Y136" s="1093"/>
      <c r="Z136" s="1093"/>
      <c r="AD136" s="386"/>
      <c r="AE136" s="386"/>
      <c r="AF136" s="386"/>
      <c r="AG136" s="386"/>
      <c r="AH136" s="386"/>
      <c r="AI136" s="397"/>
      <c r="AJ136" s="397"/>
      <c r="AK136" s="399"/>
      <c r="AL136" s="481"/>
      <c r="AM136" s="391"/>
      <c r="AN136" s="481"/>
      <c r="AO136" s="386"/>
      <c r="AP136" s="173"/>
      <c r="AQ136" s="173"/>
      <c r="AR136" s="173"/>
      <c r="AS136" s="173"/>
      <c r="AT136" s="173"/>
    </row>
    <row r="137" spans="2:46">
      <c r="B137" s="403">
        <f>+B132</f>
        <v>38.479571428571433</v>
      </c>
      <c r="C137" s="270" t="s">
        <v>82</v>
      </c>
      <c r="D137" s="271"/>
      <c r="E137" s="272"/>
      <c r="F137" s="273"/>
      <c r="G137" s="271"/>
      <c r="H137" s="271"/>
      <c r="I137" s="273"/>
      <c r="J137" s="271"/>
      <c r="K137" s="274"/>
      <c r="L137" s="275"/>
      <c r="O137" s="1093">
        <f>+O129*1.1</f>
        <v>1354.683</v>
      </c>
      <c r="P137" s="1093"/>
      <c r="Q137" s="1093" t="s">
        <v>70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6" t="s">
        <v>83</v>
      </c>
      <c r="AG137" s="173"/>
      <c r="AH137" s="173"/>
      <c r="AI137" s="398"/>
      <c r="AJ137" s="398"/>
      <c r="AK137" s="398"/>
      <c r="AL137" s="173"/>
      <c r="AM137" s="173"/>
      <c r="AN137" s="173"/>
      <c r="AO137" s="173"/>
    </row>
    <row r="138" spans="2:46">
      <c r="B138" s="396">
        <f>+B137+B136</f>
        <v>287.35700000000003</v>
      </c>
      <c r="C138" s="259" t="s">
        <v>84</v>
      </c>
      <c r="D138" s="266"/>
      <c r="E138" s="267"/>
      <c r="F138" s="268"/>
      <c r="G138" s="266"/>
      <c r="H138" s="266"/>
      <c r="I138" s="268"/>
      <c r="J138" s="266"/>
      <c r="K138" s="276"/>
      <c r="L138" s="275"/>
      <c r="O138" s="1093">
        <f>+O137/30*7</f>
        <v>316.09270000000004</v>
      </c>
      <c r="P138" s="1093"/>
      <c r="Q138" s="1093" t="s">
        <v>73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A138" s="1092">
        <f>+O138*0.87</f>
        <v>275.00064900000001</v>
      </c>
      <c r="AB138" s="1092"/>
      <c r="AG138" s="173"/>
      <c r="AH138" s="173"/>
      <c r="AI138" s="398"/>
      <c r="AJ138" s="398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f>+O138/7</f>
        <v>45.156100000000002</v>
      </c>
      <c r="P139" s="1093"/>
      <c r="Q139" s="1093" t="s">
        <v>74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281"/>
      <c r="AJ139" s="282"/>
      <c r="AK139" s="277"/>
      <c r="AL139" s="173"/>
      <c r="AM139" s="173"/>
      <c r="AN139" s="173"/>
      <c r="AO139" s="173"/>
    </row>
    <row r="140" spans="2:46" ht="15.75">
      <c r="B140" s="405">
        <f>+B138/7</f>
        <v>41.051000000000002</v>
      </c>
      <c r="C140" s="283" t="s">
        <v>85</v>
      </c>
      <c r="D140" s="284"/>
      <c r="E140" s="285"/>
      <c r="F140" s="286"/>
      <c r="G140" s="287"/>
      <c r="H140" s="287"/>
      <c r="I140" s="280"/>
      <c r="J140" s="226"/>
      <c r="K140" s="275"/>
      <c r="L140" s="275"/>
      <c r="O140" s="1094">
        <f>(O138-18)/7</f>
        <v>42.584671428571433</v>
      </c>
      <c r="P140" s="1094"/>
      <c r="Q140" s="1094" t="s">
        <v>76</v>
      </c>
      <c r="R140" s="1094"/>
      <c r="S140" s="1094"/>
      <c r="T140" s="1094"/>
      <c r="U140" s="1094"/>
      <c r="V140" s="1094"/>
      <c r="W140" s="1094"/>
      <c r="X140" s="1094"/>
      <c r="Y140" s="1094"/>
      <c r="Z140" s="1094"/>
      <c r="AG140" s="173"/>
      <c r="AH140" s="173"/>
      <c r="AI140" s="173"/>
      <c r="AJ140" s="173"/>
      <c r="AK140" s="277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v>3</v>
      </c>
      <c r="P141" s="1093"/>
      <c r="Q141" s="1093" t="s">
        <v>78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404"/>
      <c r="C142" s="278"/>
      <c r="D142" s="226"/>
      <c r="E142" s="279"/>
      <c r="F142" s="280"/>
      <c r="G142" s="226"/>
      <c r="H142" s="226"/>
      <c r="I142" s="280"/>
      <c r="J142" s="226"/>
      <c r="K142" s="275"/>
      <c r="L142" s="275"/>
      <c r="O142" s="1093">
        <f>+O141+O140</f>
        <v>45.584671428571433</v>
      </c>
      <c r="P142" s="1093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>
      <c r="B143" s="365"/>
      <c r="AG143" s="173"/>
      <c r="AH143" s="173"/>
      <c r="AI143" s="173"/>
      <c r="AJ143" s="173"/>
      <c r="AK143" s="173"/>
      <c r="AL143" s="173"/>
      <c r="AM143" s="173"/>
      <c r="AN143" s="173"/>
      <c r="AO143" s="173"/>
    </row>
    <row r="144" spans="2:46" ht="26.25" thickBot="1">
      <c r="B144" s="256" t="s">
        <v>56</v>
      </c>
      <c r="H144" s="1124">
        <v>42744</v>
      </c>
      <c r="I144" s="1124"/>
      <c r="J144" s="1124"/>
      <c r="K144" s="1124"/>
      <c r="L144" s="1124"/>
      <c r="M144" s="1124"/>
      <c r="N144" s="1124"/>
      <c r="AD144" s="257"/>
      <c r="AE144" s="257"/>
      <c r="AF144" s="257"/>
      <c r="AG144" s="104"/>
      <c r="AH144" s="104"/>
      <c r="AI144" s="104"/>
      <c r="AJ144" s="255"/>
      <c r="AK144" s="255"/>
    </row>
    <row r="145" spans="2:46" ht="16.5" thickBot="1">
      <c r="B145" s="395">
        <v>1232.1400000000001</v>
      </c>
      <c r="C145" s="156" t="s">
        <v>66</v>
      </c>
      <c r="AD145" s="386"/>
      <c r="AE145" s="386"/>
      <c r="AF145" s="386"/>
      <c r="AG145" s="386"/>
      <c r="AH145" s="386"/>
      <c r="AI145" s="386"/>
      <c r="AJ145" s="386"/>
      <c r="AK145" s="386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 ht="15.75">
      <c r="B146" s="365">
        <f>+B145/30*7</f>
        <v>287.49933333333337</v>
      </c>
      <c r="C146" s="156" t="s">
        <v>67</v>
      </c>
      <c r="D146" s="258"/>
      <c r="O146" s="1093" t="s">
        <v>68</v>
      </c>
      <c r="P146" s="1093"/>
      <c r="Q146" s="1093"/>
      <c r="R146" s="1093"/>
      <c r="S146" s="1093"/>
      <c r="T146" s="1093"/>
      <c r="U146" s="1093"/>
      <c r="V146" s="1093"/>
      <c r="W146" s="1093"/>
      <c r="X146" s="1093"/>
      <c r="Y146" s="1093"/>
      <c r="Z146" s="1093"/>
      <c r="AD146" s="386"/>
      <c r="AE146" s="391"/>
      <c r="AF146" s="391"/>
      <c r="AG146" s="386"/>
      <c r="AH146" s="386"/>
      <c r="AI146" s="386"/>
      <c r="AJ146" s="391"/>
      <c r="AK146" s="391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65">
        <f>+B146-18</f>
        <v>269.49933333333337</v>
      </c>
      <c r="C147" s="156" t="s">
        <v>69</v>
      </c>
      <c r="O147" s="1093">
        <f>+B145</f>
        <v>1232.1400000000001</v>
      </c>
      <c r="P147" s="1093"/>
      <c r="Q147" s="1093" t="s">
        <v>70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6" t="s">
        <v>71</v>
      </c>
      <c r="AD147" s="386"/>
      <c r="AE147" s="391"/>
      <c r="AF147" s="391"/>
      <c r="AG147" s="386"/>
      <c r="AH147" s="386"/>
      <c r="AI147" s="386"/>
      <c r="AJ147" s="391"/>
      <c r="AK147" s="391"/>
      <c r="AL147" s="386"/>
      <c r="AM147" s="386"/>
      <c r="AN147" s="386"/>
      <c r="AO147" s="386"/>
      <c r="AP147" s="173"/>
      <c r="AQ147" s="173"/>
      <c r="AR147" s="173"/>
      <c r="AS147" s="173"/>
      <c r="AT147" s="173"/>
    </row>
    <row r="148" spans="2:46">
      <c r="B148" s="396">
        <f>+B147/7+0</f>
        <v>38.499904761904766</v>
      </c>
      <c r="C148" s="259" t="s">
        <v>72</v>
      </c>
      <c r="D148" s="260"/>
      <c r="O148" s="1093">
        <f>+O147/30*7</f>
        <v>287.49933333333337</v>
      </c>
      <c r="P148" s="1093"/>
      <c r="Q148" s="1093" t="s">
        <v>73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A148" s="1092">
        <f>+O148*0.87</f>
        <v>250.12442000000001</v>
      </c>
      <c r="AB148" s="1092"/>
      <c r="AD148" s="386"/>
      <c r="AE148" s="261"/>
      <c r="AF148" s="261"/>
      <c r="AG148" s="386"/>
      <c r="AH148" s="386"/>
      <c r="AI148" s="386"/>
      <c r="AJ148" s="261"/>
      <c r="AK148" s="261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O149" s="1093">
        <f>+O148/7</f>
        <v>41.071333333333335</v>
      </c>
      <c r="P149" s="1093"/>
      <c r="Q149" s="1093" t="s">
        <v>74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91"/>
      <c r="AF149" s="391"/>
      <c r="AG149" s="386"/>
      <c r="AH149" s="386"/>
      <c r="AI149" s="386"/>
      <c r="AJ149" s="391"/>
      <c r="AK149" s="391"/>
      <c r="AL149" s="399"/>
      <c r="AM149" s="399"/>
      <c r="AN149" s="397"/>
      <c r="AO149" s="397"/>
      <c r="AP149" s="398"/>
      <c r="AQ149" s="398"/>
      <c r="AR149" s="173"/>
      <c r="AS149" s="173"/>
      <c r="AT149" s="173"/>
    </row>
    <row r="150" spans="2:46" ht="15.75">
      <c r="B150" s="400">
        <f>+B148</f>
        <v>38.499904761904766</v>
      </c>
      <c r="C150" s="262" t="s">
        <v>75</v>
      </c>
      <c r="D150" s="263"/>
      <c r="E150" s="263"/>
      <c r="F150" s="263"/>
      <c r="O150" s="1094">
        <f>(O148-18)/7</f>
        <v>38.499904761904766</v>
      </c>
      <c r="P150" s="1094"/>
      <c r="Q150" s="1094" t="s">
        <v>76</v>
      </c>
      <c r="R150" s="1094"/>
      <c r="S150" s="1094"/>
      <c r="T150" s="1094"/>
      <c r="U150" s="1094"/>
      <c r="V150" s="1094"/>
      <c r="W150" s="1094"/>
      <c r="X150" s="1094"/>
      <c r="Y150" s="1094"/>
      <c r="Z150" s="1094"/>
      <c r="AD150" s="386"/>
      <c r="AE150" s="264"/>
      <c r="AF150" s="264"/>
      <c r="AG150" s="265"/>
      <c r="AH150" s="265"/>
      <c r="AI150" s="265"/>
      <c r="AJ150" s="264"/>
      <c r="AK150" s="264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65">
        <v>3</v>
      </c>
      <c r="C151" s="156" t="s">
        <v>77</v>
      </c>
      <c r="O151" s="1093">
        <v>3</v>
      </c>
      <c r="P151" s="1093"/>
      <c r="Q151" s="1093" t="s">
        <v>78</v>
      </c>
      <c r="R151" s="1093"/>
      <c r="S151" s="1093"/>
      <c r="T151" s="1093"/>
      <c r="U151" s="1093"/>
      <c r="V151" s="1093"/>
      <c r="W151" s="1093"/>
      <c r="X151" s="1093"/>
      <c r="Y151" s="1093"/>
      <c r="Z151" s="1093"/>
      <c r="AD151" s="386"/>
      <c r="AE151" s="386"/>
      <c r="AF151" s="991">
        <v>993814365</v>
      </c>
      <c r="AG151" s="991"/>
      <c r="AH151" s="991"/>
      <c r="AI151" s="991"/>
      <c r="AJ151" s="991"/>
      <c r="AK151" s="386"/>
      <c r="AL151" s="397"/>
      <c r="AM151" s="397"/>
      <c r="AN151" s="397"/>
      <c r="AO151" s="397"/>
      <c r="AP151" s="398"/>
      <c r="AQ151" s="398"/>
      <c r="AR151" s="173"/>
      <c r="AS151" s="173"/>
      <c r="AT151" s="173"/>
    </row>
    <row r="152" spans="2:46">
      <c r="B152" s="396">
        <f>+B151+B150</f>
        <v>41.499904761904766</v>
      </c>
      <c r="C152" s="259" t="s">
        <v>79</v>
      </c>
      <c r="D152" s="266"/>
      <c r="E152" s="267"/>
      <c r="F152" s="268"/>
      <c r="G152" s="266"/>
      <c r="H152" s="266"/>
      <c r="I152" s="268"/>
      <c r="J152" s="266"/>
      <c r="K152" s="269"/>
      <c r="L152" s="269"/>
      <c r="M152" s="260"/>
      <c r="O152" s="1093">
        <f>+O151+O150</f>
        <v>41.499904761904766</v>
      </c>
      <c r="P152" s="1093"/>
      <c r="AD152" s="386"/>
      <c r="AE152" s="391"/>
      <c r="AF152" s="391"/>
      <c r="AG152" s="386"/>
      <c r="AH152" s="386"/>
      <c r="AI152" s="386"/>
      <c r="AJ152" s="391"/>
      <c r="AK152" s="391"/>
      <c r="AL152" s="399"/>
      <c r="AM152" s="399"/>
      <c r="AN152" s="399"/>
      <c r="AO152" s="399"/>
      <c r="AP152" s="401"/>
      <c r="AQ152" s="173"/>
      <c r="AR152" s="173"/>
      <c r="AS152" s="173"/>
      <c r="AT152" s="173"/>
    </row>
    <row r="153" spans="2:46">
      <c r="B153" s="365"/>
      <c r="AD153" s="386"/>
      <c r="AE153" s="402"/>
      <c r="AF153" s="402"/>
      <c r="AG153" s="402"/>
      <c r="AH153" s="386"/>
      <c r="AI153" s="386"/>
      <c r="AJ153" s="402"/>
      <c r="AK153" s="402"/>
      <c r="AL153" s="397"/>
      <c r="AM153" s="386"/>
      <c r="AN153" s="386"/>
      <c r="AO153" s="386"/>
      <c r="AP153" s="173"/>
      <c r="AQ153" s="173"/>
      <c r="AR153" s="173"/>
      <c r="AS153" s="173"/>
      <c r="AT153" s="173"/>
    </row>
    <row r="154" spans="2:46">
      <c r="B154" s="365">
        <f>+B152*6</f>
        <v>248.99942857142861</v>
      </c>
      <c r="C154" s="156" t="s">
        <v>80</v>
      </c>
      <c r="O154" s="1093" t="s">
        <v>81</v>
      </c>
      <c r="P154" s="1093"/>
      <c r="Q154" s="1093"/>
      <c r="R154" s="1093"/>
      <c r="S154" s="1093"/>
      <c r="T154" s="1093"/>
      <c r="U154" s="1093"/>
      <c r="V154" s="1093"/>
      <c r="W154" s="1093"/>
      <c r="X154" s="1093"/>
      <c r="Y154" s="1093"/>
      <c r="Z154" s="1093"/>
      <c r="AD154" s="386"/>
      <c r="AE154" s="386"/>
      <c r="AF154" s="386"/>
      <c r="AG154" s="386"/>
      <c r="AH154" s="386"/>
      <c r="AI154" s="397"/>
      <c r="AJ154" s="397"/>
      <c r="AK154" s="399"/>
      <c r="AL154" s="481"/>
      <c r="AM154" s="391"/>
      <c r="AN154" s="481"/>
      <c r="AO154" s="386"/>
      <c r="AP154" s="173"/>
      <c r="AQ154" s="173"/>
      <c r="AR154" s="173"/>
      <c r="AS154" s="173"/>
      <c r="AT154" s="173"/>
    </row>
    <row r="155" spans="2:46">
      <c r="B155" s="403">
        <f>+B150</f>
        <v>38.499904761904766</v>
      </c>
      <c r="C155" s="270" t="s">
        <v>82</v>
      </c>
      <c r="D155" s="271"/>
      <c r="E155" s="272"/>
      <c r="F155" s="273"/>
      <c r="G155" s="271"/>
      <c r="H155" s="271"/>
      <c r="I155" s="273"/>
      <c r="J155" s="271"/>
      <c r="K155" s="274"/>
      <c r="L155" s="275"/>
      <c r="O155" s="1093">
        <f>+O147*1.1</f>
        <v>1355.3540000000003</v>
      </c>
      <c r="P155" s="1093"/>
      <c r="Q155" s="1093" t="s">
        <v>70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6" t="s">
        <v>83</v>
      </c>
      <c r="AG155" s="173"/>
      <c r="AH155" s="173"/>
      <c r="AI155" s="398"/>
      <c r="AJ155" s="398"/>
      <c r="AK155" s="398"/>
      <c r="AL155" s="173"/>
      <c r="AM155" s="173"/>
      <c r="AN155" s="173"/>
      <c r="AO155" s="173"/>
    </row>
    <row r="156" spans="2:46">
      <c r="B156" s="396">
        <f>+B155+B154</f>
        <v>287.49933333333337</v>
      </c>
      <c r="C156" s="259" t="s">
        <v>84</v>
      </c>
      <c r="D156" s="266"/>
      <c r="E156" s="267"/>
      <c r="F156" s="268"/>
      <c r="G156" s="266"/>
      <c r="H156" s="266"/>
      <c r="I156" s="268"/>
      <c r="J156" s="266"/>
      <c r="K156" s="276"/>
      <c r="L156" s="275"/>
      <c r="O156" s="1093">
        <f>+O155/30*7</f>
        <v>316.2492666666667</v>
      </c>
      <c r="P156" s="1093"/>
      <c r="Q156" s="1093" t="s">
        <v>73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92">
        <f>+O156*0.87</f>
        <v>275.13686200000001</v>
      </c>
      <c r="AB156" s="1092"/>
      <c r="AG156" s="173"/>
      <c r="AH156" s="173"/>
      <c r="AI156" s="398"/>
      <c r="AJ156" s="398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f>+O156/7</f>
        <v>45.178466666666672</v>
      </c>
      <c r="P157" s="1093"/>
      <c r="Q157" s="1093" t="s">
        <v>74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281"/>
      <c r="AJ157" s="282"/>
      <c r="AK157" s="277"/>
      <c r="AL157" s="173"/>
      <c r="AM157" s="173"/>
      <c r="AN157" s="173"/>
      <c r="AO157" s="173"/>
    </row>
    <row r="158" spans="2:46" ht="15.75">
      <c r="B158" s="405">
        <f>+B156/7</f>
        <v>41.071333333333335</v>
      </c>
      <c r="C158" s="283" t="s">
        <v>85</v>
      </c>
      <c r="D158" s="284"/>
      <c r="E158" s="285"/>
      <c r="F158" s="286"/>
      <c r="G158" s="287"/>
      <c r="H158" s="287"/>
      <c r="I158" s="280"/>
      <c r="J158" s="226"/>
      <c r="K158" s="275"/>
      <c r="L158" s="275"/>
      <c r="O158" s="1094">
        <f>(O156-18)/7</f>
        <v>42.607038095238103</v>
      </c>
      <c r="P158" s="1094"/>
      <c r="Q158" s="1094" t="s">
        <v>76</v>
      </c>
      <c r="R158" s="1094"/>
      <c r="S158" s="1094"/>
      <c r="T158" s="1094"/>
      <c r="U158" s="1094"/>
      <c r="V158" s="1094"/>
      <c r="W158" s="1094"/>
      <c r="X158" s="1094"/>
      <c r="Y158" s="1094"/>
      <c r="Z158" s="1094"/>
      <c r="AG158" s="173"/>
      <c r="AH158" s="173"/>
      <c r="AI158" s="173"/>
      <c r="AJ158" s="173"/>
      <c r="AK158" s="277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v>3</v>
      </c>
      <c r="P159" s="1093"/>
      <c r="Q159" s="1093" t="s">
        <v>78</v>
      </c>
      <c r="R159" s="1093"/>
      <c r="S159" s="1093"/>
      <c r="T159" s="1093"/>
      <c r="U159" s="1093"/>
      <c r="V159" s="1093"/>
      <c r="W159" s="1093"/>
      <c r="X159" s="1093"/>
      <c r="Y159" s="1093"/>
      <c r="Z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404"/>
      <c r="C160" s="278"/>
      <c r="D160" s="226"/>
      <c r="E160" s="279"/>
      <c r="F160" s="280"/>
      <c r="G160" s="226"/>
      <c r="H160" s="226"/>
      <c r="I160" s="280"/>
      <c r="J160" s="226"/>
      <c r="K160" s="275"/>
      <c r="L160" s="275"/>
      <c r="O160" s="1093">
        <f>+O159+O158</f>
        <v>45.607038095238103</v>
      </c>
      <c r="P160" s="1093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B161" s="365"/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26.25" thickBot="1">
      <c r="B164" s="256" t="s">
        <v>86</v>
      </c>
      <c r="H164" s="1124">
        <v>42736</v>
      </c>
      <c r="I164" s="1124"/>
      <c r="J164" s="1124"/>
      <c r="K164" s="1124"/>
      <c r="L164" s="1124"/>
      <c r="M164" s="1124"/>
      <c r="N164" s="1124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6" ht="16.5" thickBot="1">
      <c r="B165" s="395">
        <v>850</v>
      </c>
      <c r="C165" s="156" t="s">
        <v>66</v>
      </c>
      <c r="AD165" s="386"/>
      <c r="AE165" s="386"/>
      <c r="AF165" s="386"/>
      <c r="AG165" s="386"/>
      <c r="AH165" s="386"/>
      <c r="AI165" s="386"/>
      <c r="AJ165" s="386"/>
      <c r="AK165" s="386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 ht="15.75">
      <c r="B166" s="365">
        <f>+B165/30*7</f>
        <v>198.33333333333331</v>
      </c>
      <c r="C166" s="156" t="s">
        <v>67</v>
      </c>
      <c r="D166" s="258"/>
      <c r="O166" s="1093" t="s">
        <v>68</v>
      </c>
      <c r="P166" s="1093"/>
      <c r="Q166" s="1093"/>
      <c r="R166" s="1093"/>
      <c r="S166" s="1093"/>
      <c r="T166" s="1093"/>
      <c r="U166" s="1093"/>
      <c r="V166" s="1093"/>
      <c r="W166" s="1093"/>
      <c r="X166" s="1093"/>
      <c r="Y166" s="1093"/>
      <c r="Z166" s="1093"/>
      <c r="AD166" s="386"/>
      <c r="AE166" s="391"/>
      <c r="AF166" s="391"/>
      <c r="AG166" s="386"/>
      <c r="AH166" s="386"/>
      <c r="AI166" s="386"/>
      <c r="AJ166" s="391"/>
      <c r="AK166" s="391"/>
      <c r="AL166" s="386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65">
        <f>+B166-18</f>
        <v>180.33333333333331</v>
      </c>
      <c r="C167" s="156" t="s">
        <v>69</v>
      </c>
      <c r="O167" s="1093">
        <f>+B165</f>
        <v>850</v>
      </c>
      <c r="P167" s="1093"/>
      <c r="Q167" s="1093" t="s">
        <v>70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6" t="s">
        <v>71</v>
      </c>
      <c r="AD167" s="406" t="s">
        <v>87</v>
      </c>
      <c r="AE167" s="288"/>
      <c r="AF167" s="288"/>
      <c r="AG167" s="1122">
        <v>233.32</v>
      </c>
      <c r="AH167" s="1122"/>
      <c r="AI167" s="289"/>
      <c r="AJ167" s="1123">
        <f>233.32-AG167</f>
        <v>0</v>
      </c>
      <c r="AK167" s="1123"/>
      <c r="AL167" s="290"/>
      <c r="AM167" s="386"/>
      <c r="AN167" s="386"/>
      <c r="AO167" s="386"/>
      <c r="AP167" s="173"/>
      <c r="AQ167" s="173"/>
      <c r="AR167" s="173"/>
      <c r="AS167" s="173"/>
      <c r="AT167" s="173"/>
    </row>
    <row r="168" spans="2:46">
      <c r="B168" s="396">
        <f>+B167/7</f>
        <v>25.761904761904759</v>
      </c>
      <c r="C168" s="259" t="s">
        <v>72</v>
      </c>
      <c r="D168" s="260"/>
      <c r="O168" s="1093">
        <f>+O167/30*7</f>
        <v>198.33333333333331</v>
      </c>
      <c r="P168" s="1093"/>
      <c r="Q168" s="1093" t="s">
        <v>73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A168" s="1092">
        <f>+O168*0.87</f>
        <v>172.54999999999998</v>
      </c>
      <c r="AB168" s="1092"/>
      <c r="AD168" s="407" t="s">
        <v>88</v>
      </c>
      <c r="AE168" s="291"/>
      <c r="AF168" s="291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O169" s="1093">
        <f>+O168/7</f>
        <v>28.333333333333332</v>
      </c>
      <c r="P169" s="1093"/>
      <c r="Q169" s="1093" t="s">
        <v>74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89</v>
      </c>
      <c r="AE169" s="293"/>
      <c r="AF169" s="293"/>
      <c r="AG169" s="1118">
        <f>218.15-19.83</f>
        <v>198.32</v>
      </c>
      <c r="AH169" s="1118"/>
      <c r="AI169" s="292"/>
      <c r="AJ169" s="1119">
        <f>233.32-AG169</f>
        <v>35</v>
      </c>
      <c r="AK169" s="1119"/>
      <c r="AL169" s="409"/>
      <c r="AM169" s="399"/>
      <c r="AN169" s="397"/>
      <c r="AO169" s="397"/>
      <c r="AP169" s="398"/>
      <c r="AQ169" s="398"/>
      <c r="AR169" s="173"/>
      <c r="AS169" s="173"/>
      <c r="AT169" s="173"/>
    </row>
    <row r="170" spans="2:46" ht="15.75">
      <c r="B170" s="400">
        <f>+B168</f>
        <v>25.761904761904759</v>
      </c>
      <c r="C170" s="262" t="s">
        <v>75</v>
      </c>
      <c r="D170" s="263"/>
      <c r="E170" s="263"/>
      <c r="F170" s="263"/>
      <c r="O170" s="1094">
        <f>(O168-18)/7</f>
        <v>25.761904761904759</v>
      </c>
      <c r="P170" s="1094"/>
      <c r="Q170" s="1094" t="s">
        <v>76</v>
      </c>
      <c r="R170" s="1094"/>
      <c r="S170" s="1094"/>
      <c r="T170" s="1094"/>
      <c r="U170" s="1094"/>
      <c r="V170" s="1094"/>
      <c r="W170" s="1094"/>
      <c r="X170" s="1094"/>
      <c r="Y170" s="1094"/>
      <c r="Z170" s="1094"/>
      <c r="AD170" s="407" t="s">
        <v>90</v>
      </c>
      <c r="AE170" s="294"/>
      <c r="AF170" s="294"/>
      <c r="AG170" s="1118">
        <f>228.07-29.75</f>
        <v>198.32</v>
      </c>
      <c r="AH170" s="1118"/>
      <c r="AI170" s="295"/>
      <c r="AJ170" s="1119">
        <f>233.32-AG170</f>
        <v>35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65">
        <v>3</v>
      </c>
      <c r="C171" s="156" t="s">
        <v>77</v>
      </c>
      <c r="O171" s="1093">
        <v>3</v>
      </c>
      <c r="P171" s="1093"/>
      <c r="Q171" s="1093" t="s">
        <v>78</v>
      </c>
      <c r="R171" s="1093"/>
      <c r="S171" s="1093"/>
      <c r="T171" s="1093"/>
      <c r="U171" s="1093"/>
      <c r="V171" s="1093"/>
      <c r="W171" s="1093"/>
      <c r="X171" s="1093"/>
      <c r="Y171" s="1093"/>
      <c r="Z171" s="1093"/>
      <c r="AD171" s="407" t="s">
        <v>91</v>
      </c>
      <c r="AE171" s="292"/>
      <c r="AF171" s="294"/>
      <c r="AG171" s="1118">
        <f>208.24-9.92</f>
        <v>198.32000000000002</v>
      </c>
      <c r="AH171" s="1118"/>
      <c r="AI171" s="295"/>
      <c r="AJ171" s="1119">
        <f>233.32-AG171</f>
        <v>34.999999999999972</v>
      </c>
      <c r="AK171" s="1119"/>
      <c r="AL171" s="408"/>
      <c r="AM171" s="397"/>
      <c r="AN171" s="397"/>
      <c r="AO171" s="397"/>
      <c r="AP171" s="398"/>
      <c r="AQ171" s="398"/>
      <c r="AR171" s="173"/>
      <c r="AS171" s="173"/>
      <c r="AT171" s="173"/>
    </row>
    <row r="172" spans="2:46">
      <c r="B172" s="396">
        <f>+B171+B170</f>
        <v>28.761904761904759</v>
      </c>
      <c r="C172" s="259" t="s">
        <v>79</v>
      </c>
      <c r="D172" s="266"/>
      <c r="E172" s="267"/>
      <c r="F172" s="268"/>
      <c r="G172" s="266"/>
      <c r="H172" s="266"/>
      <c r="I172" s="268"/>
      <c r="J172" s="266"/>
      <c r="K172" s="269"/>
      <c r="L172" s="269"/>
      <c r="M172" s="260"/>
      <c r="O172" s="1093">
        <f>+O171+O170</f>
        <v>28.761904761904759</v>
      </c>
      <c r="P172" s="1093"/>
      <c r="AD172" s="296"/>
      <c r="AE172" s="293"/>
      <c r="AF172" s="293"/>
      <c r="AG172" s="297" t="s">
        <v>92</v>
      </c>
      <c r="AH172" s="298"/>
      <c r="AI172" s="292"/>
      <c r="AJ172" s="293"/>
      <c r="AK172" s="1120">
        <f>SUM(AJ167:AK171)</f>
        <v>139.99999999999997</v>
      </c>
      <c r="AL172" s="1121"/>
      <c r="AM172" s="399"/>
      <c r="AN172" s="399"/>
      <c r="AO172" s="399"/>
      <c r="AP172" s="401"/>
      <c r="AQ172" s="173"/>
      <c r="AR172" s="173"/>
      <c r="AS172" s="173"/>
      <c r="AT172" s="173"/>
    </row>
    <row r="173" spans="2:46">
      <c r="B173" s="365"/>
      <c r="AD173" s="299"/>
      <c r="AE173" s="410"/>
      <c r="AF173" s="410"/>
      <c r="AG173" s="300"/>
      <c r="AH173" s="301"/>
      <c r="AI173" s="411" t="s">
        <v>93</v>
      </c>
      <c r="AJ173" s="410"/>
      <c r="AK173" s="410"/>
      <c r="AL173" s="412"/>
      <c r="AM173" s="386"/>
      <c r="AN173" s="386"/>
      <c r="AO173" s="386"/>
      <c r="AP173" s="173"/>
      <c r="AQ173" s="173"/>
      <c r="AR173" s="173"/>
      <c r="AS173" s="173"/>
      <c r="AT173" s="173"/>
    </row>
    <row r="174" spans="2:46">
      <c r="B174" s="365">
        <f>+B172*6</f>
        <v>172.57142857142856</v>
      </c>
      <c r="C174" s="156" t="s">
        <v>80</v>
      </c>
      <c r="O174" s="1093" t="s">
        <v>81</v>
      </c>
      <c r="P174" s="1093"/>
      <c r="Q174" s="1093"/>
      <c r="R174" s="1093"/>
      <c r="S174" s="1093"/>
      <c r="T174" s="1093"/>
      <c r="U174" s="1093"/>
      <c r="V174" s="1093"/>
      <c r="W174" s="1093"/>
      <c r="X174" s="1093"/>
      <c r="Y174" s="1093"/>
      <c r="Z174" s="1093"/>
      <c r="AD174" s="386"/>
      <c r="AE174" s="386"/>
      <c r="AF174" s="386"/>
      <c r="AG174" s="386"/>
      <c r="AH174" s="386"/>
      <c r="AI174" s="397"/>
      <c r="AJ174" s="397"/>
      <c r="AK174" s="399"/>
      <c r="AL174" s="481"/>
      <c r="AM174" s="391"/>
      <c r="AN174" s="481"/>
      <c r="AO174" s="386"/>
      <c r="AP174" s="173"/>
      <c r="AQ174" s="173"/>
      <c r="AR174" s="173"/>
      <c r="AS174" s="173"/>
      <c r="AT174" s="173"/>
    </row>
    <row r="175" spans="2:46">
      <c r="B175" s="403">
        <f>+B170</f>
        <v>25.761904761904759</v>
      </c>
      <c r="C175" s="270" t="s">
        <v>82</v>
      </c>
      <c r="D175" s="271"/>
      <c r="E175" s="272"/>
      <c r="F175" s="273"/>
      <c r="G175" s="271"/>
      <c r="H175" s="271"/>
      <c r="I175" s="273"/>
      <c r="J175" s="271"/>
      <c r="K175" s="274"/>
      <c r="L175" s="275"/>
      <c r="O175" s="1093">
        <f>+O167*1.1</f>
        <v>935.00000000000011</v>
      </c>
      <c r="P175" s="1093"/>
      <c r="Q175" s="1093" t="s">
        <v>70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6" t="s">
        <v>83</v>
      </c>
      <c r="AG175" s="173"/>
      <c r="AH175" s="173"/>
      <c r="AI175" s="398"/>
      <c r="AJ175" s="398"/>
      <c r="AK175" s="398"/>
      <c r="AL175" s="173"/>
      <c r="AM175" s="173"/>
      <c r="AN175" s="173"/>
      <c r="AO175" s="173"/>
    </row>
    <row r="176" spans="2:46">
      <c r="B176" s="396">
        <f>+B175+B174</f>
        <v>198.33333333333331</v>
      </c>
      <c r="C176" s="259" t="s">
        <v>84</v>
      </c>
      <c r="D176" s="266"/>
      <c r="E176" s="267"/>
      <c r="F176" s="268"/>
      <c r="G176" s="266"/>
      <c r="H176" s="266"/>
      <c r="I176" s="268"/>
      <c r="J176" s="266"/>
      <c r="K176" s="276"/>
      <c r="L176" s="275"/>
      <c r="O176" s="1093">
        <f>+O175/30*7</f>
        <v>218.16666666666669</v>
      </c>
      <c r="P176" s="1093"/>
      <c r="Q176" s="1093" t="s">
        <v>73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A176" s="1092">
        <f>+O176*0.87</f>
        <v>189.80500000000001</v>
      </c>
      <c r="AB176" s="1092"/>
      <c r="AG176" s="173"/>
      <c r="AH176" s="173"/>
      <c r="AI176" s="398"/>
      <c r="AJ176" s="398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f>+O176/7</f>
        <v>31.166666666666668</v>
      </c>
      <c r="P177" s="1093"/>
      <c r="Q177" s="1093" t="s">
        <v>74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281"/>
      <c r="AJ177" s="282"/>
      <c r="AK177" s="277"/>
      <c r="AL177" s="173"/>
      <c r="AM177" s="173"/>
      <c r="AN177" s="173"/>
      <c r="AO177" s="173"/>
    </row>
    <row r="178" spans="2:46">
      <c r="B178" s="413">
        <f>+B176/7</f>
        <v>28.333333333333332</v>
      </c>
      <c r="C178" s="302" t="s">
        <v>85</v>
      </c>
      <c r="F178" s="280"/>
      <c r="G178" s="226"/>
      <c r="H178" s="226"/>
      <c r="I178" s="280"/>
      <c r="J178" s="226"/>
      <c r="K178" s="275"/>
      <c r="L178" s="275"/>
      <c r="O178" s="1094">
        <f>(O176-18)/7</f>
        <v>28.595238095238098</v>
      </c>
      <c r="P178" s="1094"/>
      <c r="Q178" s="1094" t="s">
        <v>76</v>
      </c>
      <c r="R178" s="1094"/>
      <c r="S178" s="1094"/>
      <c r="T178" s="1094"/>
      <c r="U178" s="1094"/>
      <c r="V178" s="1094"/>
      <c r="W178" s="1094"/>
      <c r="X178" s="1094"/>
      <c r="Y178" s="1094"/>
      <c r="Z178" s="1094"/>
      <c r="AG178" s="173"/>
      <c r="AH178" s="173"/>
      <c r="AI178" s="173"/>
      <c r="AJ178" s="173"/>
      <c r="AK178" s="277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v>3</v>
      </c>
      <c r="P179" s="1093"/>
      <c r="Q179" s="1093" t="s">
        <v>78</v>
      </c>
      <c r="R179" s="1093"/>
      <c r="S179" s="1093"/>
      <c r="T179" s="1093"/>
      <c r="U179" s="1093"/>
      <c r="V179" s="1093"/>
      <c r="W179" s="1093"/>
      <c r="X179" s="1093"/>
      <c r="Y179" s="1093"/>
      <c r="Z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404"/>
      <c r="C180" s="278"/>
      <c r="D180" s="226"/>
      <c r="E180" s="279"/>
      <c r="F180" s="280"/>
      <c r="G180" s="226"/>
      <c r="H180" s="226"/>
      <c r="I180" s="280"/>
      <c r="J180" s="226"/>
      <c r="K180" s="275"/>
      <c r="L180" s="275"/>
      <c r="O180" s="1093">
        <f>+O179+O178</f>
        <v>31.595238095238098</v>
      </c>
      <c r="P180" s="1093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B181" s="365"/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5.75" thickBot="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2:46" ht="16.5" thickBot="1">
      <c r="B184" s="414">
        <v>850</v>
      </c>
      <c r="C184" s="303" t="s">
        <v>66</v>
      </c>
      <c r="D184" s="482"/>
      <c r="E184" s="304"/>
      <c r="F184" s="305"/>
      <c r="G184" s="482"/>
      <c r="H184" s="482"/>
      <c r="I184" s="305"/>
      <c r="J184" s="482"/>
      <c r="K184" s="306"/>
      <c r="L184" s="306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307"/>
      <c r="AB184" s="307"/>
      <c r="AC184" s="308"/>
      <c r="AD184" s="386"/>
      <c r="AE184" s="386"/>
      <c r="AF184" s="386"/>
      <c r="AG184" s="386"/>
      <c r="AH184" s="386"/>
      <c r="AI184" s="386"/>
      <c r="AJ184" s="386"/>
      <c r="AK184" s="386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 ht="15.75">
      <c r="B185" s="415">
        <f>+B184/30*7</f>
        <v>198.33333333333331</v>
      </c>
      <c r="C185" s="278" t="s">
        <v>67</v>
      </c>
      <c r="D185" s="309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 t="s">
        <v>68</v>
      </c>
      <c r="P185" s="1093"/>
      <c r="Q185" s="1093"/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/>
      <c r="AB185" s="104"/>
      <c r="AC185" s="310"/>
      <c r="AD185" s="386"/>
      <c r="AE185" s="391"/>
      <c r="AF185" s="391"/>
      <c r="AG185" s="386"/>
      <c r="AH185" s="386"/>
      <c r="AI185" s="386"/>
      <c r="AJ185" s="391"/>
      <c r="AK185" s="391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415">
        <f>+B185-18</f>
        <v>180.33333333333331</v>
      </c>
      <c r="C186" s="278" t="s">
        <v>69</v>
      </c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+B184</f>
        <v>850</v>
      </c>
      <c r="P186" s="1093"/>
      <c r="Q186" s="1093" t="s">
        <v>70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 t="s">
        <v>71</v>
      </c>
      <c r="AB186" s="104"/>
      <c r="AC186" s="310"/>
      <c r="AD186" s="386"/>
      <c r="AE186" s="391"/>
      <c r="AF186" s="391"/>
      <c r="AG186" s="386"/>
      <c r="AH186" s="386"/>
      <c r="AI186" s="386"/>
      <c r="AJ186" s="391"/>
      <c r="AK186" s="391"/>
      <c r="AL186" s="386"/>
      <c r="AM186" s="386"/>
      <c r="AN186" s="386"/>
      <c r="AO186" s="386"/>
      <c r="AP186" s="173"/>
      <c r="AQ186" s="173"/>
      <c r="AR186" s="173"/>
      <c r="AS186" s="173"/>
      <c r="AT186" s="173"/>
    </row>
    <row r="187" spans="2:46">
      <c r="B187" s="416">
        <f>+B186/7</f>
        <v>25.761904761904759</v>
      </c>
      <c r="C187" s="259" t="s">
        <v>72</v>
      </c>
      <c r="D187" s="260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+O186/30*7</f>
        <v>198.33333333333331</v>
      </c>
      <c r="P187" s="1093"/>
      <c r="Q187" s="1093" t="s">
        <v>73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92">
        <f>+O187*0.87</f>
        <v>172.54999999999998</v>
      </c>
      <c r="AB187" s="1092"/>
      <c r="AC187" s="310"/>
      <c r="AD187" s="386"/>
      <c r="AE187" s="261"/>
      <c r="AF187" s="261"/>
      <c r="AG187" s="386"/>
      <c r="AH187" s="386"/>
      <c r="AI187" s="386"/>
      <c r="AJ187" s="261"/>
      <c r="AK187" s="261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311"/>
      <c r="C188" s="226"/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f>+O187/7</f>
        <v>28.333333333333332</v>
      </c>
      <c r="P188" s="1093"/>
      <c r="Q188" s="1093" t="s">
        <v>74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310"/>
      <c r="AD188" s="386"/>
      <c r="AE188" s="391"/>
      <c r="AF188" s="391"/>
      <c r="AG188" s="386"/>
      <c r="AH188" s="386"/>
      <c r="AI188" s="386"/>
      <c r="AJ188" s="391"/>
      <c r="AK188" s="391"/>
      <c r="AL188" s="399"/>
      <c r="AM188" s="399"/>
      <c r="AN188" s="397"/>
      <c r="AO188" s="397"/>
      <c r="AP188" s="398"/>
      <c r="AQ188" s="398"/>
      <c r="AR188" s="173"/>
      <c r="AS188" s="173"/>
      <c r="AT188" s="173"/>
    </row>
    <row r="189" spans="2:46" ht="15.75">
      <c r="B189" s="417">
        <f>+B187</f>
        <v>25.761904761904759</v>
      </c>
      <c r="C189" s="312" t="s">
        <v>75</v>
      </c>
      <c r="D189" s="286"/>
      <c r="E189" s="286"/>
      <c r="F189" s="286"/>
      <c r="G189" s="226"/>
      <c r="H189" s="226"/>
      <c r="I189" s="280"/>
      <c r="J189" s="226"/>
      <c r="K189" s="275"/>
      <c r="L189" s="275"/>
      <c r="M189" s="226"/>
      <c r="N189" s="226"/>
      <c r="O189" s="1094">
        <f>(O187-18)/7</f>
        <v>25.761904761904759</v>
      </c>
      <c r="P189" s="1094"/>
      <c r="Q189" s="1094" t="s">
        <v>76</v>
      </c>
      <c r="R189" s="1094"/>
      <c r="S189" s="1094"/>
      <c r="T189" s="1094"/>
      <c r="U189" s="1094"/>
      <c r="V189" s="1094"/>
      <c r="W189" s="1094"/>
      <c r="X189" s="1094"/>
      <c r="Y189" s="1094"/>
      <c r="Z189" s="1094"/>
      <c r="AA189" s="104"/>
      <c r="AB189" s="104"/>
      <c r="AC189" s="310"/>
      <c r="AD189" s="386"/>
      <c r="AE189" s="264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415">
        <v>3</v>
      </c>
      <c r="C190" s="278" t="s">
        <v>77</v>
      </c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1093">
        <v>3</v>
      </c>
      <c r="P190" s="1093"/>
      <c r="Q190" s="1093" t="s">
        <v>78</v>
      </c>
      <c r="R190" s="1093"/>
      <c r="S190" s="1093"/>
      <c r="T190" s="1093"/>
      <c r="U190" s="1093"/>
      <c r="V190" s="1093"/>
      <c r="W190" s="1093"/>
      <c r="X190" s="1093"/>
      <c r="Y190" s="1093"/>
      <c r="Z190" s="1093"/>
      <c r="AA190" s="104"/>
      <c r="AB190" s="104"/>
      <c r="AC190" s="310"/>
      <c r="AD190" s="386"/>
      <c r="AE190" s="386"/>
      <c r="AF190" s="991">
        <v>993814365</v>
      </c>
      <c r="AG190" s="991"/>
      <c r="AH190" s="991"/>
      <c r="AI190" s="991"/>
      <c r="AJ190" s="991"/>
      <c r="AK190" s="386"/>
      <c r="AL190" s="397"/>
      <c r="AM190" s="397"/>
      <c r="AN190" s="397"/>
      <c r="AO190" s="397"/>
      <c r="AP190" s="398"/>
      <c r="AQ190" s="398"/>
      <c r="AR190" s="173"/>
      <c r="AS190" s="173"/>
      <c r="AT190" s="173"/>
    </row>
    <row r="191" spans="2:46">
      <c r="B191" s="416">
        <f>+B190+B189</f>
        <v>28.761904761904759</v>
      </c>
      <c r="C191" s="259" t="s">
        <v>79</v>
      </c>
      <c r="D191" s="266"/>
      <c r="E191" s="267"/>
      <c r="F191" s="268"/>
      <c r="G191" s="266"/>
      <c r="H191" s="266"/>
      <c r="I191" s="268"/>
      <c r="J191" s="266"/>
      <c r="K191" s="269"/>
      <c r="L191" s="269"/>
      <c r="M191" s="260"/>
      <c r="N191" s="226"/>
      <c r="O191" s="1093">
        <f>+O190+O189</f>
        <v>28.761904761904759</v>
      </c>
      <c r="P191" s="1093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310"/>
      <c r="AD191" s="386"/>
      <c r="AE191" s="391"/>
      <c r="AF191" s="391"/>
      <c r="AG191" s="386"/>
      <c r="AH191" s="386"/>
      <c r="AI191" s="386"/>
      <c r="AJ191" s="391"/>
      <c r="AK191" s="391"/>
      <c r="AL191" s="399"/>
      <c r="AM191" s="399"/>
      <c r="AN191" s="399"/>
      <c r="AO191" s="399"/>
      <c r="AP191" s="401"/>
      <c r="AQ191" s="173"/>
      <c r="AR191" s="173"/>
      <c r="AS191" s="173"/>
      <c r="AT191" s="173"/>
    </row>
    <row r="192" spans="2:46">
      <c r="B192" s="415"/>
      <c r="C192" s="226"/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104"/>
      <c r="AB192" s="104"/>
      <c r="AC192" s="310"/>
      <c r="AD192" s="386"/>
      <c r="AE192" s="402"/>
      <c r="AF192" s="402"/>
      <c r="AG192" s="402"/>
      <c r="AH192" s="386"/>
      <c r="AI192" s="386"/>
      <c r="AJ192" s="402"/>
      <c r="AK192" s="402"/>
      <c r="AL192" s="397"/>
      <c r="AM192" s="386"/>
      <c r="AN192" s="386"/>
      <c r="AO192" s="386"/>
      <c r="AP192" s="173"/>
      <c r="AQ192" s="173"/>
      <c r="AR192" s="173"/>
      <c r="AS192" s="173"/>
      <c r="AT192" s="173"/>
    </row>
    <row r="193" spans="2:46">
      <c r="B193" s="415">
        <f>+B191*6</f>
        <v>172.57142857142856</v>
      </c>
      <c r="C193" s="278" t="s">
        <v>80</v>
      </c>
      <c r="D193" s="226"/>
      <c r="E193" s="279"/>
      <c r="F193" s="280"/>
      <c r="G193" s="226"/>
      <c r="H193" s="226"/>
      <c r="I193" s="280"/>
      <c r="J193" s="226"/>
      <c r="K193" s="275"/>
      <c r="L193" s="275"/>
      <c r="M193" s="226"/>
      <c r="N193" s="226"/>
      <c r="O193" s="1093" t="s">
        <v>81</v>
      </c>
      <c r="P193" s="1093"/>
      <c r="Q193" s="1093"/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/>
      <c r="AB193" s="104"/>
      <c r="AC193" s="310"/>
      <c r="AD193" s="386"/>
      <c r="AE193" s="386"/>
      <c r="AF193" s="386"/>
      <c r="AG193" s="386"/>
      <c r="AH193" s="386"/>
      <c r="AI193" s="397"/>
      <c r="AJ193" s="397"/>
      <c r="AK193" s="399"/>
      <c r="AL193" s="481"/>
      <c r="AM193" s="391"/>
      <c r="AN193" s="481"/>
      <c r="AO193" s="386"/>
      <c r="AP193" s="173"/>
      <c r="AQ193" s="173"/>
      <c r="AR193" s="173"/>
      <c r="AS193" s="173"/>
      <c r="AT193" s="173"/>
    </row>
    <row r="194" spans="2:46">
      <c r="B194" s="418">
        <f>+B189</f>
        <v>25.761904761904759</v>
      </c>
      <c r="C194" s="270" t="s">
        <v>82</v>
      </c>
      <c r="D194" s="271"/>
      <c r="E194" s="272"/>
      <c r="F194" s="273"/>
      <c r="G194" s="271"/>
      <c r="H194" s="271"/>
      <c r="I194" s="273"/>
      <c r="J194" s="271"/>
      <c r="K194" s="274"/>
      <c r="L194" s="275"/>
      <c r="M194" s="226"/>
      <c r="N194" s="226"/>
      <c r="O194" s="1093">
        <f>+O186*1.1</f>
        <v>935.00000000000011</v>
      </c>
      <c r="P194" s="1093"/>
      <c r="Q194" s="1093" t="s">
        <v>70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 t="s">
        <v>83</v>
      </c>
      <c r="AB194" s="104"/>
      <c r="AC194" s="310"/>
      <c r="AG194" s="173"/>
      <c r="AH194" s="173"/>
      <c r="AI194" s="398"/>
      <c r="AJ194" s="398"/>
      <c r="AK194" s="398"/>
      <c r="AL194" s="173"/>
      <c r="AM194" s="173"/>
      <c r="AN194" s="173"/>
      <c r="AO194" s="173"/>
    </row>
    <row r="195" spans="2:46">
      <c r="B195" s="416">
        <f>+B194+B193</f>
        <v>198.33333333333331</v>
      </c>
      <c r="C195" s="259" t="s">
        <v>84</v>
      </c>
      <c r="D195" s="266"/>
      <c r="E195" s="267"/>
      <c r="F195" s="268"/>
      <c r="G195" s="266"/>
      <c r="H195" s="266"/>
      <c r="I195" s="268"/>
      <c r="J195" s="266"/>
      <c r="K195" s="276"/>
      <c r="L195" s="275"/>
      <c r="M195" s="226"/>
      <c r="N195" s="226"/>
      <c r="O195" s="1093">
        <f>+O194/30*7</f>
        <v>218.16666666666669</v>
      </c>
      <c r="P195" s="1093"/>
      <c r="Q195" s="1093" t="s">
        <v>73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92">
        <f>+O195*0.87</f>
        <v>189.80500000000001</v>
      </c>
      <c r="AB195" s="1092"/>
      <c r="AC195" s="310"/>
      <c r="AG195" s="173"/>
      <c r="AH195" s="173"/>
      <c r="AI195" s="398"/>
      <c r="AJ195" s="398"/>
      <c r="AK195" s="277"/>
      <c r="AL195" s="173"/>
      <c r="AM195" s="173"/>
      <c r="AN195" s="173"/>
      <c r="AO195" s="173"/>
    </row>
    <row r="196" spans="2:46">
      <c r="B196" s="415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f>+O195/7</f>
        <v>31.166666666666668</v>
      </c>
      <c r="P196" s="1093"/>
      <c r="Q196" s="1093" t="s">
        <v>74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310"/>
      <c r="AG196" s="173"/>
      <c r="AH196" s="173"/>
      <c r="AI196" s="281"/>
      <c r="AJ196" s="282"/>
      <c r="AK196" s="277"/>
      <c r="AL196" s="173"/>
      <c r="AM196" s="173"/>
      <c r="AN196" s="173"/>
      <c r="AO196" s="173"/>
    </row>
    <row r="197" spans="2:46">
      <c r="B197" s="419">
        <f>+B195/7</f>
        <v>28.333333333333332</v>
      </c>
      <c r="C197" s="313" t="s">
        <v>85</v>
      </c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4">
        <f>(O195-18)/7</f>
        <v>28.595238095238098</v>
      </c>
      <c r="P197" s="1094"/>
      <c r="Q197" s="1094" t="s">
        <v>76</v>
      </c>
      <c r="R197" s="1094"/>
      <c r="S197" s="1094"/>
      <c r="T197" s="1094"/>
      <c r="U197" s="1094"/>
      <c r="V197" s="1094"/>
      <c r="W197" s="1094"/>
      <c r="X197" s="1094"/>
      <c r="Y197" s="1094"/>
      <c r="Z197" s="1094"/>
      <c r="AA197" s="104"/>
      <c r="AB197" s="104"/>
      <c r="AC197" s="310"/>
      <c r="AG197" s="173"/>
      <c r="AH197" s="173"/>
      <c r="AI197" s="173"/>
      <c r="AJ197" s="173"/>
      <c r="AK197" s="277"/>
      <c r="AL197" s="173"/>
      <c r="AM197" s="173"/>
      <c r="AN197" s="173"/>
      <c r="AO197" s="173"/>
    </row>
    <row r="198" spans="2:46">
      <c r="B198" s="415"/>
      <c r="C198" s="278"/>
      <c r="D198" s="226"/>
      <c r="E198" s="279"/>
      <c r="F198" s="280"/>
      <c r="G198" s="226"/>
      <c r="H198" s="226"/>
      <c r="I198" s="280"/>
      <c r="J198" s="226"/>
      <c r="K198" s="275"/>
      <c r="L198" s="275"/>
      <c r="M198" s="226"/>
      <c r="N198" s="226"/>
      <c r="O198" s="1093">
        <v>3</v>
      </c>
      <c r="P198" s="1093"/>
      <c r="Q198" s="1093" t="s">
        <v>78</v>
      </c>
      <c r="R198" s="1093"/>
      <c r="S198" s="1093"/>
      <c r="T198" s="1093"/>
      <c r="U198" s="1093"/>
      <c r="V198" s="1093"/>
      <c r="W198" s="1093"/>
      <c r="X198" s="1093"/>
      <c r="Y198" s="1093"/>
      <c r="Z198" s="1093"/>
      <c r="AA198" s="104"/>
      <c r="AB198" s="104"/>
      <c r="AC198" s="31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2:46" ht="15.75" thickBot="1">
      <c r="B199" s="420"/>
      <c r="C199" s="314"/>
      <c r="D199" s="315"/>
      <c r="E199" s="316"/>
      <c r="F199" s="317"/>
      <c r="G199" s="315"/>
      <c r="H199" s="315"/>
      <c r="I199" s="317"/>
      <c r="J199" s="315"/>
      <c r="K199" s="318"/>
      <c r="L199" s="318"/>
      <c r="M199" s="315"/>
      <c r="N199" s="315"/>
      <c r="O199" s="1381">
        <f>+O198+O197</f>
        <v>31.595238095238098</v>
      </c>
      <c r="P199" s="1381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9"/>
      <c r="AB199" s="319"/>
      <c r="AC199" s="320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2:46">
      <c r="B200" s="365"/>
      <c r="AG200" s="173"/>
      <c r="AH200" s="173"/>
      <c r="AI200" s="173"/>
      <c r="AJ200" s="173"/>
      <c r="AK200" s="173"/>
      <c r="AL200" s="173"/>
      <c r="AM200" s="173"/>
      <c r="AN200" s="173"/>
      <c r="AO200" s="173"/>
    </row>
    <row r="201" spans="2:46" ht="15.75" thickBot="1">
      <c r="AE201" s="255"/>
      <c r="AF201" s="255"/>
      <c r="AJ201" s="255"/>
      <c r="AK201" s="255"/>
    </row>
    <row r="202" spans="2:46">
      <c r="C202" s="321"/>
      <c r="D202" s="482"/>
      <c r="E202" s="304"/>
      <c r="F202" s="305"/>
      <c r="G202" s="482"/>
      <c r="H202" s="482"/>
      <c r="I202" s="305"/>
      <c r="J202" s="482"/>
      <c r="K202" s="306"/>
      <c r="L202" s="306"/>
      <c r="M202" s="482"/>
      <c r="N202" s="482"/>
      <c r="O202" s="482"/>
      <c r="P202" s="482"/>
      <c r="Q202" s="482"/>
      <c r="R202" s="482"/>
      <c r="S202" s="482"/>
      <c r="T202" s="482"/>
      <c r="U202" s="482"/>
      <c r="V202" s="482"/>
      <c r="W202" s="482"/>
      <c r="X202" s="482"/>
      <c r="Y202" s="482"/>
      <c r="Z202" s="482"/>
      <c r="AA202" s="307"/>
      <c r="AB202" s="307"/>
      <c r="AC202" s="307"/>
      <c r="AD202" s="307"/>
      <c r="AE202" s="322"/>
      <c r="AF202" s="322"/>
      <c r="AG202" s="308"/>
      <c r="AJ202" s="255"/>
      <c r="AK202" s="255"/>
    </row>
    <row r="203" spans="2:46" ht="18">
      <c r="C203" s="323"/>
      <c r="D203" s="226"/>
      <c r="E203" s="324" t="s">
        <v>94</v>
      </c>
      <c r="F203" s="280"/>
      <c r="G203" s="226"/>
      <c r="H203" s="226"/>
      <c r="I203" s="280"/>
      <c r="J203" s="226"/>
      <c r="K203" s="275"/>
      <c r="L203" s="275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104"/>
      <c r="AB203" s="104"/>
      <c r="AC203" s="104"/>
      <c r="AD203" s="104"/>
      <c r="AE203" s="255"/>
      <c r="AF203" s="255"/>
      <c r="AG203" s="310"/>
      <c r="AJ203" s="255"/>
      <c r="AK203" s="255"/>
    </row>
    <row r="204" spans="2:46">
      <c r="C204" s="323"/>
      <c r="D204" s="226"/>
      <c r="E204" s="279"/>
      <c r="F204" s="280"/>
      <c r="G204" s="226"/>
      <c r="H204" s="226"/>
      <c r="I204" s="280"/>
      <c r="J204" s="226"/>
      <c r="K204" s="275"/>
      <c r="L204" s="275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971" t="s">
        <v>95</v>
      </c>
      <c r="AB204" s="972"/>
      <c r="AC204" s="973"/>
      <c r="AD204" s="974" t="s">
        <v>96</v>
      </c>
      <c r="AE204" s="975"/>
      <c r="AF204" s="976"/>
      <c r="AG204" s="310"/>
      <c r="AH204" s="104"/>
      <c r="AI204" s="104"/>
      <c r="AJ204" s="255"/>
      <c r="AK204" s="255"/>
    </row>
    <row r="205" spans="2:46" ht="16.5" thickBot="1">
      <c r="C205" s="323"/>
      <c r="D205" s="977" t="s">
        <v>97</v>
      </c>
      <c r="E205" s="977"/>
      <c r="F205" s="977"/>
      <c r="G205" s="977"/>
      <c r="H205" s="977"/>
      <c r="I205" s="978" t="s">
        <v>98</v>
      </c>
      <c r="J205" s="978"/>
      <c r="K205" s="978"/>
      <c r="L205" s="979" t="s">
        <v>99</v>
      </c>
      <c r="M205" s="979"/>
      <c r="N205" s="979"/>
      <c r="O205" s="979" t="s">
        <v>100</v>
      </c>
      <c r="P205" s="979"/>
      <c r="Q205" s="979"/>
      <c r="R205" s="980" t="s">
        <v>101</v>
      </c>
      <c r="S205" s="980"/>
      <c r="T205" s="980"/>
      <c r="U205" s="979" t="s">
        <v>102</v>
      </c>
      <c r="V205" s="979"/>
      <c r="W205" s="981"/>
      <c r="X205" s="982" t="s">
        <v>103</v>
      </c>
      <c r="Y205" s="983"/>
      <c r="Z205" s="984"/>
      <c r="AA205" s="985" t="s">
        <v>104</v>
      </c>
      <c r="AB205" s="985"/>
      <c r="AC205" s="986"/>
      <c r="AD205" s="987" t="s">
        <v>104</v>
      </c>
      <c r="AE205" s="988"/>
      <c r="AF205" s="989"/>
      <c r="AG205" s="310"/>
      <c r="AH205" s="104"/>
      <c r="AI205" s="104"/>
      <c r="AJ205" s="255"/>
      <c r="AK205" s="255"/>
    </row>
    <row r="206" spans="2:46" ht="19.5" thickTop="1">
      <c r="C206" s="325">
        <v>1</v>
      </c>
      <c r="D206" s="957" t="s">
        <v>105</v>
      </c>
      <c r="E206" s="957"/>
      <c r="F206" s="957"/>
      <c r="G206" s="957"/>
      <c r="H206" s="957"/>
      <c r="I206" s="958">
        <v>38.5</v>
      </c>
      <c r="J206" s="958"/>
      <c r="K206" s="958"/>
      <c r="L206" s="959">
        <v>1</v>
      </c>
      <c r="M206" s="959"/>
      <c r="N206" s="959"/>
      <c r="O206" s="959">
        <v>2</v>
      </c>
      <c r="P206" s="959"/>
      <c r="Q206" s="959"/>
      <c r="R206" s="960">
        <f t="shared" ref="R206:R212" si="64">+I206+L206+O206</f>
        <v>41.5</v>
      </c>
      <c r="S206" s="960"/>
      <c r="T206" s="960"/>
      <c r="U206" s="961">
        <f t="shared" ref="U206:U212" si="65">+I206*7+(L206+O206)*6</f>
        <v>287.5</v>
      </c>
      <c r="V206" s="961"/>
      <c r="W206" s="962"/>
      <c r="X206" s="963">
        <f t="shared" ref="X206:X212" si="66">+U206/7*30</f>
        <v>1232.1428571428571</v>
      </c>
      <c r="Y206" s="964"/>
      <c r="Z206" s="965"/>
      <c r="AA206" s="966">
        <v>37.571399999999997</v>
      </c>
      <c r="AB206" s="967"/>
      <c r="AC206" s="967"/>
      <c r="AD206" s="968">
        <f t="shared" ref="AD206:AD212" si="67">+AA206*30</f>
        <v>1127.1419999999998</v>
      </c>
      <c r="AE206" s="968"/>
      <c r="AF206" s="968"/>
      <c r="AG206" s="310"/>
      <c r="AH206" s="104" t="s">
        <v>106</v>
      </c>
      <c r="AI206" s="954" t="s">
        <v>107</v>
      </c>
      <c r="AJ206" s="955"/>
      <c r="AK206" s="955"/>
      <c r="AL206" s="955"/>
      <c r="AM206" s="956"/>
    </row>
    <row r="207" spans="2:46" ht="17.25">
      <c r="C207" s="325">
        <v>2</v>
      </c>
      <c r="D207" s="950" t="s">
        <v>108</v>
      </c>
      <c r="E207" s="950"/>
      <c r="F207" s="950"/>
      <c r="G207" s="950"/>
      <c r="H207" s="950"/>
      <c r="I207" s="951">
        <v>38.5</v>
      </c>
      <c r="J207" s="951"/>
      <c r="K207" s="951"/>
      <c r="L207" s="952">
        <v>1</v>
      </c>
      <c r="M207" s="952"/>
      <c r="N207" s="952"/>
      <c r="O207" s="952">
        <v>2</v>
      </c>
      <c r="P207" s="952"/>
      <c r="Q207" s="952"/>
      <c r="R207" s="938">
        <f t="shared" si="64"/>
        <v>41.5</v>
      </c>
      <c r="S207" s="938"/>
      <c r="T207" s="938"/>
      <c r="U207" s="953">
        <f t="shared" si="65"/>
        <v>287.5</v>
      </c>
      <c r="V207" s="953"/>
      <c r="W207" s="954"/>
      <c r="X207" s="947">
        <f t="shared" si="66"/>
        <v>1232.1428571428571</v>
      </c>
      <c r="Y207" s="948"/>
      <c r="Z207" s="949"/>
      <c r="AA207" s="935">
        <v>35.571399999999997</v>
      </c>
      <c r="AB207" s="936"/>
      <c r="AC207" s="936"/>
      <c r="AD207" s="937">
        <f t="shared" si="67"/>
        <v>1067.1419999999998</v>
      </c>
      <c r="AE207" s="937"/>
      <c r="AF207" s="937"/>
      <c r="AG207" s="310"/>
      <c r="AH207" s="104"/>
      <c r="AI207" s="104"/>
      <c r="AJ207" s="255"/>
      <c r="AK207" s="255"/>
    </row>
    <row r="208" spans="2:46" ht="17.25">
      <c r="C208" s="325">
        <v>3</v>
      </c>
      <c r="D208" s="950" t="s">
        <v>109</v>
      </c>
      <c r="E208" s="950"/>
      <c r="F208" s="950"/>
      <c r="G208" s="950"/>
      <c r="H208" s="950"/>
      <c r="I208" s="951">
        <v>38.5</v>
      </c>
      <c r="J208" s="951"/>
      <c r="K208" s="951"/>
      <c r="L208" s="952">
        <v>1</v>
      </c>
      <c r="M208" s="952"/>
      <c r="N208" s="952"/>
      <c r="O208" s="952">
        <v>2</v>
      </c>
      <c r="P208" s="952"/>
      <c r="Q208" s="952"/>
      <c r="R208" s="938">
        <f t="shared" si="64"/>
        <v>41.5</v>
      </c>
      <c r="S208" s="938"/>
      <c r="T208" s="938"/>
      <c r="U208" s="953">
        <f t="shared" si="65"/>
        <v>287.5</v>
      </c>
      <c r="V208" s="953"/>
      <c r="W208" s="954"/>
      <c r="X208" s="947">
        <f t="shared" si="66"/>
        <v>1232.1428571428571</v>
      </c>
      <c r="Y208" s="948"/>
      <c r="Z208" s="949"/>
      <c r="AA208" s="935">
        <v>32.571399999999997</v>
      </c>
      <c r="AB208" s="936"/>
      <c r="AC208" s="936"/>
      <c r="AD208" s="937">
        <f t="shared" si="67"/>
        <v>977.14199999999994</v>
      </c>
      <c r="AE208" s="937"/>
      <c r="AF208" s="937"/>
      <c r="AG208" s="310"/>
      <c r="AH208" s="104"/>
      <c r="AI208" s="104"/>
      <c r="AJ208" s="255"/>
      <c r="AK208" s="255"/>
    </row>
    <row r="209" spans="3:41" ht="17.25">
      <c r="C209" s="325">
        <v>4</v>
      </c>
      <c r="D209" s="950" t="s">
        <v>110</v>
      </c>
      <c r="E209" s="950"/>
      <c r="F209" s="950"/>
      <c r="G209" s="950"/>
      <c r="H209" s="950"/>
      <c r="I209" s="951">
        <v>35</v>
      </c>
      <c r="J209" s="951"/>
      <c r="K209" s="951"/>
      <c r="L209" s="952">
        <v>1</v>
      </c>
      <c r="M209" s="952"/>
      <c r="N209" s="952"/>
      <c r="O209" s="952">
        <v>2</v>
      </c>
      <c r="P209" s="952"/>
      <c r="Q209" s="952"/>
      <c r="R209" s="938">
        <f t="shared" si="64"/>
        <v>38</v>
      </c>
      <c r="S209" s="938"/>
      <c r="T209" s="938"/>
      <c r="U209" s="953">
        <f t="shared" si="65"/>
        <v>263</v>
      </c>
      <c r="V209" s="953"/>
      <c r="W209" s="954"/>
      <c r="X209" s="947">
        <f t="shared" si="66"/>
        <v>1127.1428571428571</v>
      </c>
      <c r="Y209" s="948"/>
      <c r="Z209" s="949"/>
      <c r="AA209" s="935">
        <v>35.321399999999997</v>
      </c>
      <c r="AB209" s="936"/>
      <c r="AC209" s="936"/>
      <c r="AD209" s="937">
        <f t="shared" si="67"/>
        <v>1059.6419999999998</v>
      </c>
      <c r="AE209" s="937"/>
      <c r="AF209" s="937"/>
      <c r="AG209" s="310"/>
      <c r="AH209" s="104"/>
      <c r="AI209" s="104"/>
      <c r="AJ209" s="255"/>
      <c r="AK209" s="255"/>
    </row>
    <row r="210" spans="3:41" ht="17.25">
      <c r="C210" s="325">
        <v>5</v>
      </c>
      <c r="D210" s="950" t="s">
        <v>111</v>
      </c>
      <c r="E210" s="950"/>
      <c r="F210" s="950"/>
      <c r="G210" s="950"/>
      <c r="H210" s="950"/>
      <c r="I210" s="951">
        <v>33.799999999999997</v>
      </c>
      <c r="J210" s="951"/>
      <c r="K210" s="951"/>
      <c r="L210" s="952">
        <v>1</v>
      </c>
      <c r="M210" s="952"/>
      <c r="N210" s="952"/>
      <c r="O210" s="952">
        <v>2</v>
      </c>
      <c r="P210" s="952"/>
      <c r="Q210" s="952"/>
      <c r="R210" s="938">
        <f t="shared" si="64"/>
        <v>36.799999999999997</v>
      </c>
      <c r="S210" s="938"/>
      <c r="T210" s="938"/>
      <c r="U210" s="953">
        <f t="shared" si="65"/>
        <v>254.59999999999997</v>
      </c>
      <c r="V210" s="953"/>
      <c r="W210" s="954"/>
      <c r="X210" s="947">
        <f t="shared" si="66"/>
        <v>1091.1428571428569</v>
      </c>
      <c r="Y210" s="948"/>
      <c r="Z210" s="949"/>
      <c r="AA210" s="935">
        <v>31.571400000000001</v>
      </c>
      <c r="AB210" s="936"/>
      <c r="AC210" s="936"/>
      <c r="AD210" s="937">
        <f t="shared" si="67"/>
        <v>947.14200000000005</v>
      </c>
      <c r="AE210" s="937"/>
      <c r="AF210" s="937"/>
      <c r="AG210" s="310"/>
      <c r="AH210" s="104"/>
      <c r="AI210" s="104"/>
      <c r="AJ210" s="255"/>
      <c r="AK210" s="255"/>
    </row>
    <row r="211" spans="3:41" ht="17.25">
      <c r="C211" s="325">
        <v>6</v>
      </c>
      <c r="D211" s="950" t="s">
        <v>112</v>
      </c>
      <c r="E211" s="950"/>
      <c r="F211" s="950"/>
      <c r="G211" s="950"/>
      <c r="H211" s="950"/>
      <c r="I211" s="951">
        <v>33.799999999999997</v>
      </c>
      <c r="J211" s="951"/>
      <c r="K211" s="951"/>
      <c r="L211" s="952">
        <v>1</v>
      </c>
      <c r="M211" s="952"/>
      <c r="N211" s="952"/>
      <c r="O211" s="952">
        <v>2</v>
      </c>
      <c r="P211" s="952"/>
      <c r="Q211" s="952"/>
      <c r="R211" s="938">
        <f t="shared" si="64"/>
        <v>36.799999999999997</v>
      </c>
      <c r="S211" s="938"/>
      <c r="T211" s="938"/>
      <c r="U211" s="953">
        <f t="shared" si="65"/>
        <v>254.59999999999997</v>
      </c>
      <c r="V211" s="953"/>
      <c r="W211" s="954"/>
      <c r="X211" s="947">
        <f t="shared" si="66"/>
        <v>1091.1428571428569</v>
      </c>
      <c r="Y211" s="948"/>
      <c r="Z211" s="949"/>
      <c r="AA211" s="935">
        <v>33.333300000000001</v>
      </c>
      <c r="AB211" s="936"/>
      <c r="AC211" s="936"/>
      <c r="AD211" s="937">
        <f t="shared" si="67"/>
        <v>999.99900000000002</v>
      </c>
      <c r="AE211" s="937"/>
      <c r="AF211" s="937"/>
      <c r="AG211" s="310"/>
      <c r="AH211" s="104"/>
      <c r="AI211" s="104"/>
      <c r="AJ211" s="255"/>
      <c r="AK211" s="255"/>
    </row>
    <row r="212" spans="3:41" ht="17.25">
      <c r="C212" s="325">
        <v>7</v>
      </c>
      <c r="D212" s="950" t="s">
        <v>113</v>
      </c>
      <c r="E212" s="950"/>
      <c r="F212" s="950"/>
      <c r="G212" s="950"/>
      <c r="H212" s="950"/>
      <c r="I212" s="951">
        <v>26</v>
      </c>
      <c r="J212" s="951"/>
      <c r="K212" s="951"/>
      <c r="L212" s="952">
        <v>1</v>
      </c>
      <c r="M212" s="952"/>
      <c r="N212" s="952"/>
      <c r="O212" s="952">
        <v>2</v>
      </c>
      <c r="P212" s="952"/>
      <c r="Q212" s="952"/>
      <c r="R212" s="938">
        <f t="shared" si="64"/>
        <v>29</v>
      </c>
      <c r="S212" s="938"/>
      <c r="T212" s="938"/>
      <c r="U212" s="953">
        <f t="shared" si="65"/>
        <v>200</v>
      </c>
      <c r="V212" s="953"/>
      <c r="W212" s="954"/>
      <c r="X212" s="947">
        <f t="shared" si="66"/>
        <v>857.14285714285722</v>
      </c>
      <c r="Y212" s="948"/>
      <c r="Z212" s="949"/>
      <c r="AA212" s="935">
        <v>25</v>
      </c>
      <c r="AB212" s="936"/>
      <c r="AC212" s="936"/>
      <c r="AD212" s="937">
        <f t="shared" si="67"/>
        <v>750</v>
      </c>
      <c r="AE212" s="937"/>
      <c r="AF212" s="937"/>
      <c r="AG212" s="310"/>
      <c r="AH212" s="104"/>
      <c r="AI212" s="104"/>
      <c r="AJ212" s="255"/>
      <c r="AK212" s="255"/>
    </row>
    <row r="213" spans="3:41" ht="17.25">
      <c r="C213" s="323"/>
      <c r="D213" s="278"/>
      <c r="E213" s="279"/>
      <c r="F213" s="280"/>
      <c r="G213" s="226"/>
      <c r="H213" s="226"/>
      <c r="I213" s="280"/>
      <c r="J213" s="226"/>
      <c r="K213" s="275"/>
      <c r="L213" s="275"/>
      <c r="M213" s="226"/>
      <c r="N213" s="226"/>
      <c r="O213" s="226"/>
      <c r="P213" s="226"/>
      <c r="Q213" s="226"/>
      <c r="R213" s="226"/>
      <c r="S213" s="938" t="s">
        <v>23</v>
      </c>
      <c r="T213" s="938"/>
      <c r="U213" s="938"/>
      <c r="V213" s="226"/>
      <c r="W213" s="226"/>
      <c r="X213" s="939">
        <f>SUM(X206:Z212)</f>
        <v>7862.9999999999991</v>
      </c>
      <c r="Y213" s="940"/>
      <c r="Z213" s="941"/>
      <c r="AA213" s="326"/>
      <c r="AB213" s="326"/>
      <c r="AC213" s="326"/>
      <c r="AD213" s="942">
        <f>SUM(AD206:AF212)</f>
        <v>6928.2089999999989</v>
      </c>
      <c r="AE213" s="942"/>
      <c r="AF213" s="942"/>
      <c r="AG213" s="310"/>
      <c r="AH213" s="104"/>
      <c r="AI213" s="104"/>
      <c r="AJ213" s="255"/>
      <c r="AK213" s="255"/>
    </row>
    <row r="214" spans="3:41" ht="15.75" thickBot="1">
      <c r="C214" s="323"/>
      <c r="D214" s="226"/>
      <c r="E214" s="279"/>
      <c r="F214" s="280"/>
      <c r="G214" s="226"/>
      <c r="H214" s="226"/>
      <c r="I214" s="280"/>
      <c r="J214" s="226"/>
      <c r="K214" s="275"/>
      <c r="L214" s="275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104"/>
      <c r="AB214" s="104"/>
      <c r="AC214" s="104"/>
      <c r="AD214" s="104"/>
      <c r="AE214" s="255"/>
      <c r="AF214" s="255"/>
      <c r="AG214" s="310"/>
      <c r="AH214" s="104"/>
      <c r="AI214" s="104"/>
      <c r="AJ214" s="255"/>
      <c r="AK214" s="255"/>
    </row>
    <row r="215" spans="3:41" ht="15.75" thickBot="1">
      <c r="C215" s="323"/>
      <c r="D215" s="226"/>
      <c r="E215" s="279"/>
      <c r="F215" s="280"/>
      <c r="G215" s="226"/>
      <c r="H215" s="226"/>
      <c r="I215" s="280"/>
      <c r="J215" s="226"/>
      <c r="K215" s="275"/>
      <c r="L215" s="943" t="s">
        <v>114</v>
      </c>
      <c r="M215" s="943"/>
      <c r="N215" s="943"/>
      <c r="O215" s="226"/>
      <c r="P215" s="226"/>
      <c r="Q215" s="226"/>
      <c r="R215" s="226"/>
      <c r="S215" s="226"/>
      <c r="T215" s="327" t="s">
        <v>115</v>
      </c>
      <c r="U215" s="226"/>
      <c r="V215" s="226"/>
      <c r="W215" s="226"/>
      <c r="X215" s="226"/>
      <c r="Y215" s="226"/>
      <c r="Z215" s="226"/>
      <c r="AA215" s="104"/>
      <c r="AB215" s="104"/>
      <c r="AC215" s="104"/>
      <c r="AD215" s="944">
        <f>+X213-AD213+0.01</f>
        <v>934.80100000000016</v>
      </c>
      <c r="AE215" s="945"/>
      <c r="AF215" s="946"/>
      <c r="AG215" s="310"/>
      <c r="AH215" s="104"/>
      <c r="AI215" s="104"/>
      <c r="AJ215" s="255"/>
      <c r="AK215" s="255"/>
    </row>
    <row r="216" spans="3:41" ht="15.75" thickBot="1">
      <c r="C216" s="328"/>
      <c r="D216" s="315"/>
      <c r="E216" s="316"/>
      <c r="F216" s="317"/>
      <c r="G216" s="315"/>
      <c r="H216" s="315"/>
      <c r="I216" s="317"/>
      <c r="J216" s="315"/>
      <c r="K216" s="318"/>
      <c r="L216" s="318"/>
      <c r="M216" s="315"/>
      <c r="N216" s="315"/>
      <c r="O216" s="315"/>
      <c r="P216" s="315"/>
      <c r="Q216" s="315"/>
      <c r="R216" s="315"/>
      <c r="S216" s="315"/>
      <c r="T216" s="315"/>
      <c r="U216" s="315"/>
      <c r="V216" s="315"/>
      <c r="W216" s="315"/>
      <c r="X216" s="315"/>
      <c r="Y216" s="315"/>
      <c r="Z216" s="315"/>
      <c r="AA216" s="319"/>
      <c r="AB216" s="319"/>
      <c r="AC216" s="319"/>
      <c r="AD216" s="329"/>
      <c r="AE216" s="329"/>
      <c r="AF216" s="329"/>
      <c r="AG216" s="320"/>
      <c r="AH216" s="104"/>
      <c r="AI216" s="104"/>
      <c r="AJ216" s="255"/>
      <c r="AK216" s="255"/>
    </row>
    <row r="217" spans="3:41">
      <c r="AG217" s="173"/>
      <c r="AH217" s="173"/>
      <c r="AI217" s="173"/>
      <c r="AJ217" s="173"/>
      <c r="AK217" s="173"/>
      <c r="AL217" s="173"/>
      <c r="AM217" s="173"/>
      <c r="AN217" s="173"/>
      <c r="AO217" s="173"/>
    </row>
    <row r="218" spans="3:41">
      <c r="AG218" s="173"/>
      <c r="AH218" s="173"/>
      <c r="AI218" s="173"/>
      <c r="AJ218" s="173"/>
      <c r="AK218" s="173"/>
      <c r="AL218" s="173"/>
      <c r="AM218" s="173"/>
      <c r="AN218" s="173"/>
      <c r="AO218" s="173"/>
    </row>
    <row r="219" spans="3:41">
      <c r="AG219" s="173"/>
      <c r="AH219" s="173"/>
      <c r="AI219" s="173"/>
      <c r="AJ219" s="173"/>
      <c r="AK219" s="173"/>
      <c r="AL219" s="173"/>
      <c r="AM219" s="173"/>
      <c r="AN219" s="173"/>
      <c r="AO219" s="173"/>
    </row>
  </sheetData>
  <mergeCells count="585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G79:H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I82:J82"/>
    <mergeCell ref="K82:L82"/>
    <mergeCell ref="N82:O82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AA138:AB138"/>
    <mergeCell ref="AA130:AB130"/>
    <mergeCell ref="O131:P131"/>
    <mergeCell ref="Q131:Z131"/>
    <mergeCell ref="O132:P132"/>
    <mergeCell ref="Q132:Z132"/>
    <mergeCell ref="O133:P133"/>
    <mergeCell ref="Q133:Z133"/>
    <mergeCell ref="H126:N126"/>
    <mergeCell ref="O128:Z128"/>
    <mergeCell ref="O129:P129"/>
    <mergeCell ref="Q129:Z129"/>
    <mergeCell ref="O130:P130"/>
    <mergeCell ref="Q130:Z130"/>
    <mergeCell ref="O139:P139"/>
    <mergeCell ref="Q139:Z139"/>
    <mergeCell ref="O140:P140"/>
    <mergeCell ref="Q140:Z140"/>
    <mergeCell ref="O141:P141"/>
    <mergeCell ref="Q141:Z141"/>
    <mergeCell ref="O134:P134"/>
    <mergeCell ref="O136:Z136"/>
    <mergeCell ref="O137:P137"/>
    <mergeCell ref="Q137:Z137"/>
    <mergeCell ref="O138:P138"/>
    <mergeCell ref="Q138:Z138"/>
    <mergeCell ref="AA148:AB148"/>
    <mergeCell ref="O149:P149"/>
    <mergeCell ref="Q149:Z149"/>
    <mergeCell ref="O150:P150"/>
    <mergeCell ref="Q150:Z150"/>
    <mergeCell ref="O151:P151"/>
    <mergeCell ref="Q151:Z151"/>
    <mergeCell ref="O142:P142"/>
    <mergeCell ref="H144:N144"/>
    <mergeCell ref="O146:Z146"/>
    <mergeCell ref="O147:P147"/>
    <mergeCell ref="Q147:Z147"/>
    <mergeCell ref="O148:P148"/>
    <mergeCell ref="Q148:Z148"/>
    <mergeCell ref="O157:P157"/>
    <mergeCell ref="Q157:Z157"/>
    <mergeCell ref="O158:P158"/>
    <mergeCell ref="Q158:Z158"/>
    <mergeCell ref="O159:P159"/>
    <mergeCell ref="Q159:Z159"/>
    <mergeCell ref="AF151:AJ151"/>
    <mergeCell ref="O152:P152"/>
    <mergeCell ref="O154:Z154"/>
    <mergeCell ref="O155:P155"/>
    <mergeCell ref="Q155:Z155"/>
    <mergeCell ref="O156:P156"/>
    <mergeCell ref="Q156:Z156"/>
    <mergeCell ref="AA156:AB156"/>
    <mergeCell ref="AJ167:AK167"/>
    <mergeCell ref="O168:P168"/>
    <mergeCell ref="Q168:Z168"/>
    <mergeCell ref="AA168:AB168"/>
    <mergeCell ref="AG168:AH168"/>
    <mergeCell ref="AJ168:AK168"/>
    <mergeCell ref="O160:P160"/>
    <mergeCell ref="H164:N164"/>
    <mergeCell ref="O166:Z166"/>
    <mergeCell ref="O167:P167"/>
    <mergeCell ref="Q167:Z167"/>
    <mergeCell ref="AG167:AH167"/>
    <mergeCell ref="AA176:AB176"/>
    <mergeCell ref="O171:P171"/>
    <mergeCell ref="Q171:Z171"/>
    <mergeCell ref="AG171:AH171"/>
    <mergeCell ref="AJ171:AK171"/>
    <mergeCell ref="O172:P172"/>
    <mergeCell ref="AK172:AL172"/>
    <mergeCell ref="O169:P169"/>
    <mergeCell ref="Q169:Z169"/>
    <mergeCell ref="AG169:AH169"/>
    <mergeCell ref="AJ169:AK169"/>
    <mergeCell ref="O170:P170"/>
    <mergeCell ref="Q170:Z170"/>
    <mergeCell ref="AG170:AH170"/>
    <mergeCell ref="AJ170:AK170"/>
    <mergeCell ref="O177:P177"/>
    <mergeCell ref="Q177:Z177"/>
    <mergeCell ref="O178:P178"/>
    <mergeCell ref="Q178:Z178"/>
    <mergeCell ref="O179:P179"/>
    <mergeCell ref="Q179:Z179"/>
    <mergeCell ref="O174:Z174"/>
    <mergeCell ref="O175:P175"/>
    <mergeCell ref="Q175:Z175"/>
    <mergeCell ref="O176:P176"/>
    <mergeCell ref="Q176:Z176"/>
    <mergeCell ref="AA187:AB187"/>
    <mergeCell ref="O188:P188"/>
    <mergeCell ref="Q188:Z188"/>
    <mergeCell ref="O189:P189"/>
    <mergeCell ref="Q189:Z189"/>
    <mergeCell ref="O190:P190"/>
    <mergeCell ref="Q190:Z190"/>
    <mergeCell ref="O180:P180"/>
    <mergeCell ref="O185:Z185"/>
    <mergeCell ref="O186:P186"/>
    <mergeCell ref="Q186:Z186"/>
    <mergeCell ref="O187:P187"/>
    <mergeCell ref="Q187:Z187"/>
    <mergeCell ref="O196:P196"/>
    <mergeCell ref="Q196:Z196"/>
    <mergeCell ref="O197:P197"/>
    <mergeCell ref="Q197:Z197"/>
    <mergeCell ref="O198:P198"/>
    <mergeCell ref="Q198:Z198"/>
    <mergeCell ref="AF190:AJ190"/>
    <mergeCell ref="O191:P191"/>
    <mergeCell ref="O193:Z193"/>
    <mergeCell ref="O194:P194"/>
    <mergeCell ref="Q194:Z194"/>
    <mergeCell ref="O195:P195"/>
    <mergeCell ref="Q195:Z195"/>
    <mergeCell ref="AA195:AB195"/>
    <mergeCell ref="O199:P199"/>
    <mergeCell ref="AA204:AC204"/>
    <mergeCell ref="AD204:AF204"/>
    <mergeCell ref="D205:H205"/>
    <mergeCell ref="I205:K205"/>
    <mergeCell ref="L205:N205"/>
    <mergeCell ref="O205:Q205"/>
    <mergeCell ref="R205:T205"/>
    <mergeCell ref="U205:W205"/>
    <mergeCell ref="X205:Z205"/>
    <mergeCell ref="AA205:AC205"/>
    <mergeCell ref="AD205:AF205"/>
    <mergeCell ref="AI206:AM206"/>
    <mergeCell ref="D207:H207"/>
    <mergeCell ref="I207:K207"/>
    <mergeCell ref="L207:N207"/>
    <mergeCell ref="O207:Q207"/>
    <mergeCell ref="R207:T207"/>
    <mergeCell ref="U207:W207"/>
    <mergeCell ref="X207:Z207"/>
    <mergeCell ref="AA207:AC207"/>
    <mergeCell ref="AD207:AF207"/>
    <mergeCell ref="D206:H206"/>
    <mergeCell ref="I206:K206"/>
    <mergeCell ref="L206:N206"/>
    <mergeCell ref="O206:Q206"/>
    <mergeCell ref="R206:T206"/>
    <mergeCell ref="U206:W206"/>
    <mergeCell ref="X206:Z206"/>
    <mergeCell ref="AA206:AC206"/>
    <mergeCell ref="AD206:AF206"/>
    <mergeCell ref="D208:H208"/>
    <mergeCell ref="I208:K208"/>
    <mergeCell ref="L208:N208"/>
    <mergeCell ref="O208:Q208"/>
    <mergeCell ref="R208:T208"/>
    <mergeCell ref="U208:W208"/>
    <mergeCell ref="X208:Z208"/>
    <mergeCell ref="AA208:AC208"/>
    <mergeCell ref="AD208:AF208"/>
    <mergeCell ref="X209:Z209"/>
    <mergeCell ref="AA209:AC209"/>
    <mergeCell ref="AD209:AF209"/>
    <mergeCell ref="D210:H210"/>
    <mergeCell ref="I210:K210"/>
    <mergeCell ref="L210:N210"/>
    <mergeCell ref="O210:Q210"/>
    <mergeCell ref="R210:T210"/>
    <mergeCell ref="U210:W210"/>
    <mergeCell ref="X210:Z210"/>
    <mergeCell ref="D209:H209"/>
    <mergeCell ref="I209:K209"/>
    <mergeCell ref="L209:N209"/>
    <mergeCell ref="O209:Q209"/>
    <mergeCell ref="R209:T209"/>
    <mergeCell ref="U209:W209"/>
    <mergeCell ref="AA210:AC210"/>
    <mergeCell ref="AD210:AF210"/>
    <mergeCell ref="AD213:AF213"/>
    <mergeCell ref="L215:N215"/>
    <mergeCell ref="AD215:AF215"/>
    <mergeCell ref="AD211:AF211"/>
    <mergeCell ref="D212:H212"/>
    <mergeCell ref="I212:K212"/>
    <mergeCell ref="L212:N212"/>
    <mergeCell ref="O212:Q212"/>
    <mergeCell ref="R212:T212"/>
    <mergeCell ref="U212:W212"/>
    <mergeCell ref="X212:Z212"/>
    <mergeCell ref="AA212:AC212"/>
    <mergeCell ref="AD212:AF212"/>
    <mergeCell ref="D211:H211"/>
    <mergeCell ref="I211:K211"/>
    <mergeCell ref="L211:N211"/>
    <mergeCell ref="O211:Q211"/>
    <mergeCell ref="R211:T211"/>
    <mergeCell ref="U211:W211"/>
    <mergeCell ref="X211:Z211"/>
    <mergeCell ref="AA211:AC211"/>
    <mergeCell ref="S213:U213"/>
    <mergeCell ref="X213:Z213"/>
    <mergeCell ref="O100:P100"/>
    <mergeCell ref="Q100:Z100"/>
    <mergeCell ref="H89:N89"/>
    <mergeCell ref="O91:Z91"/>
    <mergeCell ref="O92:P92"/>
    <mergeCell ref="Q92:Z92"/>
    <mergeCell ref="O93:P93"/>
    <mergeCell ref="Q93:Z93"/>
    <mergeCell ref="AA93:AB93"/>
    <mergeCell ref="O94:P94"/>
    <mergeCell ref="Q94:Z94"/>
    <mergeCell ref="AA111:AB111"/>
    <mergeCell ref="O105:P105"/>
    <mergeCell ref="O101:P101"/>
    <mergeCell ref="Q101:Z101"/>
    <mergeCell ref="AA101:AB101"/>
    <mergeCell ref="O102:P102"/>
    <mergeCell ref="Q102:Z102"/>
    <mergeCell ref="O103:P103"/>
    <mergeCell ref="Q103:Z103"/>
    <mergeCell ref="O104:P104"/>
    <mergeCell ref="Q104:Z104"/>
    <mergeCell ref="AA119:AB119"/>
    <mergeCell ref="O120:P120"/>
    <mergeCell ref="Q120:Z120"/>
    <mergeCell ref="O112:P112"/>
    <mergeCell ref="Q112:Z112"/>
    <mergeCell ref="O113:P113"/>
    <mergeCell ref="Q113:Z113"/>
    <mergeCell ref="O114:P114"/>
    <mergeCell ref="Q114:Z114"/>
    <mergeCell ref="O121:P121"/>
    <mergeCell ref="Q121:Z121"/>
    <mergeCell ref="O122:P122"/>
    <mergeCell ref="Q122:Z122"/>
    <mergeCell ref="O123:P123"/>
    <mergeCell ref="G83:H83"/>
    <mergeCell ref="O115:P115"/>
    <mergeCell ref="O117:Z117"/>
    <mergeCell ref="O118:P118"/>
    <mergeCell ref="Q118:Z118"/>
    <mergeCell ref="O119:P119"/>
    <mergeCell ref="Q119:Z119"/>
    <mergeCell ref="H107:N107"/>
    <mergeCell ref="O109:Z109"/>
    <mergeCell ref="O110:P110"/>
    <mergeCell ref="Q110:Z110"/>
    <mergeCell ref="O111:P111"/>
    <mergeCell ref="Q111:Z111"/>
    <mergeCell ref="O95:P95"/>
    <mergeCell ref="Q95:Z95"/>
    <mergeCell ref="O96:P96"/>
    <mergeCell ref="Q96:Z96"/>
    <mergeCell ref="O97:P97"/>
    <mergeCell ref="O99:Z99"/>
    <mergeCell ref="AL112:AN112"/>
    <mergeCell ref="AL110:AN110"/>
    <mergeCell ref="AL111:AN111"/>
    <mergeCell ref="AI115:AK115"/>
    <mergeCell ref="AO110:AQ110"/>
    <mergeCell ref="AO111:AQ111"/>
    <mergeCell ref="AO112:AQ112"/>
    <mergeCell ref="AE115:AG115"/>
    <mergeCell ref="AE110:AG110"/>
    <mergeCell ref="AE111:AG111"/>
    <mergeCell ref="AE112:AG112"/>
    <mergeCell ref="AE113:AG113"/>
    <mergeCell ref="AE114:AG114"/>
    <mergeCell ref="AI110:AK110"/>
    <mergeCell ref="AI111:AK111"/>
    <mergeCell ref="AI112:AK112"/>
    <mergeCell ref="AI113:AK113"/>
    <mergeCell ref="AI114:AK114"/>
  </mergeCells>
  <conditionalFormatting sqref="AP69 AH62 AP62 AH33:AH50 AP33:AP50">
    <cfRule type="cellIs" dxfId="257" priority="25" stopIfTrue="1" operator="lessThanOrEqual">
      <formula>0</formula>
    </cfRule>
  </conditionalFormatting>
  <conditionalFormatting sqref="L229:L230 K200:L200 K229:K232 L232 K160:L161 K217:L220 K181:L181 K87:L143 K81:L85">
    <cfRule type="cellIs" dxfId="256" priority="24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 AP21:AT21">
    <cfRule type="cellIs" dxfId="255" priority="23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254" priority="22" stopIfTrue="1" operator="lessThanOrEqual">
      <formula>0</formula>
    </cfRule>
  </conditionalFormatting>
  <conditionalFormatting sqref="AM58:AM59 AC62 I62 AC58:AC60 S62:S68 S58:S60 I58:I60 AM11:AM27 S11:S27 I11:I26 AC11:AC27 I33:I50 S33:S55 AC33:AC50">
    <cfRule type="cellIs" dxfId="253" priority="21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25 K47 AE43:AF43 U43:V43 K33:L33 K17:L17 V17 K12:K16 U23:V24 U12:U22 K18:K22 AO11:AO27 AE15:AE25 U34:U45 AE34:AE45 K34:K45">
    <cfRule type="cellIs" dxfId="252" priority="20" stopIfTrue="1" operator="lessThanOrEqual">
      <formula>0</formula>
    </cfRule>
  </conditionalFormatting>
  <conditionalFormatting sqref="Z51:AA55 Z63:AA68 W87:X87 W76:X85">
    <cfRule type="cellIs" dxfId="251" priority="19" stopIfTrue="1" operator="lessThan">
      <formula>0</formula>
    </cfRule>
  </conditionalFormatting>
  <conditionalFormatting sqref="X51:X55 X63:X68 U87 U76:U85">
    <cfRule type="cellIs" dxfId="250" priority="18" stopIfTrue="1" operator="greaterThan">
      <formula>48</formula>
    </cfRule>
  </conditionalFormatting>
  <conditionalFormatting sqref="C217:C221 C229:D232 C160:D160 D217:D228 C88:D143">
    <cfRule type="cellIs" dxfId="249" priority="17" stopIfTrue="1" operator="lessThan">
      <formula>$C$73</formula>
    </cfRule>
  </conditionalFormatting>
  <conditionalFormatting sqref="AI62:AO62 AI33:AO50">
    <cfRule type="cellIs" dxfId="248" priority="15" stopIfTrue="1" operator="equal">
      <formula>0</formula>
    </cfRule>
    <cfRule type="cellIs" dxfId="247" priority="16" stopIfTrue="1" operator="lessThan">
      <formula>0</formula>
    </cfRule>
  </conditionalFormatting>
  <conditionalFormatting sqref="AT62 AT33:AT47">
    <cfRule type="cellIs" dxfId="246" priority="13" stopIfTrue="1" operator="greaterThan">
      <formula>0</formula>
    </cfRule>
    <cfRule type="cellIs" dxfId="245" priority="14" stopIfTrue="1" operator="lessThan">
      <formula>1</formula>
    </cfRule>
  </conditionalFormatting>
  <conditionalFormatting sqref="K86:L86 K73:L83">
    <cfRule type="cellIs" dxfId="244" priority="12" stopIfTrue="1" operator="greaterThanOrEqual">
      <formula>$K$71</formula>
    </cfRule>
  </conditionalFormatting>
  <conditionalFormatting sqref="AF58:AF59 L12:L25 V12:V25 AF34:AF47 V33:V47 L33:L47 AF11:AF25">
    <cfRule type="cellIs" dxfId="243" priority="10" stopIfTrue="1" operator="equal">
      <formula>0</formula>
    </cfRule>
    <cfRule type="cellIs" dxfId="242" priority="11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:BF17 AK38:AX46 AF19:BF21 AP18:BF18" formula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C5" sqref="C5:J6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908" customWidth="1"/>
    <col min="5" max="5" width="4.28515625" style="3" customWidth="1"/>
    <col min="6" max="6" width="4.28515625" style="4" customWidth="1"/>
    <col min="7" max="8" width="4.28515625" style="908" customWidth="1"/>
    <col min="9" max="9" width="4.28515625" style="4" customWidth="1"/>
    <col min="10" max="10" width="4.28515625" style="908" customWidth="1"/>
    <col min="11" max="12" width="4.28515625" style="5" customWidth="1"/>
    <col min="13" max="26" width="4.28515625" style="908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43292</v>
      </c>
      <c r="C1" s="908" t="s">
        <v>0</v>
      </c>
      <c r="AN1" s="7"/>
      <c r="AO1" s="7"/>
      <c r="AR1" s="1340">
        <f>+AR46+AT46</f>
        <v>296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43293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908">
        <v>0</v>
      </c>
    </row>
    <row r="5" spans="1:58" ht="10.9" customHeight="1">
      <c r="B5" s="1244" t="s">
        <v>1</v>
      </c>
      <c r="C5" s="1140">
        <v>43286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43287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43288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43289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43286</v>
      </c>
      <c r="AW7" s="1296">
        <f>+M5</f>
        <v>43287</v>
      </c>
      <c r="AX7" s="1296">
        <f>+W5</f>
        <v>43288</v>
      </c>
      <c r="AY7" s="1309">
        <f>+AG5</f>
        <v>43289</v>
      </c>
      <c r="AZ7" s="1296">
        <f>+C26</f>
        <v>43290</v>
      </c>
      <c r="BA7" s="1296">
        <f>+M26</f>
        <v>43291</v>
      </c>
      <c r="BB7" s="1296">
        <f>+W26</f>
        <v>43292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8</v>
      </c>
      <c r="L11" s="20">
        <f t="shared" ref="L11:L24" si="4">IF(C11&gt;0,(F11+I11)+IF(K$5&gt;0,F11,-8),0)+IF(U$5&gt;0,I11,0)</f>
        <v>0</v>
      </c>
      <c r="M11" s="336"/>
      <c r="N11" s="335"/>
      <c r="O11" s="16"/>
      <c r="P11" s="17">
        <f t="shared" ref="P11:P20" si="5">+N11-M11-O11</f>
        <v>0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0</v>
      </c>
      <c r="V11" s="20">
        <f t="shared" ref="V11:V20" si="8">IF(M11&gt;0,(P11+S11)+IF(U$5&gt;0,P11,-8),0)+IF(AE$5&gt;0,S11,0)</f>
        <v>0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>
        <v>8</v>
      </c>
      <c r="AH11" s="337">
        <v>16</v>
      </c>
      <c r="AI11" s="23">
        <v>1</v>
      </c>
      <c r="AJ11" s="24">
        <f t="shared" ref="AJ11:AJ24" si="12">+AH11-AG11-AI11</f>
        <v>7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14</v>
      </c>
      <c r="AP11" s="1297">
        <f t="shared" ref="AP11:AP24" si="15">+L11+V11+AF11+AO11+L32+V32+AF32-AN11</f>
        <v>13</v>
      </c>
      <c r="AQ11" s="1298"/>
      <c r="AR11" s="1299">
        <f t="shared" ref="AR11:AR20" si="16">ROUND(BD11*AP11,1)</f>
        <v>59.1</v>
      </c>
      <c r="AS11" s="1300"/>
      <c r="AT11" s="338">
        <f t="shared" ref="AT11:AT24" si="17">IF(AT32&gt;0,AT32*$AT$10,0)</f>
        <v>24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-1</v>
      </c>
      <c r="AY11" s="27">
        <f t="shared" ref="AY11:AY20" si="21">+AO11</f>
        <v>14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59.103571428571421</v>
      </c>
      <c r="BF11" s="341">
        <f t="shared" ref="BF11:BF20" si="27">+BD11*AY11</f>
        <v>63.649999999999991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19</v>
      </c>
      <c r="E12" s="30">
        <v>1</v>
      </c>
      <c r="F12" s="31">
        <f t="shared" si="1"/>
        <v>11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3</v>
      </c>
      <c r="M12" s="891">
        <v>9</v>
      </c>
      <c r="N12" s="342">
        <v>20</v>
      </c>
      <c r="O12" s="30">
        <v>1</v>
      </c>
      <c r="P12" s="31">
        <f t="shared" si="5"/>
        <v>10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2</v>
      </c>
      <c r="W12" s="342">
        <v>7</v>
      </c>
      <c r="X12" s="342">
        <v>24</v>
      </c>
      <c r="Y12" s="30">
        <v>2</v>
      </c>
      <c r="Z12" s="31">
        <f t="shared" si="9"/>
        <v>15</v>
      </c>
      <c r="AA12" s="344">
        <v>0</v>
      </c>
      <c r="AB12" s="344">
        <v>7</v>
      </c>
      <c r="AC12" s="36">
        <f t="shared" si="10"/>
        <v>7</v>
      </c>
      <c r="AD12" s="30">
        <v>8</v>
      </c>
      <c r="AE12" s="32">
        <f t="shared" si="11"/>
        <v>1</v>
      </c>
      <c r="AF12" s="20">
        <f>IF(W12&gt;0,IF(AE$5&gt;0,(Z12+AC12)*2,(Z12+AC12-8)),0)*IF(Z12&lt;9,IF(AE$5&gt;0,1,2),1)+IF(Z12&gt;8,AC12,0)</f>
        <v>21</v>
      </c>
      <c r="AG12" s="37">
        <v>18</v>
      </c>
      <c r="AH12" s="342">
        <v>24</v>
      </c>
      <c r="AI12" s="30">
        <v>1</v>
      </c>
      <c r="AJ12" s="38">
        <f>+AH12-AG12-AI12</f>
        <v>5</v>
      </c>
      <c r="AK12" s="342">
        <v>0</v>
      </c>
      <c r="AL12" s="342">
        <v>9</v>
      </c>
      <c r="AM12" s="31">
        <f t="shared" si="13"/>
        <v>9</v>
      </c>
      <c r="AN12" s="39"/>
      <c r="AO12" s="40">
        <f t="shared" si="14"/>
        <v>19</v>
      </c>
      <c r="AP12" s="1282">
        <f t="shared" si="15"/>
        <v>57</v>
      </c>
      <c r="AQ12" s="1283"/>
      <c r="AR12" s="1284">
        <f t="shared" si="16"/>
        <v>292.60000000000002</v>
      </c>
      <c r="AS12" s="1285"/>
      <c r="AT12" s="345">
        <f t="shared" si="17"/>
        <v>28</v>
      </c>
      <c r="AV12" s="26">
        <f t="shared" si="18"/>
        <v>3</v>
      </c>
      <c r="AW12" s="26">
        <f t="shared" si="19"/>
        <v>2</v>
      </c>
      <c r="AX12" s="26">
        <f t="shared" si="20"/>
        <v>21</v>
      </c>
      <c r="AY12" s="27">
        <f t="shared" si="21"/>
        <v>19</v>
      </c>
      <c r="AZ12" s="26">
        <f t="shared" si="22"/>
        <v>4</v>
      </c>
      <c r="BA12" s="26">
        <f t="shared" si="23"/>
        <v>4</v>
      </c>
      <c r="BB12" s="26">
        <f t="shared" si="24"/>
        <v>4</v>
      </c>
      <c r="BC12" s="28"/>
      <c r="BD12" s="339">
        <f t="shared" si="25"/>
        <v>5.1339285714285712</v>
      </c>
      <c r="BE12" s="340">
        <f t="shared" si="26"/>
        <v>292.63392857142856</v>
      </c>
      <c r="BF12" s="341">
        <f t="shared" si="27"/>
        <v>97.544642857142847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8</v>
      </c>
      <c r="D13" s="342">
        <v>13</v>
      </c>
      <c r="E13" s="30">
        <v>0</v>
      </c>
      <c r="F13" s="31">
        <f t="shared" si="1"/>
        <v>5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-3</v>
      </c>
      <c r="M13" s="891">
        <v>7</v>
      </c>
      <c r="N13" s="342">
        <v>18</v>
      </c>
      <c r="O13" s="30">
        <v>1</v>
      </c>
      <c r="P13" s="31">
        <f t="shared" si="5"/>
        <v>10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2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911"/>
      <c r="AO13" s="40">
        <f t="shared" si="14"/>
        <v>0</v>
      </c>
      <c r="AP13" s="1282">
        <f t="shared" si="15"/>
        <v>1</v>
      </c>
      <c r="AQ13" s="1283"/>
      <c r="AR13" s="1284">
        <f t="shared" si="16"/>
        <v>5.0999999999999996</v>
      </c>
      <c r="AS13" s="1285"/>
      <c r="AT13" s="345">
        <f t="shared" si="17"/>
        <v>20</v>
      </c>
      <c r="AV13" s="26">
        <f t="shared" si="18"/>
        <v>-3</v>
      </c>
      <c r="AW13" s="26">
        <f t="shared" si="19"/>
        <v>2</v>
      </c>
      <c r="AX13" s="26">
        <f t="shared" si="20"/>
        <v>0</v>
      </c>
      <c r="AY13" s="27">
        <f t="shared" si="21"/>
        <v>0</v>
      </c>
      <c r="AZ13" s="26">
        <f t="shared" si="22"/>
        <v>0</v>
      </c>
      <c r="BA13" s="26">
        <f t="shared" si="23"/>
        <v>1</v>
      </c>
      <c r="BB13" s="26">
        <f t="shared" si="24"/>
        <v>1</v>
      </c>
      <c r="BC13" s="28"/>
      <c r="BD13" s="339">
        <f t="shared" si="25"/>
        <v>5.1339285714285712</v>
      </c>
      <c r="BE13" s="340">
        <f t="shared" si="26"/>
        <v>5.1339285714285712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19</v>
      </c>
      <c r="E14" s="42">
        <v>1</v>
      </c>
      <c r="F14" s="44">
        <f t="shared" si="1"/>
        <v>11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3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2</v>
      </c>
      <c r="W14" s="347">
        <v>7</v>
      </c>
      <c r="X14" s="346">
        <v>24</v>
      </c>
      <c r="Y14" s="42">
        <v>2</v>
      </c>
      <c r="Z14" s="44">
        <f t="shared" si="9"/>
        <v>15</v>
      </c>
      <c r="AA14" s="344">
        <v>0</v>
      </c>
      <c r="AB14" s="344">
        <v>7</v>
      </c>
      <c r="AC14" s="36">
        <f t="shared" si="10"/>
        <v>7</v>
      </c>
      <c r="AD14" s="42">
        <v>8</v>
      </c>
      <c r="AE14" s="45">
        <f t="shared" si="11"/>
        <v>1</v>
      </c>
      <c r="AF14" s="20">
        <f>IF(W14&gt;0,IF(AE$5&gt;0,(Z14+AC14)*2,(Z14+AC14-8)),0)*IF(Z14&lt;9,IF(AE$5&gt;0,1,2),1)+IF(Z14&gt;8,AC14,0)</f>
        <v>21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38</v>
      </c>
      <c r="AQ14" s="1283"/>
      <c r="AR14" s="1284">
        <f t="shared" si="16"/>
        <v>158.30000000000001</v>
      </c>
      <c r="AS14" s="1285"/>
      <c r="AT14" s="345">
        <f t="shared" si="17"/>
        <v>24</v>
      </c>
      <c r="AV14" s="26">
        <f t="shared" si="18"/>
        <v>3</v>
      </c>
      <c r="AW14" s="26">
        <f t="shared" si="19"/>
        <v>2</v>
      </c>
      <c r="AX14" s="26">
        <f t="shared" si="20"/>
        <v>21</v>
      </c>
      <c r="AY14" s="27">
        <f t="shared" si="21"/>
        <v>0</v>
      </c>
      <c r="AZ14" s="26">
        <f t="shared" si="22"/>
        <v>4</v>
      </c>
      <c r="BA14" s="26">
        <f t="shared" si="23"/>
        <v>4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158.33378571428571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9</v>
      </c>
      <c r="D15" s="342">
        <v>19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891">
        <v>7</v>
      </c>
      <c r="N15" s="342">
        <v>18</v>
      </c>
      <c r="O15" s="30">
        <v>1</v>
      </c>
      <c r="P15" s="31">
        <f t="shared" si="5"/>
        <v>10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2</v>
      </c>
      <c r="W15" s="342">
        <v>7</v>
      </c>
      <c r="X15" s="342">
        <v>16</v>
      </c>
      <c r="Y15" s="30">
        <v>1</v>
      </c>
      <c r="Z15" s="31">
        <f t="shared" si="9"/>
        <v>8</v>
      </c>
      <c r="AA15" s="346"/>
      <c r="AB15" s="53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9</v>
      </c>
      <c r="AQ15" s="1295"/>
      <c r="AR15" s="1284">
        <f t="shared" si="16"/>
        <v>46.2</v>
      </c>
      <c r="AS15" s="1285"/>
      <c r="AT15" s="345">
        <f t="shared" si="17"/>
        <v>24</v>
      </c>
      <c r="AV15" s="26">
        <f t="shared" si="18"/>
        <v>1</v>
      </c>
      <c r="AW15" s="26">
        <f t="shared" si="19"/>
        <v>2</v>
      </c>
      <c r="AX15" s="26">
        <f t="shared" si="20"/>
        <v>0</v>
      </c>
      <c r="AY15" s="27">
        <f t="shared" si="21"/>
        <v>0</v>
      </c>
      <c r="AZ15" s="26">
        <f t="shared" si="22"/>
        <v>2</v>
      </c>
      <c r="BA15" s="26">
        <f t="shared" si="23"/>
        <v>2</v>
      </c>
      <c r="BB15" s="26">
        <f t="shared" si="24"/>
        <v>2</v>
      </c>
      <c r="BC15" s="28"/>
      <c r="BD15" s="339">
        <f t="shared" si="25"/>
        <v>5.1339285714285712</v>
      </c>
      <c r="BE15" s="349">
        <f t="shared" si="26"/>
        <v>46.205357142857139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8</v>
      </c>
      <c r="X16" s="346">
        <v>14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17</v>
      </c>
      <c r="Y18" s="30">
        <v>1</v>
      </c>
      <c r="Z18" s="31">
        <f>+X18-W18-Y18</f>
        <v>9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1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10</v>
      </c>
      <c r="AQ18" s="1283"/>
      <c r="AR18" s="1284">
        <f t="shared" si="16"/>
        <v>38.799999999999997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1</v>
      </c>
      <c r="AY18" s="27">
        <f t="shared" si="21"/>
        <v>0</v>
      </c>
      <c r="AZ18" s="26">
        <f t="shared" si="22"/>
        <v>2</v>
      </c>
      <c r="BA18" s="26">
        <f t="shared" si="23"/>
        <v>1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38.750035714285715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892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18</v>
      </c>
      <c r="E21" s="459">
        <v>1</v>
      </c>
      <c r="F21" s="460">
        <f>+D21-C21-E21</f>
        <v>10</v>
      </c>
      <c r="G21" s="459"/>
      <c r="H21" s="459"/>
      <c r="I21" s="460">
        <f>+H21-G21</f>
        <v>0</v>
      </c>
      <c r="J21" s="459"/>
      <c r="K21" s="32">
        <f t="shared" si="3"/>
        <v>8</v>
      </c>
      <c r="L21" s="461">
        <f>IF(C21&gt;0,(F21+I21)+IF(K$5&gt;0,F21,-8),0)+IF(U$5&gt;0,I21,0)</f>
        <v>2</v>
      </c>
      <c r="M21" s="893">
        <v>7</v>
      </c>
      <c r="N21" s="459">
        <v>19</v>
      </c>
      <c r="O21" s="459">
        <v>1</v>
      </c>
      <c r="P21" s="460">
        <f>+N21-M21-O21</f>
        <v>11</v>
      </c>
      <c r="Q21" s="459"/>
      <c r="R21" s="459"/>
      <c r="S21" s="460">
        <f>+R21-Q21</f>
        <v>0</v>
      </c>
      <c r="T21" s="459"/>
      <c r="U21" s="32">
        <f t="shared" si="7"/>
        <v>8</v>
      </c>
      <c r="V21" s="461">
        <f>IF(M21&gt;0,(P21+S21)+IF(U$5&gt;0,P21,-8),0)+IF(AE$5&gt;0,S21,0)</f>
        <v>3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2</v>
      </c>
      <c r="AG21" s="459">
        <v>7</v>
      </c>
      <c r="AH21" s="459">
        <v>18</v>
      </c>
      <c r="AI21" s="459">
        <v>1</v>
      </c>
      <c r="AJ21" s="38">
        <f>+AH21-AG21-AI21</f>
        <v>10</v>
      </c>
      <c r="AK21" s="459">
        <v>-3</v>
      </c>
      <c r="AL21" s="459">
        <v>7</v>
      </c>
      <c r="AM21" s="460">
        <f>+AL21-AK21</f>
        <v>10</v>
      </c>
      <c r="AN21" s="725"/>
      <c r="AO21" s="465">
        <f>(AJ21*2+AM21)</f>
        <v>30</v>
      </c>
      <c r="AP21" s="1290">
        <f t="shared" si="15"/>
        <v>43</v>
      </c>
      <c r="AQ21" s="1291"/>
      <c r="AR21" s="1292">
        <f>ROUND(BD21*AP21,1)</f>
        <v>166.6</v>
      </c>
      <c r="AS21" s="1293"/>
      <c r="AT21" s="488">
        <f t="shared" si="17"/>
        <v>28</v>
      </c>
      <c r="AV21" s="69">
        <f>+L21</f>
        <v>2</v>
      </c>
      <c r="AW21" s="69">
        <f>+V21</f>
        <v>3</v>
      </c>
      <c r="AX21" s="69">
        <f>+AF21</f>
        <v>2</v>
      </c>
      <c r="AY21" s="70">
        <f>+AO21</f>
        <v>30</v>
      </c>
      <c r="AZ21" s="69">
        <f>+L42</f>
        <v>2</v>
      </c>
      <c r="BA21" s="69">
        <f>+V42</f>
        <v>2</v>
      </c>
      <c r="BB21" s="69">
        <f>+AF42</f>
        <v>2</v>
      </c>
      <c r="BC21" s="28"/>
      <c r="BD21" s="339">
        <f>+I82</f>
        <v>3.875</v>
      </c>
      <c r="BE21" s="351">
        <f>+BD21*AP21</f>
        <v>166.625</v>
      </c>
      <c r="BF21" s="352">
        <f>+BD21*AY21</f>
        <v>116.25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3"/>
        <v>8</v>
      </c>
      <c r="L22" s="461">
        <f>IF(C22&gt;0,(F22+I22)+IF(K$5&gt;0,F22,-8),0)+IF(U$5&gt;0,I22,0)</f>
        <v>2</v>
      </c>
      <c r="M22" s="893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si="7"/>
        <v>8</v>
      </c>
      <c r="V22" s="461">
        <f>IF(M22&gt;0,(P22+S22)+IF(U$5&gt;0,P22,-8),0)+IF(AE$5&gt;0,S22,0)</f>
        <v>2</v>
      </c>
      <c r="W22" s="459">
        <v>7</v>
      </c>
      <c r="X22" s="459">
        <v>16</v>
      </c>
      <c r="Y22" s="459">
        <v>1</v>
      </c>
      <c r="Z22" s="460">
        <f>+X22-W22-Y22</f>
        <v>8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0</v>
      </c>
      <c r="AG22" s="459">
        <v>7</v>
      </c>
      <c r="AH22" s="459">
        <v>18</v>
      </c>
      <c r="AI22" s="459">
        <v>1</v>
      </c>
      <c r="AJ22" s="38">
        <f>+AH22-AG22-AI22</f>
        <v>10</v>
      </c>
      <c r="AK22" s="459"/>
      <c r="AL22" s="459"/>
      <c r="AM22" s="460">
        <f>+AL22-AK22</f>
        <v>0</v>
      </c>
      <c r="AN22" s="725"/>
      <c r="AO22" s="465">
        <f>(AJ22*2+AM22)</f>
        <v>20</v>
      </c>
      <c r="AP22" s="1270">
        <f t="shared" si="15"/>
        <v>30</v>
      </c>
      <c r="AQ22" s="1271"/>
      <c r="AR22" s="1272">
        <f>ROUND(BD22*AP22,1)</f>
        <v>116.3</v>
      </c>
      <c r="AS22" s="1273"/>
      <c r="AT22" s="359">
        <f t="shared" si="17"/>
        <v>28</v>
      </c>
      <c r="AV22" s="69">
        <f>+L22</f>
        <v>2</v>
      </c>
      <c r="AW22" s="69">
        <f>+V22</f>
        <v>2</v>
      </c>
      <c r="AX22" s="69">
        <f>+AF22</f>
        <v>0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54"/>
      <c r="BD22" s="339">
        <f>+I83</f>
        <v>3.875</v>
      </c>
      <c r="BE22" s="351">
        <f>+BD22*AP22</f>
        <v>116.25</v>
      </c>
      <c r="BF22" s="352">
        <f>+BD22*AY22</f>
        <v>77.5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19</v>
      </c>
      <c r="O23" s="87">
        <v>1</v>
      </c>
      <c r="P23" s="88">
        <f>+N23-M23-O23</f>
        <v>11</v>
      </c>
      <c r="Q23" s="87"/>
      <c r="R23" s="87"/>
      <c r="S23" s="88">
        <f>+R23-Q23</f>
        <v>0</v>
      </c>
      <c r="T23" s="87"/>
      <c r="U23" s="121">
        <f>+S23+P23-V23</f>
        <v>8</v>
      </c>
      <c r="V23" s="89">
        <f>IF(M23&gt;0,(P23+S23)+IF(U$5&gt;0,P23,-8),0)+IF(AE$5&gt;0,S23,0)</f>
        <v>3</v>
      </c>
      <c r="W23" s="87">
        <v>7</v>
      </c>
      <c r="X23" s="87">
        <v>17</v>
      </c>
      <c r="Y23" s="87">
        <v>1</v>
      </c>
      <c r="Z23" s="88">
        <f>+X23-W23-Y23</f>
        <v>9</v>
      </c>
      <c r="AA23" s="87"/>
      <c r="AB23" s="91"/>
      <c r="AC23" s="88">
        <f>+AB23-AA23</f>
        <v>0</v>
      </c>
      <c r="AD23" s="87"/>
      <c r="AE23" s="121">
        <f>+AC23+Z23-IF(AE$5&gt;0,AF23/2,AF23)</f>
        <v>8</v>
      </c>
      <c r="AF23" s="89">
        <f t="shared" si="28"/>
        <v>1</v>
      </c>
      <c r="AG23" s="87">
        <v>7</v>
      </c>
      <c r="AH23" s="87">
        <v>18</v>
      </c>
      <c r="AI23" s="87">
        <v>1</v>
      </c>
      <c r="AJ23" s="829">
        <f t="shared" si="12"/>
        <v>10</v>
      </c>
      <c r="AK23" s="87"/>
      <c r="AL23" s="87"/>
      <c r="AM23" s="88">
        <f>+AL23-AK23</f>
        <v>0</v>
      </c>
      <c r="AN23" s="830"/>
      <c r="AO23" s="94">
        <f>(AJ23*2+AM23)</f>
        <v>20</v>
      </c>
      <c r="AP23" s="1274">
        <f t="shared" si="15"/>
        <v>32</v>
      </c>
      <c r="AQ23" s="1275"/>
      <c r="AR23" s="1276">
        <f>ROUND(BD23*AP23,1)</f>
        <v>124</v>
      </c>
      <c r="AS23" s="1277"/>
      <c r="AT23" s="537">
        <f t="shared" si="17"/>
        <v>28</v>
      </c>
      <c r="AU23" s="55"/>
      <c r="AV23" s="538">
        <f>+L23</f>
        <v>2</v>
      </c>
      <c r="AW23" s="538">
        <f>+V23</f>
        <v>3</v>
      </c>
      <c r="AX23" s="538">
        <f>+AF23</f>
        <v>1</v>
      </c>
      <c r="AY23" s="538">
        <f>+AO23</f>
        <v>20</v>
      </c>
      <c r="AZ23" s="538">
        <f>+L44</f>
        <v>2</v>
      </c>
      <c r="BA23" s="538">
        <f>+V44</f>
        <v>2</v>
      </c>
      <c r="BB23" s="538">
        <f>+AF44</f>
        <v>2</v>
      </c>
      <c r="BC23" s="28"/>
      <c r="BD23" s="539">
        <f>+I81</f>
        <v>3.875</v>
      </c>
      <c r="BE23" s="539">
        <f>+BD23*AP23</f>
        <v>124</v>
      </c>
      <c r="BF23" s="539">
        <f>+BD23*AY23</f>
        <v>77.5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1007.035607142857</v>
      </c>
      <c r="BF25" s="1242">
        <f>SUM(BF11:BF24)</f>
        <v>432.44464285714287</v>
      </c>
    </row>
    <row r="26" spans="1:58" ht="10.9" customHeight="1">
      <c r="B26" s="1244" t="s">
        <v>1</v>
      </c>
      <c r="C26" s="1140">
        <f>1+AG5</f>
        <v>43290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43291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43292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43286</v>
      </c>
      <c r="AJ26" s="1218">
        <f t="shared" ref="AJ26:AO26" si="29">1+AI26</f>
        <v>43287</v>
      </c>
      <c r="AK26" s="1218">
        <f t="shared" si="29"/>
        <v>43288</v>
      </c>
      <c r="AL26" s="1219">
        <f t="shared" si="29"/>
        <v>43289</v>
      </c>
      <c r="AM26" s="1219">
        <f t="shared" si="29"/>
        <v>43290</v>
      </c>
      <c r="AN26" s="1220">
        <f t="shared" si="29"/>
        <v>43291</v>
      </c>
      <c r="AO26" s="1220">
        <f t="shared" si="29"/>
        <v>43292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43289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233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130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>IF(M32&gt;0,(P32+S32)+IF(U$26&gt;0,P32,-8),0)+IF(AE$26&gt;0,S32,0)</f>
        <v>0</v>
      </c>
      <c r="W32" s="369">
        <v>7</v>
      </c>
      <c r="X32" s="370">
        <v>16</v>
      </c>
      <c r="Y32" s="108">
        <v>1</v>
      </c>
      <c r="Z32" s="109">
        <f t="shared" ref="Z32:Z45" si="37">+X32-W32-Y32</f>
        <v>8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8</v>
      </c>
      <c r="AF32" s="20">
        <f>IF(W32&gt;0,(Z32+AC32)+IF(AE$26&gt;0,Z32,-8),0)+IF(AO$26&gt;0,AC32,0)</f>
        <v>0</v>
      </c>
      <c r="AG32" s="55"/>
      <c r="AH32" s="112">
        <v>0</v>
      </c>
      <c r="AI32" s="113">
        <f t="shared" ref="AI32:AI45" si="40">+K11+(IF(ISBLANK($K$5),-8,0))</f>
        <v>0</v>
      </c>
      <c r="AJ32" s="113">
        <f t="shared" ref="AJ32:AJ45" si="41">IF(ISBLANK($U$5),-8,0)+U11</f>
        <v>-8</v>
      </c>
      <c r="AK32" s="113">
        <f>IF(ISBLANK($AE$5),-8,0)+AE11</f>
        <v>0.5</v>
      </c>
      <c r="AL32" s="113">
        <f t="shared" ref="AL32:AL45" si="42">IF(ISBLANK($AO$5),-8,0)+AO11+AW32</f>
        <v>0</v>
      </c>
      <c r="AM32" s="113">
        <f t="shared" ref="AM32:AM45" si="43">IF(ISBLANK($K$26),-8,0)+K32</f>
        <v>0</v>
      </c>
      <c r="AN32" s="113">
        <f t="shared" ref="AN32:AN45" si="44">IF(ISBLANK($U$26),-8,0)+U32</f>
        <v>0</v>
      </c>
      <c r="AO32" s="113">
        <f t="shared" ref="AO32:AO45" si="45">IF(ISBLANK($AE$26),-8,0)+AE32</f>
        <v>0</v>
      </c>
      <c r="AP32" s="114">
        <f t="shared" ref="AP32:AP45" si="46">SUM(AH32:AO32)</f>
        <v>-7.5</v>
      </c>
      <c r="AQ32" s="55"/>
      <c r="AR32" s="1159">
        <f t="shared" ref="AR32:AR40" si="47">+X71*Q71</f>
        <v>0</v>
      </c>
      <c r="AS32" s="1197"/>
      <c r="AT32" s="117">
        <f t="shared" ref="AT32:AT41" si="48">IF(K11+L11&gt;0,1,0)+IF(U11+V11&gt;0,1,0)+IF(AE11+AF11&gt;0,1,0)+IF(AO11&gt;3,1,0)+IF(K32+L32&gt;0,1,0)+IF(U32+V32&gt;0,1,0)+IF(AE32+AF32&gt;0,1,0)</f>
        <v>6</v>
      </c>
      <c r="AU32" s="55"/>
      <c r="AV32" s="55"/>
      <c r="AW32" s="1134">
        <v>-14</v>
      </c>
      <c r="AX32" s="1135"/>
      <c r="BD32" s="115"/>
    </row>
    <row r="33" spans="1:56" ht="14.1" customHeight="1">
      <c r="B33" s="29" t="str">
        <f t="shared" si="30"/>
        <v>Cesar Mendez M.</v>
      </c>
      <c r="C33" s="334">
        <v>18</v>
      </c>
      <c r="D33" s="342">
        <v>24</v>
      </c>
      <c r="E33" s="30">
        <v>1</v>
      </c>
      <c r="F33" s="31">
        <f t="shared" si="31"/>
        <v>5</v>
      </c>
      <c r="G33" s="33">
        <v>0</v>
      </c>
      <c r="H33" s="346">
        <v>7</v>
      </c>
      <c r="I33" s="31">
        <f t="shared" si="32"/>
        <v>7</v>
      </c>
      <c r="J33" s="30">
        <v>8</v>
      </c>
      <c r="K33" s="32">
        <f t="shared" si="33"/>
        <v>8</v>
      </c>
      <c r="L33" s="20">
        <f>IF(C33&gt;0,(F33+I33)+IF(K$26&gt;0,F33,-8),0)+IF(U$26&gt;0,I33,0)</f>
        <v>4</v>
      </c>
      <c r="M33" s="342">
        <v>18</v>
      </c>
      <c r="N33" s="342">
        <v>24</v>
      </c>
      <c r="O33" s="30">
        <v>1</v>
      </c>
      <c r="P33" s="31">
        <f t="shared" si="34"/>
        <v>5</v>
      </c>
      <c r="Q33" s="346">
        <v>0</v>
      </c>
      <c r="R33" s="346">
        <v>7</v>
      </c>
      <c r="S33" s="31">
        <f t="shared" si="35"/>
        <v>7</v>
      </c>
      <c r="T33" s="30">
        <v>8</v>
      </c>
      <c r="U33" s="32">
        <f t="shared" si="36"/>
        <v>8</v>
      </c>
      <c r="V33" s="20">
        <f>IF(M33&gt;0,(P33+S33)+IF(U$26&gt;0,P33,-8),0)+IF(AE$26&gt;0,S33,0)</f>
        <v>4</v>
      </c>
      <c r="W33" s="334">
        <v>18</v>
      </c>
      <c r="X33" s="342">
        <v>24</v>
      </c>
      <c r="Y33" s="30">
        <v>1</v>
      </c>
      <c r="Z33" s="31">
        <f t="shared" si="37"/>
        <v>5</v>
      </c>
      <c r="AA33" s="342">
        <v>0</v>
      </c>
      <c r="AB33" s="346">
        <v>7</v>
      </c>
      <c r="AC33" s="31">
        <f t="shared" si="38"/>
        <v>7</v>
      </c>
      <c r="AD33" s="30">
        <v>8</v>
      </c>
      <c r="AE33" s="32">
        <f t="shared" si="39"/>
        <v>8</v>
      </c>
      <c r="AF33" s="20">
        <f t="shared" ref="AF33:AF45" si="49">IF(W33&gt;0,(Z33+AC33)+IF(AE$26&gt;0,0+Z33,-8),0)</f>
        <v>4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-7</v>
      </c>
      <c r="AL33" s="113">
        <f t="shared" si="42"/>
        <v>0</v>
      </c>
      <c r="AM33" s="113">
        <f t="shared" si="43"/>
        <v>0</v>
      </c>
      <c r="AN33" s="113">
        <f t="shared" si="44"/>
        <v>0</v>
      </c>
      <c r="AO33" s="113">
        <f t="shared" si="45"/>
        <v>0</v>
      </c>
      <c r="AP33" s="114">
        <f t="shared" si="46"/>
        <v>-7</v>
      </c>
      <c r="AQ33" s="55"/>
      <c r="AR33" s="1159">
        <f t="shared" si="47"/>
        <v>3.1142857142857281</v>
      </c>
      <c r="AS33" s="1160"/>
      <c r="AT33" s="117">
        <f t="shared" si="48"/>
        <v>7</v>
      </c>
      <c r="AU33" s="55"/>
      <c r="AV33" s="55"/>
      <c r="AW33" s="1134">
        <v>-19</v>
      </c>
      <c r="AX33" s="1135"/>
    </row>
    <row r="34" spans="1:56" ht="14.1" customHeight="1">
      <c r="B34" s="29" t="str">
        <f t="shared" si="30"/>
        <v>Miguel Tejada Ll.</v>
      </c>
      <c r="C34" s="334"/>
      <c r="D34" s="342"/>
      <c r="E34" s="30"/>
      <c r="F34" s="31">
        <f t="shared" si="31"/>
        <v>0</v>
      </c>
      <c r="G34" s="346"/>
      <c r="H34" s="346"/>
      <c r="I34" s="31">
        <f t="shared" si="32"/>
        <v>0</v>
      </c>
      <c r="J34" s="30"/>
      <c r="K34" s="32">
        <f t="shared" si="33"/>
        <v>0</v>
      </c>
      <c r="L34" s="20">
        <f t="shared" ref="L34:L45" si="50">IF(C34&gt;0,(F34+I34)+IF(K$26&gt;0,F34,-8),0)+IF(U$26&gt;0,I34,0)</f>
        <v>0</v>
      </c>
      <c r="M34" s="334">
        <v>7</v>
      </c>
      <c r="N34" s="342">
        <v>17</v>
      </c>
      <c r="O34" s="30">
        <v>1</v>
      </c>
      <c r="P34" s="31">
        <f t="shared" si="34"/>
        <v>9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ref="V34:V45" si="51">IF(M34&gt;0,(P34+S34)+IF(U$26&gt;0,P34,-8),0)+IF(AE$26&gt;0,S34,0)</f>
        <v>1</v>
      </c>
      <c r="W34" s="334">
        <v>7</v>
      </c>
      <c r="X34" s="342">
        <v>17</v>
      </c>
      <c r="Y34" s="30">
        <v>1</v>
      </c>
      <c r="Z34" s="31">
        <f t="shared" si="37"/>
        <v>9</v>
      </c>
      <c r="AA34" s="342"/>
      <c r="AB34" s="116"/>
      <c r="AC34" s="31">
        <f t="shared" si="38"/>
        <v>0</v>
      </c>
      <c r="AD34" s="30"/>
      <c r="AE34" s="32">
        <f t="shared" si="39"/>
        <v>8</v>
      </c>
      <c r="AF34" s="20">
        <f t="shared" si="49"/>
        <v>1</v>
      </c>
      <c r="AG34" s="55"/>
      <c r="AH34" s="112">
        <v>0</v>
      </c>
      <c r="AI34" s="113">
        <f t="shared" si="40"/>
        <v>0</v>
      </c>
      <c r="AJ34" s="113">
        <f t="shared" si="41"/>
        <v>0</v>
      </c>
      <c r="AK34" s="113">
        <f>IF(ISBLANK($AE$5),-8,0)+AE13</f>
        <v>0</v>
      </c>
      <c r="AL34" s="113">
        <f t="shared" si="42"/>
        <v>0</v>
      </c>
      <c r="AM34" s="113">
        <f t="shared" si="43"/>
        <v>-8</v>
      </c>
      <c r="AN34" s="113">
        <f t="shared" si="44"/>
        <v>0</v>
      </c>
      <c r="AO34" s="113">
        <f t="shared" si="45"/>
        <v>0</v>
      </c>
      <c r="AP34" s="114">
        <f t="shared" si="46"/>
        <v>-8</v>
      </c>
      <c r="AQ34" s="55"/>
      <c r="AR34" s="1159">
        <f t="shared" si="47"/>
        <v>0</v>
      </c>
      <c r="AS34" s="1160"/>
      <c r="AT34" s="118">
        <f t="shared" si="48"/>
        <v>5</v>
      </c>
      <c r="AU34" s="55"/>
      <c r="AV34" s="55"/>
      <c r="AW34" s="1134"/>
      <c r="AX34" s="1135"/>
    </row>
    <row r="35" spans="1:56" ht="14.1" customHeight="1">
      <c r="B35" s="29" t="str">
        <f t="shared" si="30"/>
        <v>Alejandro Dueñas</v>
      </c>
      <c r="C35" s="372">
        <v>18</v>
      </c>
      <c r="D35" s="348">
        <v>24</v>
      </c>
      <c r="E35" s="119">
        <v>1</v>
      </c>
      <c r="F35" s="120">
        <f t="shared" si="31"/>
        <v>5</v>
      </c>
      <c r="G35" s="346">
        <v>0</v>
      </c>
      <c r="H35" s="346">
        <v>7</v>
      </c>
      <c r="I35" s="120">
        <f t="shared" si="32"/>
        <v>7</v>
      </c>
      <c r="J35" s="119">
        <v>8</v>
      </c>
      <c r="K35" s="121">
        <f t="shared" si="33"/>
        <v>8</v>
      </c>
      <c r="L35" s="20">
        <f t="shared" si="50"/>
        <v>4</v>
      </c>
      <c r="M35" s="342">
        <v>18</v>
      </c>
      <c r="N35" s="342">
        <v>24</v>
      </c>
      <c r="O35" s="30">
        <v>1</v>
      </c>
      <c r="P35" s="31">
        <f t="shared" si="34"/>
        <v>5</v>
      </c>
      <c r="Q35" s="346">
        <v>0</v>
      </c>
      <c r="R35" s="346">
        <v>7</v>
      </c>
      <c r="S35" s="120">
        <f t="shared" si="35"/>
        <v>7</v>
      </c>
      <c r="T35" s="30">
        <v>8</v>
      </c>
      <c r="U35" s="32">
        <f t="shared" si="36"/>
        <v>8</v>
      </c>
      <c r="V35" s="20">
        <f t="shared" si="51"/>
        <v>4</v>
      </c>
      <c r="W35" s="334">
        <v>18</v>
      </c>
      <c r="X35" s="342">
        <v>24</v>
      </c>
      <c r="Y35" s="30">
        <v>1</v>
      </c>
      <c r="Z35" s="31">
        <f t="shared" si="37"/>
        <v>5</v>
      </c>
      <c r="AA35" s="342">
        <v>0</v>
      </c>
      <c r="AB35" s="342">
        <v>7</v>
      </c>
      <c r="AC35" s="31">
        <f t="shared" si="38"/>
        <v>7</v>
      </c>
      <c r="AD35" s="30">
        <v>8</v>
      </c>
      <c r="AE35" s="32">
        <f t="shared" si="39"/>
        <v>8</v>
      </c>
      <c r="AF35" s="20">
        <f t="shared" si="49"/>
        <v>4</v>
      </c>
      <c r="AG35" s="55"/>
      <c r="AH35" s="112">
        <v>0</v>
      </c>
      <c r="AI35" s="113">
        <f t="shared" si="40"/>
        <v>0</v>
      </c>
      <c r="AJ35" s="113">
        <f t="shared" si="41"/>
        <v>0</v>
      </c>
      <c r="AK35" s="113">
        <f>IF(ISBLANK($AE$5),-8,0)+AE14</f>
        <v>-7</v>
      </c>
      <c r="AL35" s="113">
        <f t="shared" si="42"/>
        <v>0</v>
      </c>
      <c r="AM35" s="113">
        <f t="shared" si="43"/>
        <v>0</v>
      </c>
      <c r="AN35" s="113">
        <f t="shared" si="44"/>
        <v>0</v>
      </c>
      <c r="AO35" s="113">
        <f t="shared" si="45"/>
        <v>0</v>
      </c>
      <c r="AP35" s="114">
        <f t="shared" si="46"/>
        <v>-7</v>
      </c>
      <c r="AQ35" s="55"/>
      <c r="AR35" s="1159">
        <f t="shared" si="47"/>
        <v>34.066285714285726</v>
      </c>
      <c r="AS35" s="1160"/>
      <c r="AT35" s="118">
        <f t="shared" si="48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7</v>
      </c>
      <c r="D36" s="342">
        <v>18</v>
      </c>
      <c r="E36" s="30">
        <v>1</v>
      </c>
      <c r="F36" s="31">
        <f t="shared" si="31"/>
        <v>10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2</v>
      </c>
      <c r="M36" s="342">
        <v>7</v>
      </c>
      <c r="N36" s="342">
        <v>18</v>
      </c>
      <c r="O36" s="30">
        <v>1</v>
      </c>
      <c r="P36" s="31">
        <f t="shared" si="34"/>
        <v>10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51"/>
        <v>2</v>
      </c>
      <c r="W36" s="334">
        <v>7</v>
      </c>
      <c r="X36" s="342">
        <v>18</v>
      </c>
      <c r="Y36" s="30">
        <v>1</v>
      </c>
      <c r="Z36" s="31">
        <f t="shared" si="37"/>
        <v>10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9"/>
        <v>2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</v>
      </c>
      <c r="AL36" s="113">
        <f t="shared" si="42"/>
        <v>0</v>
      </c>
      <c r="AM36" s="113">
        <f t="shared" si="43"/>
        <v>0</v>
      </c>
      <c r="AN36" s="113">
        <f t="shared" si="44"/>
        <v>0</v>
      </c>
      <c r="AO36" s="113">
        <f t="shared" si="45"/>
        <v>0</v>
      </c>
      <c r="AP36" s="114">
        <f t="shared" si="46"/>
        <v>0</v>
      </c>
      <c r="AQ36" s="55"/>
      <c r="AR36" s="1159">
        <f t="shared" si="47"/>
        <v>0</v>
      </c>
      <c r="AS36" s="1160"/>
      <c r="AT36" s="118">
        <f t="shared" si="48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0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1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9"/>
        <v>0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7"/>
        <v>0</v>
      </c>
      <c r="AS37" s="1160"/>
      <c r="AT37" s="118">
        <f t="shared" si="48"/>
        <v>6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-8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-48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2</v>
      </c>
      <c r="M39" s="342">
        <v>8</v>
      </c>
      <c r="N39" s="342">
        <v>18</v>
      </c>
      <c r="O39" s="30">
        <v>1</v>
      </c>
      <c r="P39" s="31">
        <f t="shared" si="34"/>
        <v>9</v>
      </c>
      <c r="Q39" s="346"/>
      <c r="R39" s="346"/>
      <c r="S39" s="31">
        <f t="shared" si="35"/>
        <v>0</v>
      </c>
      <c r="T39" s="30"/>
      <c r="U39" s="32">
        <f t="shared" si="36"/>
        <v>8</v>
      </c>
      <c r="V39" s="20">
        <f t="shared" si="51"/>
        <v>1</v>
      </c>
      <c r="W39" s="334">
        <v>7</v>
      </c>
      <c r="X39" s="342">
        <v>18</v>
      </c>
      <c r="Y39" s="30">
        <v>1</v>
      </c>
      <c r="Z39" s="31">
        <f t="shared" si="37"/>
        <v>10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9"/>
        <v>2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</v>
      </c>
      <c r="AL39" s="113">
        <f t="shared" si="42"/>
        <v>0</v>
      </c>
      <c r="AM39" s="125">
        <f t="shared" si="43"/>
        <v>0</v>
      </c>
      <c r="AN39" s="125">
        <f t="shared" si="44"/>
        <v>0</v>
      </c>
      <c r="AO39" s="125">
        <f t="shared" si="45"/>
        <v>0</v>
      </c>
      <c r="AP39" s="114">
        <f t="shared" si="46"/>
        <v>0</v>
      </c>
      <c r="AQ39" s="55"/>
      <c r="AR39" s="1159">
        <f t="shared" si="47"/>
        <v>0</v>
      </c>
      <c r="AS39" s="1160"/>
      <c r="AT39" s="118">
        <f t="shared" si="48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-8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-48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-8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-48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18</v>
      </c>
      <c r="Y42" s="719">
        <v>1</v>
      </c>
      <c r="Z42" s="720">
        <f>+X42-W42-Y42</f>
        <v>10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2</v>
      </c>
      <c r="AG42" s="55"/>
      <c r="AH42" s="143">
        <v>0</v>
      </c>
      <c r="AI42" s="144">
        <f t="shared" si="40"/>
        <v>0</v>
      </c>
      <c r="AJ42" s="144">
        <f t="shared" si="41"/>
        <v>0</v>
      </c>
      <c r="AK42" s="144">
        <f t="shared" si="52"/>
        <v>0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0</v>
      </c>
      <c r="AQ42" s="55"/>
      <c r="AR42" s="1159">
        <f>+X82*Q82</f>
        <v>0</v>
      </c>
      <c r="AS42" s="1160"/>
      <c r="AT42" s="934">
        <f>IF(K21+L21&gt;0,1,0)+IF(U21+V21&gt;0,1,0)+IF(AE21+AF21&gt;0,1,0)+IF(AO21&gt;3,1,0)+IF(K42+L42&gt;0,1,0)+IF(U42+V42&gt;0,1,0)+IF(AE42+AF42&gt;0,1,0)</f>
        <v>7</v>
      </c>
      <c r="AU42" s="55"/>
      <c r="AV42" s="55"/>
      <c r="AW42" s="1185">
        <v>-30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18</v>
      </c>
      <c r="Y43" s="719">
        <v>1</v>
      </c>
      <c r="Z43" s="720">
        <f>+X43-W43-Y43</f>
        <v>10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2</v>
      </c>
      <c r="AG43" s="55"/>
      <c r="AH43" s="127">
        <v>0</v>
      </c>
      <c r="AI43" s="113">
        <f t="shared" si="40"/>
        <v>0</v>
      </c>
      <c r="AJ43" s="113">
        <f t="shared" si="41"/>
        <v>0</v>
      </c>
      <c r="AK43" s="128">
        <f t="shared" si="52"/>
        <v>0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0</v>
      </c>
      <c r="AQ43" s="55"/>
      <c r="AR43" s="1159"/>
      <c r="AS43" s="1160"/>
      <c r="AT43" s="934">
        <f>IF(K22+L22&gt;0,1,0)+IF(U22+V22&gt;0,1,0)+IF(AE22+AF22&gt;0,1,0)+IF(AO22&gt;3,1,0)+IF(K43+L43&gt;0,1,0)+IF(U43+V43&gt;0,1,0)+IF(AE43+AF43&gt;0,1,0)</f>
        <v>7</v>
      </c>
      <c r="AU43" s="55"/>
      <c r="AV43" s="55"/>
      <c r="AW43" s="1134">
        <v>-20</v>
      </c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2</v>
      </c>
      <c r="M44" s="719">
        <v>7</v>
      </c>
      <c r="N44" s="719">
        <v>18</v>
      </c>
      <c r="O44" s="719">
        <v>1</v>
      </c>
      <c r="P44" s="720">
        <f t="shared" si="34"/>
        <v>10</v>
      </c>
      <c r="Q44" s="721"/>
      <c r="R44" s="721"/>
      <c r="S44" s="720">
        <f t="shared" si="35"/>
        <v>0</v>
      </c>
      <c r="T44" s="719"/>
      <c r="U44" s="32">
        <f t="shared" si="36"/>
        <v>8</v>
      </c>
      <c r="V44" s="722">
        <f t="shared" si="51"/>
        <v>2</v>
      </c>
      <c r="W44" s="723">
        <v>7</v>
      </c>
      <c r="X44" s="719">
        <v>18</v>
      </c>
      <c r="Y44" s="719">
        <v>1</v>
      </c>
      <c r="Z44" s="720">
        <f t="shared" si="37"/>
        <v>10</v>
      </c>
      <c r="AA44" s="719"/>
      <c r="AB44" s="724"/>
      <c r="AC44" s="720">
        <f t="shared" si="38"/>
        <v>0</v>
      </c>
      <c r="AD44" s="719"/>
      <c r="AE44" s="32">
        <f t="shared" si="39"/>
        <v>8</v>
      </c>
      <c r="AF44" s="722">
        <f t="shared" si="49"/>
        <v>2</v>
      </c>
      <c r="AG44" s="55"/>
      <c r="AH44" s="490">
        <v>0</v>
      </c>
      <c r="AI44" s="527">
        <f t="shared" si="40"/>
        <v>0</v>
      </c>
      <c r="AJ44" s="527">
        <f t="shared" si="41"/>
        <v>0</v>
      </c>
      <c r="AK44" s="527">
        <f t="shared" si="52"/>
        <v>0</v>
      </c>
      <c r="AL44" s="527">
        <f t="shared" si="42"/>
        <v>0</v>
      </c>
      <c r="AM44" s="527">
        <f t="shared" si="43"/>
        <v>0</v>
      </c>
      <c r="AN44" s="527">
        <f t="shared" si="44"/>
        <v>0</v>
      </c>
      <c r="AO44" s="527">
        <f t="shared" si="45"/>
        <v>0</v>
      </c>
      <c r="AP44" s="492">
        <f t="shared" si="46"/>
        <v>0</v>
      </c>
      <c r="AQ44" s="55"/>
      <c r="AR44" s="1187">
        <f>+X81*Q81</f>
        <v>0</v>
      </c>
      <c r="AS44" s="1188"/>
      <c r="AT44" s="934">
        <f>IF(K23+L23&gt;0,1,0)+IF(U23+V23&gt;0,1,0)+IF(AE23+AF23&gt;0,1,0)+IF(AO23&gt;3,1,0)+IF(K44+L44&gt;0,1,0)+IF(U44+V44&gt;0,1,0)+IF(AE44+AF44&gt;0,1,0)</f>
        <v>7</v>
      </c>
      <c r="AU44" s="55"/>
      <c r="AV44" s="55"/>
      <c r="AW44" s="1189">
        <v>-20</v>
      </c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-8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233</v>
      </c>
      <c r="AS46" s="1162"/>
      <c r="AT46" s="167">
        <f>SUM(AT32:AT45)</f>
        <v>63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103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43286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43287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43288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43289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43290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43291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43292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908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54.5</v>
      </c>
      <c r="V71" s="239">
        <v>48</v>
      </c>
      <c r="W71" s="240">
        <f t="shared" ref="W71:W86" si="59">+V71-U71</f>
        <v>-6.5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60</v>
      </c>
      <c r="V72" s="239">
        <v>48</v>
      </c>
      <c r="W72" s="240">
        <f t="shared" si="59"/>
        <v>-12</v>
      </c>
      <c r="X72" s="241">
        <f t="shared" si="60"/>
        <v>32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40</v>
      </c>
      <c r="V73" s="239">
        <v>48</v>
      </c>
      <c r="W73" s="240">
        <f t="shared" si="59"/>
        <v>8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41</v>
      </c>
      <c r="V74" s="239">
        <v>48</v>
      </c>
      <c r="W74" s="240">
        <f t="shared" si="59"/>
        <v>7</v>
      </c>
      <c r="X74" s="241">
        <f t="shared" si="60"/>
        <v>32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48</v>
      </c>
      <c r="V75" s="239">
        <v>48</v>
      </c>
      <c r="W75" s="240">
        <f t="shared" si="59"/>
        <v>0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45</v>
      </c>
      <c r="V76" s="239">
        <v>48</v>
      </c>
      <c r="W76" s="240">
        <f>+V76-U76</f>
        <v>3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906"/>
      <c r="AA77" s="906"/>
      <c r="AB77" s="906"/>
      <c r="AC77" s="906"/>
      <c r="AD77" s="906"/>
      <c r="AE77" s="386"/>
      <c r="AF77" s="386"/>
      <c r="AG77" s="905"/>
      <c r="AH77" s="905"/>
      <c r="AI77" s="393"/>
      <c r="AJ77" s="393"/>
      <c r="AK77" s="393"/>
      <c r="AL77" s="393"/>
      <c r="AM77" s="905"/>
      <c r="AN77" s="905"/>
      <c r="AO77" s="905"/>
      <c r="AP77" s="905"/>
      <c r="AQ77" s="905"/>
      <c r="AR77" s="905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908"/>
      <c r="T78" s="908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908"/>
      <c r="Z78" s="906"/>
      <c r="AA78" s="906"/>
      <c r="AB78" s="906"/>
      <c r="AC78" s="906"/>
      <c r="AD78" s="906"/>
      <c r="AE78" s="386"/>
      <c r="AF78" s="386"/>
      <c r="AG78" s="905"/>
      <c r="AH78" s="905"/>
      <c r="AI78" s="393"/>
      <c r="AJ78" s="393"/>
      <c r="AK78" s="393"/>
      <c r="AL78" s="393"/>
      <c r="AM78" s="905"/>
      <c r="AN78" s="905"/>
      <c r="AO78" s="905"/>
      <c r="AP78" s="905"/>
      <c r="AQ78" s="905"/>
      <c r="AR78" s="905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68</v>
      </c>
      <c r="V79" s="239">
        <v>48</v>
      </c>
      <c r="W79" s="240">
        <f>+V79-U79</f>
        <v>-20</v>
      </c>
      <c r="X79" s="241">
        <f t="shared" si="60"/>
        <v>0</v>
      </c>
      <c r="Z79" s="246"/>
      <c r="AA79" s="246"/>
      <c r="AB79" s="906"/>
      <c r="AC79" s="906"/>
      <c r="AD79" s="906"/>
      <c r="AE79" s="386"/>
      <c r="AF79" s="386"/>
      <c r="AG79" s="905"/>
      <c r="AH79" s="905"/>
      <c r="AI79" s="905"/>
      <c r="AJ79" s="905"/>
      <c r="AK79" s="905"/>
      <c r="AL79" s="905"/>
      <c r="AM79" s="905"/>
      <c r="AN79" s="905"/>
      <c r="AO79" s="905"/>
      <c r="AP79" s="905"/>
      <c r="AQ79" s="905"/>
      <c r="AR79" s="905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906"/>
      <c r="AC80" s="906"/>
      <c r="AD80" s="906"/>
      <c r="AE80" s="386"/>
      <c r="AF80" s="386"/>
      <c r="AG80" s="905"/>
      <c r="AH80" s="905"/>
      <c r="AI80" s="905"/>
      <c r="AJ80" s="905"/>
      <c r="AK80" s="905"/>
      <c r="AL80" s="905"/>
      <c r="AM80" s="905"/>
      <c r="AN80" s="905"/>
      <c r="AO80" s="905"/>
      <c r="AP80" s="905"/>
      <c r="AQ80" s="905"/>
      <c r="AR80" s="905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68</v>
      </c>
      <c r="V81" s="239">
        <v>48</v>
      </c>
      <c r="W81" s="240">
        <f>+V81-U81</f>
        <v>-20</v>
      </c>
      <c r="X81" s="241">
        <f>+J23+T23+AD23+J44+T44+AD44</f>
        <v>0</v>
      </c>
      <c r="Z81" s="246"/>
      <c r="AA81" s="246"/>
      <c r="AB81" s="906"/>
      <c r="AC81" s="906"/>
      <c r="AD81" s="906"/>
      <c r="AE81" s="386"/>
      <c r="AF81" s="386"/>
      <c r="AG81" s="905"/>
      <c r="AH81" s="905"/>
      <c r="AI81" s="905"/>
      <c r="AJ81" s="905"/>
      <c r="AK81" s="393"/>
      <c r="AL81" s="393"/>
      <c r="AM81" s="905"/>
      <c r="AN81" s="905"/>
      <c r="AO81" s="905"/>
      <c r="AP81" s="905"/>
      <c r="AQ81" s="905"/>
      <c r="AR81" s="905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68</v>
      </c>
      <c r="V82" s="239">
        <v>48</v>
      </c>
      <c r="W82" s="240">
        <f t="shared" si="59"/>
        <v>-20</v>
      </c>
      <c r="X82" s="241">
        <f>+J21+T21+AD21+J42+T42+AD42</f>
        <v>0</v>
      </c>
      <c r="Z82" s="246"/>
      <c r="AA82" s="246"/>
      <c r="AB82" s="906"/>
      <c r="AC82" s="906"/>
      <c r="AD82" s="906"/>
      <c r="AE82" s="386"/>
      <c r="AF82" s="386"/>
      <c r="AG82" s="905"/>
      <c r="AH82" s="905"/>
      <c r="AI82" s="905"/>
      <c r="AJ82" s="905"/>
      <c r="AK82" s="905"/>
      <c r="AL82" s="905"/>
      <c r="AM82" s="905"/>
      <c r="AN82" s="905"/>
      <c r="AO82" s="905"/>
      <c r="AP82" s="905"/>
      <c r="AQ82" s="905"/>
      <c r="AR82" s="905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906"/>
      <c r="AC83" s="906"/>
      <c r="AD83" s="906"/>
      <c r="AE83" s="386"/>
      <c r="AF83" s="386"/>
      <c r="AG83" s="905"/>
      <c r="AH83" s="905"/>
      <c r="AI83" s="905"/>
      <c r="AJ83" s="905"/>
      <c r="AK83" s="905"/>
      <c r="AL83" s="905"/>
      <c r="AM83" s="905"/>
      <c r="AN83" s="905"/>
      <c r="AO83" s="905"/>
      <c r="AP83" s="905"/>
      <c r="AQ83" s="905"/>
      <c r="AR83" s="905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906"/>
      <c r="AC84" s="906"/>
      <c r="AD84" s="906"/>
      <c r="AE84" s="386"/>
      <c r="AF84" s="386"/>
      <c r="AG84" s="905"/>
      <c r="AH84" s="905"/>
      <c r="AI84" s="905"/>
      <c r="AJ84" s="905"/>
      <c r="AK84" s="894"/>
      <c r="AL84" s="894"/>
      <c r="AM84" s="894"/>
      <c r="AN84" s="894"/>
      <c r="AO84" s="894"/>
      <c r="AP84" s="894"/>
      <c r="AQ84" s="894"/>
      <c r="AR84" s="894"/>
      <c r="AS84" s="386"/>
      <c r="AT84" s="386"/>
    </row>
    <row r="85" spans="1:46" ht="16.5">
      <c r="A85" s="247"/>
      <c r="B85" s="250" t="s">
        <v>147</v>
      </c>
      <c r="C85" s="895"/>
      <c r="D85" s="896"/>
      <c r="E85" s="897"/>
      <c r="F85" s="898"/>
      <c r="G85" s="899"/>
      <c r="H85" s="900"/>
      <c r="I85" s="897"/>
      <c r="J85" s="898"/>
      <c r="K85" s="909"/>
      <c r="L85" s="910"/>
      <c r="M85" s="5"/>
      <c r="N85" s="901"/>
      <c r="O85" s="902"/>
      <c r="P85" s="5"/>
      <c r="Q85" s="903"/>
      <c r="R85" s="904"/>
      <c r="U85" s="238"/>
      <c r="V85" s="239"/>
      <c r="W85" s="240"/>
      <c r="X85" s="241"/>
      <c r="Z85" s="246"/>
      <c r="AA85" s="246"/>
      <c r="AB85" s="906"/>
      <c r="AC85" s="906"/>
      <c r="AD85" s="906"/>
      <c r="AE85" s="386"/>
      <c r="AF85" s="386"/>
      <c r="AG85" s="905"/>
      <c r="AH85" s="905"/>
      <c r="AI85" s="905"/>
      <c r="AJ85" s="905"/>
      <c r="AK85" s="894"/>
      <c r="AL85" s="894"/>
      <c r="AM85" s="894"/>
      <c r="AN85" s="894"/>
      <c r="AO85" s="894"/>
      <c r="AP85" s="894"/>
      <c r="AQ85" s="894"/>
      <c r="AR85" s="894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906"/>
      <c r="AC86" s="906"/>
      <c r="AD86" s="906"/>
      <c r="AE86" s="386"/>
      <c r="AF86" s="386"/>
      <c r="AG86" s="905"/>
      <c r="AH86" s="905"/>
      <c r="AI86" s="905"/>
      <c r="AJ86" s="905"/>
      <c r="AK86" s="905"/>
      <c r="AL86" s="905"/>
      <c r="AM86" s="905"/>
      <c r="AN86" s="905"/>
      <c r="AO86" s="905"/>
      <c r="AP86" s="905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905"/>
      <c r="AF90" s="905"/>
      <c r="AG90" s="386"/>
      <c r="AH90" s="386"/>
      <c r="AI90" s="386"/>
      <c r="AJ90" s="905"/>
      <c r="AK90" s="905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905"/>
      <c r="AF91" s="905"/>
      <c r="AG91" s="386"/>
      <c r="AH91" s="386"/>
      <c r="AI91" s="386"/>
      <c r="AJ91" s="905"/>
      <c r="AK91" s="905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905"/>
      <c r="AF93" s="905"/>
      <c r="AG93" s="386"/>
      <c r="AH93" s="386"/>
      <c r="AI93" s="386"/>
      <c r="AJ93" s="905"/>
      <c r="AK93" s="905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905"/>
      <c r="AF96" s="905"/>
      <c r="AG96" s="386"/>
      <c r="AH96" s="386"/>
      <c r="AI96" s="386"/>
      <c r="AJ96" s="905"/>
      <c r="AK96" s="905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894"/>
      <c r="AM98" s="905"/>
      <c r="AN98" s="894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905"/>
      <c r="AF108" s="905"/>
      <c r="AG108" s="386"/>
      <c r="AH108" s="386"/>
      <c r="AI108" s="386"/>
      <c r="AJ108" s="905"/>
      <c r="AK108" s="905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894"/>
      <c r="AM116" s="905"/>
      <c r="AN116" s="894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905"/>
      <c r="AF127" s="905"/>
      <c r="AG127" s="386"/>
      <c r="AH127" s="386"/>
      <c r="AI127" s="386"/>
      <c r="AJ127" s="905"/>
      <c r="AK127" s="905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905"/>
      <c r="AF128" s="905"/>
      <c r="AG128" s="386"/>
      <c r="AH128" s="386"/>
      <c r="AI128" s="386"/>
      <c r="AJ128" s="905"/>
      <c r="AK128" s="905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905"/>
      <c r="AF130" s="905"/>
      <c r="AG130" s="386"/>
      <c r="AH130" s="386"/>
      <c r="AI130" s="386"/>
      <c r="AJ130" s="905"/>
      <c r="AK130" s="905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905"/>
      <c r="AF133" s="905"/>
      <c r="AG133" s="386"/>
      <c r="AH133" s="386"/>
      <c r="AI133" s="386"/>
      <c r="AJ133" s="905"/>
      <c r="AK133" s="905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894"/>
      <c r="AM135" s="905"/>
      <c r="AN135" s="894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905"/>
      <c r="AF145" s="905"/>
      <c r="AG145" s="386"/>
      <c r="AH145" s="386"/>
      <c r="AI145" s="386"/>
      <c r="AJ145" s="905"/>
      <c r="AK145" s="905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905"/>
      <c r="AF146" s="905"/>
      <c r="AG146" s="386"/>
      <c r="AH146" s="386"/>
      <c r="AI146" s="386"/>
      <c r="AJ146" s="905"/>
      <c r="AK146" s="905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905"/>
      <c r="AF148" s="905"/>
      <c r="AG148" s="386"/>
      <c r="AH148" s="386"/>
      <c r="AI148" s="386"/>
      <c r="AJ148" s="905"/>
      <c r="AK148" s="905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905"/>
      <c r="AF151" s="905"/>
      <c r="AG151" s="386"/>
      <c r="AH151" s="386"/>
      <c r="AI151" s="386"/>
      <c r="AJ151" s="905"/>
      <c r="AK151" s="905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894"/>
      <c r="AM153" s="905"/>
      <c r="AN153" s="894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905"/>
      <c r="AF165" s="905"/>
      <c r="AG165" s="386"/>
      <c r="AH165" s="386"/>
      <c r="AI165" s="386"/>
      <c r="AJ165" s="905"/>
      <c r="AK165" s="905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894"/>
      <c r="AM173" s="905"/>
      <c r="AN173" s="894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905"/>
      <c r="AF184" s="905"/>
      <c r="AG184" s="386"/>
      <c r="AH184" s="386"/>
      <c r="AI184" s="386"/>
      <c r="AJ184" s="905"/>
      <c r="AK184" s="905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905"/>
      <c r="AF185" s="905"/>
      <c r="AG185" s="386"/>
      <c r="AH185" s="386"/>
      <c r="AI185" s="386"/>
      <c r="AJ185" s="905"/>
      <c r="AK185" s="905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905"/>
      <c r="AF187" s="905"/>
      <c r="AG187" s="386"/>
      <c r="AH187" s="386"/>
      <c r="AI187" s="386"/>
      <c r="AJ187" s="905"/>
      <c r="AK187" s="905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905"/>
      <c r="AF190" s="905"/>
      <c r="AG190" s="386"/>
      <c r="AH190" s="386"/>
      <c r="AI190" s="386"/>
      <c r="AJ190" s="905"/>
      <c r="AK190" s="905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894"/>
      <c r="AM192" s="905"/>
      <c r="AN192" s="894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908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908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908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908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908"/>
      <c r="AB204" s="908"/>
      <c r="AC204" s="908"/>
      <c r="AD204" s="908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906"/>
      <c r="AB205" s="906"/>
      <c r="AC205" s="906"/>
      <c r="AD205" s="906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906"/>
      <c r="AB206" s="906"/>
      <c r="AC206" s="906"/>
      <c r="AD206" s="906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906"/>
      <c r="AB207" s="906"/>
      <c r="AC207" s="906"/>
      <c r="AD207" s="906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906"/>
      <c r="AB208" s="906"/>
      <c r="AC208" s="906"/>
      <c r="AD208" s="906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906"/>
      <c r="AB209" s="906"/>
      <c r="AC209" s="906"/>
      <c r="AD209" s="906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906"/>
      <c r="AF210" s="386"/>
      <c r="AG210" s="905"/>
      <c r="AH210" s="905"/>
      <c r="AI210" s="386"/>
      <c r="AJ210" s="386"/>
      <c r="AK210" s="894"/>
      <c r="AL210" s="894"/>
      <c r="AM210" s="894"/>
      <c r="AN210" s="894"/>
      <c r="AO210" s="894"/>
      <c r="AP210" s="894"/>
      <c r="AQ210" s="894"/>
      <c r="AR210" s="894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906"/>
      <c r="AA211" s="906"/>
      <c r="AB211" s="906"/>
      <c r="AC211" s="906"/>
      <c r="AD211" s="906"/>
      <c r="AE211" s="386"/>
      <c r="AF211" s="386"/>
      <c r="AG211" s="244"/>
      <c r="AH211" s="244"/>
      <c r="AI211" s="905"/>
      <c r="AJ211" s="905"/>
      <c r="AK211" s="905"/>
      <c r="AL211" s="905"/>
      <c r="AM211" s="905"/>
      <c r="AN211" s="905"/>
      <c r="AO211" s="905"/>
      <c r="AP211" s="905"/>
      <c r="AQ211" s="905"/>
      <c r="AR211" s="905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905"/>
      <c r="AN212" s="905"/>
      <c r="AO212" s="905"/>
      <c r="AP212" s="905"/>
      <c r="AQ212" s="905"/>
      <c r="AR212" s="905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906"/>
      <c r="AA213" s="906"/>
      <c r="AB213" s="906"/>
      <c r="AC213" s="906"/>
      <c r="AD213" s="906"/>
      <c r="AE213" s="386"/>
      <c r="AF213" s="386"/>
      <c r="AG213" s="905"/>
      <c r="AH213" s="905"/>
      <c r="AI213" s="393"/>
      <c r="AJ213" s="393"/>
      <c r="AK213" s="393"/>
      <c r="AL213" s="393"/>
      <c r="AM213" s="905"/>
      <c r="AN213" s="905"/>
      <c r="AO213" s="905"/>
      <c r="AP213" s="905"/>
      <c r="AQ213" s="905"/>
      <c r="AR213" s="905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908"/>
      <c r="T214" s="908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908"/>
      <c r="Z214" s="906"/>
      <c r="AA214" s="906"/>
      <c r="AB214" s="906"/>
      <c r="AC214" s="906"/>
      <c r="AD214" s="906"/>
      <c r="AE214" s="386"/>
      <c r="AF214" s="386"/>
      <c r="AG214" s="905"/>
      <c r="AH214" s="905"/>
      <c r="AI214" s="393"/>
      <c r="AJ214" s="393"/>
      <c r="AK214" s="393"/>
      <c r="AL214" s="393"/>
      <c r="AM214" s="905"/>
      <c r="AN214" s="905"/>
      <c r="AO214" s="905"/>
      <c r="AP214" s="905"/>
      <c r="AQ214" s="905"/>
      <c r="AR214" s="905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906"/>
      <c r="AC215" s="906"/>
      <c r="AD215" s="906"/>
      <c r="AE215" s="386"/>
      <c r="AF215" s="386"/>
      <c r="AG215" s="905"/>
      <c r="AH215" s="905"/>
      <c r="AI215" s="905"/>
      <c r="AJ215" s="905"/>
      <c r="AK215" s="905"/>
      <c r="AL215" s="905"/>
      <c r="AM215" s="905"/>
      <c r="AN215" s="905"/>
      <c r="AO215" s="905"/>
      <c r="AP215" s="905"/>
      <c r="AQ215" s="905"/>
      <c r="AR215" s="905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906"/>
      <c r="AE216" s="386"/>
      <c r="AF216" s="386"/>
      <c r="AG216" s="244"/>
      <c r="AH216" s="244"/>
      <c r="AI216" s="905"/>
      <c r="AJ216" s="905"/>
      <c r="AK216" s="905"/>
      <c r="AL216" s="905"/>
      <c r="AM216" s="905"/>
      <c r="AN216" s="905"/>
      <c r="AO216" s="905"/>
      <c r="AP216" s="905"/>
      <c r="AQ216" s="905"/>
      <c r="AR216" s="905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906"/>
      <c r="AD217" s="906"/>
      <c r="AE217" s="386"/>
      <c r="AF217" s="386"/>
      <c r="AG217" s="905"/>
      <c r="AH217" s="905"/>
      <c r="AI217" s="393"/>
      <c r="AJ217" s="393"/>
      <c r="AK217" s="393"/>
      <c r="AL217" s="393"/>
      <c r="AM217" s="905"/>
      <c r="AN217" s="905"/>
      <c r="AO217" s="905"/>
      <c r="AP217" s="905"/>
      <c r="AQ217" s="905"/>
      <c r="AR217" s="905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906"/>
      <c r="AD218" s="906"/>
      <c r="AE218" s="386"/>
      <c r="AF218" s="386"/>
      <c r="AG218" s="393"/>
      <c r="AH218" s="393"/>
      <c r="AI218" s="905"/>
      <c r="AJ218" s="905"/>
      <c r="AK218" s="905"/>
      <c r="AL218" s="905"/>
      <c r="AM218" s="905"/>
      <c r="AN218" s="905"/>
      <c r="AO218" s="905"/>
      <c r="AP218" s="905"/>
      <c r="AQ218" s="905"/>
      <c r="AR218" s="905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906"/>
      <c r="AC219" s="906"/>
      <c r="AD219" s="906">
        <v>200</v>
      </c>
      <c r="AE219" s="386"/>
      <c r="AF219" s="1023">
        <f>+AD219/6</f>
        <v>33.333333333333336</v>
      </c>
      <c r="AG219" s="1023"/>
      <c r="AH219" s="1023"/>
      <c r="AI219" s="905"/>
      <c r="AJ219" s="905"/>
      <c r="AK219" s="905"/>
      <c r="AL219" s="905"/>
      <c r="AM219" s="905"/>
      <c r="AN219" s="905"/>
      <c r="AO219" s="905"/>
      <c r="AP219" s="905"/>
      <c r="AQ219" s="905"/>
      <c r="AR219" s="905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906"/>
      <c r="AA220" s="906"/>
      <c r="AB220" s="906"/>
      <c r="AC220" s="906"/>
      <c r="AG220" s="905"/>
      <c r="AH220" s="905"/>
      <c r="AI220" s="386"/>
      <c r="AJ220" s="386"/>
      <c r="AK220" s="894"/>
      <c r="AL220" s="894"/>
      <c r="AM220" s="894"/>
      <c r="AN220" s="894"/>
      <c r="AO220" s="894"/>
      <c r="AP220" s="894"/>
      <c r="AQ220" s="894"/>
      <c r="AR220" s="894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906"/>
      <c r="AC221" s="906"/>
      <c r="AD221" s="906"/>
      <c r="AE221" s="386"/>
      <c r="AF221" s="386"/>
      <c r="AG221" s="905"/>
      <c r="AH221" s="905"/>
      <c r="AI221" s="905"/>
      <c r="AJ221" s="905"/>
      <c r="AK221" s="905"/>
      <c r="AL221" s="905"/>
      <c r="AM221" s="905"/>
      <c r="AN221" s="905"/>
      <c r="AO221" s="905"/>
      <c r="AP221" s="905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907"/>
      <c r="E224" s="304"/>
      <c r="F224" s="305"/>
      <c r="G224" s="907"/>
      <c r="H224" s="907"/>
      <c r="I224" s="305"/>
      <c r="J224" s="907"/>
      <c r="K224" s="306"/>
      <c r="L224" s="306"/>
      <c r="M224" s="907"/>
      <c r="N224" s="907"/>
      <c r="O224" s="907"/>
      <c r="P224" s="907"/>
      <c r="Q224" s="907"/>
      <c r="R224" s="907"/>
      <c r="S224" s="907"/>
      <c r="T224" s="907"/>
      <c r="U224" s="907"/>
      <c r="V224" s="907"/>
      <c r="W224" s="907"/>
      <c r="X224" s="907"/>
      <c r="Y224" s="907"/>
      <c r="Z224" s="907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905"/>
      <c r="AF244" s="905"/>
      <c r="AG244" s="386"/>
      <c r="AH244" s="386"/>
      <c r="AI244" s="386"/>
      <c r="AJ244" s="905"/>
      <c r="AK244" s="905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905"/>
      <c r="AF245" s="905"/>
      <c r="AG245" s="386"/>
      <c r="AH245" s="386"/>
      <c r="AI245" s="386"/>
      <c r="AJ245" s="905"/>
      <c r="AK245" s="905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905"/>
      <c r="AF247" s="905"/>
      <c r="AG247" s="386"/>
      <c r="AH247" s="386"/>
      <c r="AI247" s="386"/>
      <c r="AJ247" s="905"/>
      <c r="AK247" s="905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905"/>
      <c r="AF250" s="905"/>
      <c r="AG250" s="386"/>
      <c r="AH250" s="386"/>
      <c r="AI250" s="386"/>
      <c r="AJ250" s="905"/>
      <c r="AK250" s="905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894"/>
      <c r="AM252" s="905"/>
      <c r="AN252" s="894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907"/>
      <c r="E261" s="304"/>
      <c r="F261" s="305"/>
      <c r="G261" s="907"/>
      <c r="H261" s="907"/>
      <c r="I261" s="305"/>
      <c r="J261" s="907"/>
      <c r="K261" s="306"/>
      <c r="L261" s="306"/>
      <c r="M261" s="907"/>
      <c r="N261" s="907"/>
      <c r="O261" s="907"/>
      <c r="P261" s="907"/>
      <c r="Q261" s="907"/>
      <c r="R261" s="907"/>
      <c r="S261" s="907"/>
      <c r="T261" s="907"/>
      <c r="U261" s="907"/>
      <c r="V261" s="907"/>
      <c r="W261" s="907"/>
      <c r="X261" s="907"/>
      <c r="Y261" s="907"/>
      <c r="Z261" s="907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</mergeCells>
  <conditionalFormatting sqref="AP200:AP203 AH60 AP60 AP32:AP48 AH32:AH48">
    <cfRule type="cellIs" dxfId="629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628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627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626" priority="18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625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624" priority="16" stopIfTrue="1" operator="lessThanOrEqual">
      <formula>0</formula>
    </cfRule>
  </conditionalFormatting>
  <conditionalFormatting sqref="AA66:AB68 AA71:AB73 W210:X219 Z49:AA53 Z61:AA61 W86:X86 W74:X83 Z200:AA202 W221:X221">
    <cfRule type="cellIs" dxfId="623" priority="15" stopIfTrue="1" operator="lessThan">
      <formula>0</formula>
    </cfRule>
  </conditionalFormatting>
  <conditionalFormatting sqref="X49:X53 X61:X66 U86 U74:U83 X200:X202 U221 U210:U219">
    <cfRule type="cellIs" dxfId="622" priority="14" stopIfTrue="1" operator="greaterThan">
      <formula>48</formula>
    </cfRule>
  </conditionalFormatting>
  <conditionalFormatting sqref="C276:C280 C288:D291 C159:D159 D276:D287 C87:D142 C241:D241 C222:D222">
    <cfRule type="cellIs" dxfId="621" priority="13" stopIfTrue="1" operator="lessThan">
      <formula>$C$71</formula>
    </cfRule>
  </conditionalFormatting>
  <conditionalFormatting sqref="AI60:AO60 AI32:AO48">
    <cfRule type="cellIs" dxfId="620" priority="11" stopIfTrue="1" operator="equal">
      <formula>0</formula>
    </cfRule>
    <cfRule type="cellIs" dxfId="619" priority="12" stopIfTrue="1" operator="lessThan">
      <formula>0</formula>
    </cfRule>
  </conditionalFormatting>
  <conditionalFormatting sqref="AT60 AT32:AT45">
    <cfRule type="cellIs" dxfId="618" priority="9" stopIfTrue="1" operator="greaterThan">
      <formula>0</formula>
    </cfRule>
    <cfRule type="cellIs" dxfId="617" priority="10" stopIfTrue="1" operator="lessThan">
      <formula>1</formula>
    </cfRule>
  </conditionalFormatting>
  <conditionalFormatting sqref="K84:L85 K71:L81 K220:L220 K207:L217">
    <cfRule type="cellIs" dxfId="616" priority="8" stopIfTrue="1" operator="greaterThanOrEqual">
      <formula>$K$69</formula>
    </cfRule>
  </conditionalFormatting>
  <conditionalFormatting sqref="AF56:AF57 L12:L24 AF11:AF24 V12:V24 V32:V45 AF33:AF45 L32:L45">
    <cfRule type="cellIs" dxfId="615" priority="6" stopIfTrue="1" operator="equal">
      <formula>0</formula>
    </cfRule>
    <cfRule type="cellIs" dxfId="614" priority="7" stopIfTrue="1" operator="lessThan">
      <formula>0</formula>
    </cfRule>
  </conditionalFormatting>
  <conditionalFormatting sqref="K84:K85">
    <cfRule type="cellIs" dxfId="613" priority="5" stopIfTrue="1" operator="greaterThanOrEqual">
      <formula>$K$72</formula>
    </cfRule>
  </conditionalFormatting>
  <conditionalFormatting sqref="W84:X85">
    <cfRule type="cellIs" dxfId="612" priority="4" stopIfTrue="1" operator="lessThan">
      <formula>0</formula>
    </cfRule>
  </conditionalFormatting>
  <conditionalFormatting sqref="U84:U85">
    <cfRule type="cellIs" dxfId="611" priority="3" stopIfTrue="1" operator="greaterThan">
      <formula>48</formula>
    </cfRule>
  </conditionalFormatting>
  <conditionalFormatting sqref="AF32">
    <cfRule type="cellIs" dxfId="610" priority="1" stopIfTrue="1" operator="equal">
      <formula>0</formula>
    </cfRule>
    <cfRule type="cellIs" dxfId="609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S20 AE24:AS39 AE21:AF21 AJ21 AM21:AS21 AE22:AF22 AJ22:AS22 AE23:AF23 AJ23:AS23" formula="1"/>
  </ignoredErrors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0" activePane="bottomRight" state="frozen"/>
      <selection activeCell="C5" sqref="C5:J6"/>
      <selection pane="topRight" activeCell="C5" sqref="C5:J6"/>
      <selection pane="bottomLeft" activeCell="C5" sqref="C5:J6"/>
      <selection pane="bottomRight" activeCell="C84" sqref="C84:H84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77" customWidth="1"/>
    <col min="5" max="5" width="4.28515625" style="3" customWidth="1"/>
    <col min="6" max="6" width="4.28515625" style="4" customWidth="1"/>
    <col min="7" max="8" width="4.28515625" style="477" customWidth="1"/>
    <col min="9" max="9" width="4.28515625" style="4" customWidth="1"/>
    <col min="10" max="10" width="4.28515625" style="477" customWidth="1"/>
    <col min="11" max="12" width="4.28515625" style="5" customWidth="1"/>
    <col min="13" max="26" width="4.28515625" style="477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43166</v>
      </c>
      <c r="C1" s="477" t="s">
        <v>0</v>
      </c>
      <c r="AN1" s="7"/>
      <c r="AO1" s="7"/>
      <c r="AR1" s="1340">
        <f>+AR48+AT48</f>
        <v>124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43167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77">
        <v>0</v>
      </c>
    </row>
    <row r="5" spans="1:58" ht="10.9" customHeight="1">
      <c r="B5" s="1244" t="s">
        <v>1</v>
      </c>
      <c r="C5" s="1140">
        <v>43160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43161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43162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43163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43160</v>
      </c>
      <c r="AW7" s="1296">
        <f>+M5</f>
        <v>43161</v>
      </c>
      <c r="AX7" s="1296">
        <f>+W5</f>
        <v>43162</v>
      </c>
      <c r="AY7" s="1309">
        <f>+AG5</f>
        <v>43163</v>
      </c>
      <c r="AZ7" s="1296">
        <f>+C27</f>
        <v>43164</v>
      </c>
      <c r="BA7" s="1296">
        <f>+M27</f>
        <v>43165</v>
      </c>
      <c r="BB7" s="1296">
        <f>+W27</f>
        <v>43166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15</v>
      </c>
      <c r="E11" s="16">
        <v>1</v>
      </c>
      <c r="F11" s="17">
        <f t="shared" ref="F11:F21" si="1">+D11-C11-E11</f>
        <v>7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-1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0</v>
      </c>
      <c r="AG11" s="337">
        <v>8</v>
      </c>
      <c r="AH11" s="337">
        <v>16</v>
      </c>
      <c r="AI11" s="23">
        <v>1</v>
      </c>
      <c r="AJ11" s="24">
        <f t="shared" ref="AJ11:AJ25" si="13">+AH11-AG11-AI11</f>
        <v>7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14</v>
      </c>
      <c r="AP11" s="1297">
        <f t="shared" ref="AP11:AP25" si="16">+L11+V11+AF11+AO11+L33+V33+AF33-AN11</f>
        <v>13</v>
      </c>
      <c r="AQ11" s="1298"/>
      <c r="AR11" s="1299">
        <f t="shared" ref="AR11:AR21" si="17">ROUND(BD11*AP11,1)</f>
        <v>59.1</v>
      </c>
      <c r="AS11" s="1300"/>
      <c r="AT11" s="338">
        <f t="shared" ref="AT11:AT20" si="18">IF(AT33&gt;0,AT33*$AT$10,0)</f>
        <v>28</v>
      </c>
      <c r="AV11" s="26">
        <f t="shared" ref="AV11:AV21" si="19">+L11</f>
        <v>-1</v>
      </c>
      <c r="AW11" s="26">
        <f t="shared" ref="AW11:AW21" si="20">+V11</f>
        <v>0</v>
      </c>
      <c r="AX11" s="26">
        <f t="shared" ref="AX11:AX21" si="21">+AF11</f>
        <v>0</v>
      </c>
      <c r="AY11" s="27">
        <f t="shared" ref="AY11:AY21" si="22">+AO11</f>
        <v>14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59.103571428571421</v>
      </c>
      <c r="BF11" s="341">
        <f t="shared" ref="BF11:BF21" si="28">+BD11*AY11</f>
        <v>63.649999999999991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473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8</v>
      </c>
      <c r="X12" s="342">
        <v>24</v>
      </c>
      <c r="Y12" s="30">
        <v>3</v>
      </c>
      <c r="Z12" s="31">
        <f t="shared" si="9"/>
        <v>13</v>
      </c>
      <c r="AA12" s="344">
        <v>0</v>
      </c>
      <c r="AB12" s="348">
        <v>7</v>
      </c>
      <c r="AC12" s="36">
        <f t="shared" si="10"/>
        <v>7</v>
      </c>
      <c r="AD12" s="30">
        <v>8</v>
      </c>
      <c r="AE12" s="32">
        <f t="shared" si="11"/>
        <v>1</v>
      </c>
      <c r="AF12" s="20">
        <f t="shared" si="12"/>
        <v>19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4"/>
        <v>0</v>
      </c>
      <c r="AN12" s="39"/>
      <c r="AO12" s="40">
        <f t="shared" si="15"/>
        <v>0</v>
      </c>
      <c r="AP12" s="1282">
        <f t="shared" si="16"/>
        <v>30</v>
      </c>
      <c r="AQ12" s="1283"/>
      <c r="AR12" s="1284">
        <f t="shared" si="17"/>
        <v>154</v>
      </c>
      <c r="AS12" s="1285"/>
      <c r="AT12" s="345">
        <f t="shared" si="18"/>
        <v>24</v>
      </c>
      <c r="AV12" s="26">
        <f t="shared" si="19"/>
        <v>2</v>
      </c>
      <c r="AW12" s="26">
        <f t="shared" si="20"/>
        <v>0</v>
      </c>
      <c r="AX12" s="26">
        <f t="shared" si="21"/>
        <v>19</v>
      </c>
      <c r="AY12" s="27">
        <f t="shared" si="22"/>
        <v>0</v>
      </c>
      <c r="AZ12" s="26">
        <f t="shared" si="23"/>
        <v>4</v>
      </c>
      <c r="BA12" s="26">
        <f t="shared" si="24"/>
        <v>2</v>
      </c>
      <c r="BB12" s="26">
        <f t="shared" si="25"/>
        <v>3</v>
      </c>
      <c r="BC12" s="28"/>
      <c r="BD12" s="339">
        <f t="shared" si="26"/>
        <v>5.1339285714285712</v>
      </c>
      <c r="BE12" s="340">
        <f t="shared" si="27"/>
        <v>154.01785714285714</v>
      </c>
      <c r="BF12" s="341">
        <f t="shared" si="28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473"/>
      <c r="N13" s="342"/>
      <c r="O13" s="30"/>
      <c r="P13" s="31">
        <f t="shared" si="5"/>
        <v>0</v>
      </c>
      <c r="Q13" s="33"/>
      <c r="R13" s="346"/>
      <c r="S13" s="31">
        <f t="shared" si="6"/>
        <v>0</v>
      </c>
      <c r="T13" s="30"/>
      <c r="U13" s="32">
        <f t="shared" si="7"/>
        <v>0</v>
      </c>
      <c r="V13" s="20">
        <f t="shared" si="8"/>
        <v>0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 t="shared" si="12"/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/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0</v>
      </c>
      <c r="AV13" s="26">
        <f t="shared" si="19"/>
        <v>0</v>
      </c>
      <c r="AW13" s="26">
        <f t="shared" si="20"/>
        <v>0</v>
      </c>
      <c r="AX13" s="26">
        <f t="shared" si="21"/>
        <v>0</v>
      </c>
      <c r="AY13" s="27">
        <f t="shared" si="22"/>
        <v>0</v>
      </c>
      <c r="AZ13" s="26">
        <f t="shared" si="23"/>
        <v>0</v>
      </c>
      <c r="BA13" s="26">
        <f t="shared" si="24"/>
        <v>0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18</v>
      </c>
      <c r="D14" s="346">
        <v>24</v>
      </c>
      <c r="E14" s="42">
        <v>1</v>
      </c>
      <c r="F14" s="44">
        <f t="shared" si="1"/>
        <v>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4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4</v>
      </c>
      <c r="W14" s="347"/>
      <c r="X14" s="346"/>
      <c r="Y14" s="42"/>
      <c r="Z14" s="44">
        <f t="shared" si="9"/>
        <v>0</v>
      </c>
      <c r="AA14" s="344"/>
      <c r="AB14" s="344"/>
      <c r="AC14" s="36">
        <f t="shared" si="10"/>
        <v>0</v>
      </c>
      <c r="AD14" s="42"/>
      <c r="AE14" s="45">
        <f t="shared" si="11"/>
        <v>0</v>
      </c>
      <c r="AF14" s="20">
        <f t="shared" si="12"/>
        <v>0</v>
      </c>
      <c r="AG14" s="37"/>
      <c r="AH14" s="342"/>
      <c r="AI14" s="30"/>
      <c r="AJ14" s="38">
        <f t="shared" si="13"/>
        <v>0</v>
      </c>
      <c r="AK14" s="342"/>
      <c r="AL14" s="342"/>
      <c r="AM14" s="31">
        <f t="shared" si="14"/>
        <v>0</v>
      </c>
      <c r="AN14" s="47">
        <v>8</v>
      </c>
      <c r="AO14" s="40">
        <f t="shared" si="15"/>
        <v>0</v>
      </c>
      <c r="AP14" s="1282">
        <f t="shared" si="16"/>
        <v>4</v>
      </c>
      <c r="AQ14" s="1283"/>
      <c r="AR14" s="1284">
        <f t="shared" si="17"/>
        <v>16.7</v>
      </c>
      <c r="AS14" s="1285"/>
      <c r="AT14" s="345">
        <f t="shared" si="18"/>
        <v>20</v>
      </c>
      <c r="AV14" s="26">
        <f t="shared" si="19"/>
        <v>4</v>
      </c>
      <c r="AW14" s="26">
        <f t="shared" si="20"/>
        <v>4</v>
      </c>
      <c r="AX14" s="26">
        <f t="shared" si="21"/>
        <v>0</v>
      </c>
      <c r="AY14" s="27">
        <f t="shared" si="22"/>
        <v>0</v>
      </c>
      <c r="AZ14" s="26">
        <f t="shared" si="23"/>
        <v>0</v>
      </c>
      <c r="BA14" s="26">
        <f t="shared" si="24"/>
        <v>2</v>
      </c>
      <c r="BB14" s="26">
        <f t="shared" si="25"/>
        <v>2</v>
      </c>
      <c r="BC14" s="28"/>
      <c r="BD14" s="339">
        <f t="shared" si="26"/>
        <v>4.1666785714285712</v>
      </c>
      <c r="BE14" s="340">
        <f t="shared" si="27"/>
        <v>16.666714285714285</v>
      </c>
      <c r="BF14" s="341">
        <f t="shared" si="28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16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473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>
        <v>0.5</v>
      </c>
      <c r="AC15" s="31">
        <f t="shared" si="10"/>
        <v>0.5</v>
      </c>
      <c r="AD15" s="30"/>
      <c r="AE15" s="32">
        <f t="shared" si="11"/>
        <v>8.5</v>
      </c>
      <c r="AF15" s="20">
        <f t="shared" si="12"/>
        <v>-1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1</v>
      </c>
      <c r="AQ15" s="1295"/>
      <c r="AR15" s="1284">
        <f t="shared" si="17"/>
        <v>5.0999999999999996</v>
      </c>
      <c r="AS15" s="1285"/>
      <c r="AT15" s="345">
        <f t="shared" si="18"/>
        <v>24</v>
      </c>
      <c r="AV15" s="26">
        <f t="shared" si="19"/>
        <v>0</v>
      </c>
      <c r="AW15" s="26">
        <f t="shared" si="20"/>
        <v>1</v>
      </c>
      <c r="AX15" s="26">
        <f t="shared" si="21"/>
        <v>-1</v>
      </c>
      <c r="AY15" s="27">
        <f t="shared" si="22"/>
        <v>0</v>
      </c>
      <c r="AZ15" s="26">
        <f t="shared" si="23"/>
        <v>0</v>
      </c>
      <c r="BA15" s="26">
        <f t="shared" si="24"/>
        <v>0</v>
      </c>
      <c r="BB15" s="26">
        <f t="shared" si="25"/>
        <v>1</v>
      </c>
      <c r="BC15" s="28"/>
      <c r="BD15" s="339">
        <f t="shared" si="26"/>
        <v>5.1339285714285712</v>
      </c>
      <c r="BE15" s="349">
        <f t="shared" si="27"/>
        <v>5.1339285714285712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16</v>
      </c>
      <c r="Y16" s="42">
        <v>1</v>
      </c>
      <c r="Z16" s="44">
        <f>+X16-W16-Y16</f>
        <v>8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3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3</v>
      </c>
      <c r="AQ16" s="1283"/>
      <c r="AR16" s="1284">
        <f>ROUND(BD16*AP16,1)</f>
        <v>15.4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3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15.401785714285714</v>
      </c>
      <c r="BF16" s="352">
        <f>+BD16*AY16</f>
        <v>0</v>
      </c>
    </row>
    <row r="17" spans="1:58" ht="14.1" customHeight="1">
      <c r="B17" s="48" t="str">
        <f t="shared" si="0"/>
        <v>Antony Tejada Ch.</v>
      </c>
      <c r="C17" s="334">
        <v>19</v>
      </c>
      <c r="D17" s="342">
        <v>24</v>
      </c>
      <c r="E17" s="30">
        <v>1</v>
      </c>
      <c r="F17" s="31">
        <f>+D17-C17-E17</f>
        <v>4</v>
      </c>
      <c r="G17" s="342">
        <v>0</v>
      </c>
      <c r="H17" s="342">
        <v>7</v>
      </c>
      <c r="I17" s="31">
        <f>+H17-G17</f>
        <v>7</v>
      </c>
      <c r="J17" s="30">
        <v>8</v>
      </c>
      <c r="K17" s="32">
        <f>+I17+F17-L17</f>
        <v>8</v>
      </c>
      <c r="L17" s="20">
        <f>IF(C17&gt;0,(F17+I17)+IF(K$5&gt;0,F17,-8),0)+IF(U$5&gt;0,I17,0)</f>
        <v>3</v>
      </c>
      <c r="M17" s="334">
        <v>9</v>
      </c>
      <c r="N17" s="342">
        <v>24</v>
      </c>
      <c r="O17" s="30">
        <v>1</v>
      </c>
      <c r="P17" s="31">
        <f>+N17-M17-O17</f>
        <v>14</v>
      </c>
      <c r="Q17" s="346">
        <v>0</v>
      </c>
      <c r="R17" s="346">
        <v>7</v>
      </c>
      <c r="S17" s="31">
        <f>+R17-Q17</f>
        <v>7</v>
      </c>
      <c r="T17" s="30">
        <v>8</v>
      </c>
      <c r="U17" s="32">
        <f>+S17+P17-V17</f>
        <v>8</v>
      </c>
      <c r="V17" s="20">
        <f>IF(M17&gt;0,(P17+S17)+IF(U$5&gt;0,P17,-8),0)+IF(AE$5&gt;0,S17,0)</f>
        <v>13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>IF(W17&gt;0,IF(AE$5&gt;0,(Z17+AC17)*2,(Z17+AC17-8)),0)*IF(Z17&lt;9,IF(AE$5&gt;0,1,2),1)+IF(Z17&gt;8,AC17,0)</f>
        <v>0</v>
      </c>
      <c r="AG17" s="37">
        <v>8</v>
      </c>
      <c r="AH17" s="342">
        <v>16</v>
      </c>
      <c r="AI17" s="30">
        <v>1</v>
      </c>
      <c r="AJ17" s="38">
        <f t="shared" si="13"/>
        <v>7</v>
      </c>
      <c r="AK17" s="342"/>
      <c r="AL17" s="342"/>
      <c r="AM17" s="31">
        <f t="shared" si="14"/>
        <v>0</v>
      </c>
      <c r="AN17" s="39">
        <v>8</v>
      </c>
      <c r="AO17" s="40">
        <f t="shared" si="15"/>
        <v>14</v>
      </c>
      <c r="AP17" s="1282">
        <f t="shared" si="16"/>
        <v>22</v>
      </c>
      <c r="AQ17" s="1283"/>
      <c r="AR17" s="1284">
        <f t="shared" si="17"/>
        <v>77.900000000000006</v>
      </c>
      <c r="AS17" s="1285"/>
      <c r="AT17" s="345">
        <f t="shared" si="18"/>
        <v>24</v>
      </c>
      <c r="AV17" s="26">
        <f t="shared" si="19"/>
        <v>3</v>
      </c>
      <c r="AW17" s="26">
        <f t="shared" si="20"/>
        <v>13</v>
      </c>
      <c r="AX17" s="26">
        <f t="shared" si="21"/>
        <v>0</v>
      </c>
      <c r="AY17" s="27">
        <f t="shared" si="22"/>
        <v>14</v>
      </c>
      <c r="AZ17" s="26">
        <f t="shared" si="23"/>
        <v>0</v>
      </c>
      <c r="BA17" s="26">
        <f t="shared" si="24"/>
        <v>-1</v>
      </c>
      <c r="BB17" s="26">
        <f t="shared" si="25"/>
        <v>1</v>
      </c>
      <c r="BC17" s="28"/>
      <c r="BD17" s="339">
        <f t="shared" si="26"/>
        <v>3.5416625000000002</v>
      </c>
      <c r="BE17" s="349">
        <f t="shared" si="27"/>
        <v>77.916575000000009</v>
      </c>
      <c r="BF17" s="350">
        <f t="shared" si="28"/>
        <v>49.583275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 t="shared" si="18"/>
        <v>0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2</v>
      </c>
      <c r="BA20" s="69">
        <f>+V45</f>
        <v>2</v>
      </c>
      <c r="BB20" s="69">
        <f>+AF45</f>
        <v>2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74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Pedro Hostos S,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460">
        <f>+I23+F23-L23</f>
        <v>8</v>
      </c>
      <c r="L23" s="461">
        <f t="shared" si="4"/>
        <v>2</v>
      </c>
      <c r="M23" s="462">
        <v>7</v>
      </c>
      <c r="N23" s="459">
        <v>17</v>
      </c>
      <c r="O23" s="459">
        <v>1</v>
      </c>
      <c r="P23" s="460">
        <f>+N23-M23-O23</f>
        <v>9</v>
      </c>
      <c r="Q23" s="459"/>
      <c r="R23" s="459"/>
      <c r="S23" s="460">
        <f>+R23-Q23</f>
        <v>0</v>
      </c>
      <c r="T23" s="459"/>
      <c r="U23" s="460">
        <f>+S23+P23-V23</f>
        <v>8</v>
      </c>
      <c r="V23" s="461">
        <f>IF(M23&gt;0,(P23+S23)+IF(U$5&gt;0,P23,-8),0)+IF(AE$5&gt;0,S23,0)</f>
        <v>1</v>
      </c>
      <c r="W23" s="459">
        <v>7</v>
      </c>
      <c r="X23" s="459">
        <v>16</v>
      </c>
      <c r="Y23" s="459">
        <v>1</v>
      </c>
      <c r="Z23" s="460">
        <f>+X23-W23-Y23</f>
        <v>8</v>
      </c>
      <c r="AA23" s="459"/>
      <c r="AB23" s="463"/>
      <c r="AC23" s="460">
        <f>+AB23-AA23</f>
        <v>0</v>
      </c>
      <c r="AD23" s="459"/>
      <c r="AE23" s="460">
        <f>+AC23+Z23-IF(AE$5&gt;0,AF23/2,AF23)</f>
        <v>8</v>
      </c>
      <c r="AF23" s="461">
        <f t="shared" si="30"/>
        <v>0</v>
      </c>
      <c r="AG23" s="459"/>
      <c r="AH23" s="459"/>
      <c r="AI23" s="459"/>
      <c r="AJ23" s="464">
        <f t="shared" si="13"/>
        <v>0</v>
      </c>
      <c r="AK23" s="459"/>
      <c r="AL23" s="459"/>
      <c r="AM23" s="460">
        <f>+AL23-AK23</f>
        <v>0</v>
      </c>
      <c r="AN23" s="459"/>
      <c r="AO23" s="465">
        <f>(AJ23*2+AM23)</f>
        <v>0</v>
      </c>
      <c r="AP23" s="1282">
        <f t="shared" si="16"/>
        <v>9</v>
      </c>
      <c r="AQ23" s="1283"/>
      <c r="AR23" s="1284">
        <f>ROUND(BD23*AP23,1)</f>
        <v>31.9</v>
      </c>
      <c r="AS23" s="1285"/>
      <c r="AT23" s="345">
        <f>IF(AT45&gt;0,AT45*$AT$10,0)</f>
        <v>24</v>
      </c>
      <c r="AV23" s="69">
        <f>+L23</f>
        <v>2</v>
      </c>
      <c r="AW23" s="69">
        <f>+V23</f>
        <v>1</v>
      </c>
      <c r="AX23" s="69">
        <f>+AF23</f>
        <v>0</v>
      </c>
      <c r="AY23" s="70">
        <f>+AO23</f>
        <v>0</v>
      </c>
      <c r="AZ23" s="69">
        <f>+L45</f>
        <v>2</v>
      </c>
      <c r="BA23" s="69">
        <f>+V45</f>
        <v>2</v>
      </c>
      <c r="BB23" s="69">
        <f>+AF45</f>
        <v>2</v>
      </c>
      <c r="BC23" s="54"/>
      <c r="BD23" s="339">
        <f t="shared" si="31"/>
        <v>3.5416625000000002</v>
      </c>
      <c r="BE23" s="351">
        <f>+BD23*AP23</f>
        <v>31.874962500000002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360.11539464285715</v>
      </c>
      <c r="BF26" s="1242">
        <f>SUM(BF11:BF25)</f>
        <v>113.23327499999999</v>
      </c>
    </row>
    <row r="27" spans="1:58" ht="10.9" customHeight="1">
      <c r="B27" s="1244" t="s">
        <v>1</v>
      </c>
      <c r="C27" s="1140">
        <f>1+AG5</f>
        <v>43164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43165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43166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43160</v>
      </c>
      <c r="AJ27" s="1218">
        <f t="shared" ref="AJ27:AO27" si="32">1+AI27</f>
        <v>43161</v>
      </c>
      <c r="AK27" s="1218">
        <f t="shared" si="32"/>
        <v>43162</v>
      </c>
      <c r="AL27" s="1219">
        <f t="shared" si="32"/>
        <v>43163</v>
      </c>
      <c r="AM27" s="1219">
        <f t="shared" si="32"/>
        <v>43164</v>
      </c>
      <c r="AN27" s="1220">
        <f t="shared" si="32"/>
        <v>43165</v>
      </c>
      <c r="AO27" s="1220">
        <f t="shared" si="32"/>
        <v>43166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43163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104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76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4">+D33-C33-E33</f>
        <v>8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0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7</v>
      </c>
      <c r="AU33" s="55"/>
      <c r="AV33" s="55"/>
      <c r="AW33" s="1134">
        <v>-14</v>
      </c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20</v>
      </c>
      <c r="E34" s="30">
        <v>1</v>
      </c>
      <c r="F34" s="31">
        <f t="shared" si="34"/>
        <v>12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4</v>
      </c>
      <c r="M34" s="342">
        <v>7</v>
      </c>
      <c r="N34" s="342">
        <v>18</v>
      </c>
      <c r="O34" s="30">
        <v>1</v>
      </c>
      <c r="P34" s="31">
        <f t="shared" si="37"/>
        <v>10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2</v>
      </c>
      <c r="W34" s="334">
        <v>7</v>
      </c>
      <c r="X34" s="342">
        <v>19</v>
      </c>
      <c r="Y34" s="30">
        <v>1</v>
      </c>
      <c r="Z34" s="31">
        <f t="shared" si="41"/>
        <v>11</v>
      </c>
      <c r="AA34" s="342"/>
      <c r="AB34" s="346"/>
      <c r="AC34" s="31">
        <f t="shared" si="42"/>
        <v>0</v>
      </c>
      <c r="AD34" s="30"/>
      <c r="AE34" s="32">
        <f t="shared" si="43"/>
        <v>8</v>
      </c>
      <c r="AF34" s="20">
        <f t="shared" si="44"/>
        <v>3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-7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-7</v>
      </c>
      <c r="AQ34" s="55"/>
      <c r="AR34" s="1159">
        <f t="shared" si="52"/>
        <v>-2.8214285714285694</v>
      </c>
      <c r="AS34" s="1160"/>
      <c r="AT34" s="117">
        <f t="shared" si="53"/>
        <v>6</v>
      </c>
      <c r="AU34" s="55"/>
      <c r="AV34" s="55"/>
      <c r="AW34" s="1134"/>
      <c r="AX34" s="1135"/>
    </row>
    <row r="35" spans="1:56" ht="14.1" customHeight="1">
      <c r="B35" s="29" t="str">
        <f t="shared" si="33"/>
        <v>Miguel Tejada Ll.</v>
      </c>
      <c r="C35" s="334"/>
      <c r="D35" s="342"/>
      <c r="E35" s="30"/>
      <c r="F35" s="31">
        <f t="shared" si="34"/>
        <v>0</v>
      </c>
      <c r="G35" s="346"/>
      <c r="H35" s="346"/>
      <c r="I35" s="31">
        <f t="shared" si="35"/>
        <v>0</v>
      </c>
      <c r="J35" s="30"/>
      <c r="K35" s="32">
        <f t="shared" si="36"/>
        <v>0</v>
      </c>
      <c r="L35" s="20">
        <f t="shared" ref="L35:L47" si="54">IF(C35&gt;0,(F35+I35)+IF(K$27&gt;0,F35,-8),0)+IF(U$27&gt;0,I35,0)</f>
        <v>0</v>
      </c>
      <c r="M35" s="334"/>
      <c r="N35" s="342"/>
      <c r="O35" s="30"/>
      <c r="P35" s="31">
        <f t="shared" si="37"/>
        <v>0</v>
      </c>
      <c r="Q35" s="106"/>
      <c r="R35" s="106"/>
      <c r="S35" s="31">
        <f t="shared" si="38"/>
        <v>0</v>
      </c>
      <c r="T35" s="30"/>
      <c r="U35" s="32">
        <f t="shared" si="39"/>
        <v>0</v>
      </c>
      <c r="V35" s="20">
        <f t="shared" si="40"/>
        <v>0</v>
      </c>
      <c r="W35" s="334"/>
      <c r="X35" s="342"/>
      <c r="Y35" s="30"/>
      <c r="Z35" s="31">
        <f t="shared" si="41"/>
        <v>0</v>
      </c>
      <c r="AA35" s="342"/>
      <c r="AB35" s="116"/>
      <c r="AC35" s="31">
        <f t="shared" si="42"/>
        <v>0</v>
      </c>
      <c r="AD35" s="30"/>
      <c r="AE35" s="32">
        <f t="shared" si="43"/>
        <v>0</v>
      </c>
      <c r="AF35" s="20">
        <f t="shared" si="44"/>
        <v>0</v>
      </c>
      <c r="AG35" s="55"/>
      <c r="AH35" s="112">
        <v>0</v>
      </c>
      <c r="AI35" s="113">
        <f t="shared" si="45"/>
        <v>-8</v>
      </c>
      <c r="AJ35" s="113">
        <f t="shared" si="46"/>
        <v>-8</v>
      </c>
      <c r="AK35" s="113">
        <f>IF(ISBLANK($AE$5),-8,0)+AE13</f>
        <v>-8</v>
      </c>
      <c r="AL35" s="113">
        <f t="shared" si="47"/>
        <v>0</v>
      </c>
      <c r="AM35" s="113">
        <f t="shared" si="48"/>
        <v>-8</v>
      </c>
      <c r="AN35" s="113">
        <f t="shared" si="49"/>
        <v>-8</v>
      </c>
      <c r="AO35" s="113">
        <f t="shared" si="50"/>
        <v>-8</v>
      </c>
      <c r="AP35" s="114">
        <f t="shared" si="51"/>
        <v>-48</v>
      </c>
      <c r="AQ35" s="55"/>
      <c r="AR35" s="1159">
        <f t="shared" si="52"/>
        <v>0</v>
      </c>
      <c r="AS35" s="1160"/>
      <c r="AT35" s="118">
        <f t="shared" si="53"/>
        <v>0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16</v>
      </c>
      <c r="E36" s="119">
        <v>1</v>
      </c>
      <c r="F36" s="120">
        <f t="shared" si="34"/>
        <v>8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0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7</v>
      </c>
      <c r="X36" s="342">
        <v>18</v>
      </c>
      <c r="Y36" s="30">
        <v>1</v>
      </c>
      <c r="Z36" s="31">
        <f t="shared" si="41"/>
        <v>10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2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-8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-8</v>
      </c>
      <c r="AQ36" s="55"/>
      <c r="AR36" s="1159">
        <f t="shared" si="52"/>
        <v>9.8331428571428603</v>
      </c>
      <c r="AS36" s="1160"/>
      <c r="AT36" s="118">
        <f t="shared" si="53"/>
        <v>5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16</v>
      </c>
      <c r="E37" s="30">
        <v>1</v>
      </c>
      <c r="F37" s="31">
        <f t="shared" si="34"/>
        <v>8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0</v>
      </c>
      <c r="M37" s="342">
        <v>8</v>
      </c>
      <c r="N37" s="342">
        <v>17</v>
      </c>
      <c r="O37" s="30">
        <v>1</v>
      </c>
      <c r="P37" s="31">
        <f t="shared" si="37"/>
        <v>8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0</v>
      </c>
      <c r="W37" s="334">
        <v>7</v>
      </c>
      <c r="X37" s="342">
        <v>17</v>
      </c>
      <c r="Y37" s="30">
        <v>1</v>
      </c>
      <c r="Z37" s="31">
        <f t="shared" si="41"/>
        <v>9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1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0.5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0.5</v>
      </c>
      <c r="AQ37" s="55"/>
      <c r="AR37" s="1159">
        <f t="shared" si="52"/>
        <v>0</v>
      </c>
      <c r="AS37" s="1160"/>
      <c r="AT37" s="118">
        <f t="shared" si="53"/>
        <v>6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>Antony Tejada Ch.</v>
      </c>
      <c r="C39" s="334">
        <v>7</v>
      </c>
      <c r="D39" s="342">
        <v>16</v>
      </c>
      <c r="E39" s="30">
        <v>1</v>
      </c>
      <c r="F39" s="31">
        <f t="shared" si="34"/>
        <v>8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4"/>
        <v>0</v>
      </c>
      <c r="M39" s="342">
        <v>8</v>
      </c>
      <c r="N39" s="342">
        <v>16</v>
      </c>
      <c r="O39" s="30">
        <v>1</v>
      </c>
      <c r="P39" s="31">
        <f t="shared" si="37"/>
        <v>7</v>
      </c>
      <c r="Q39" s="106"/>
      <c r="R39" s="106"/>
      <c r="S39" s="31">
        <f t="shared" si="38"/>
        <v>0</v>
      </c>
      <c r="T39" s="30"/>
      <c r="U39" s="32">
        <f t="shared" si="39"/>
        <v>8</v>
      </c>
      <c r="V39" s="20">
        <f t="shared" si="40"/>
        <v>-1</v>
      </c>
      <c r="W39" s="334">
        <v>7</v>
      </c>
      <c r="X39" s="342">
        <v>17</v>
      </c>
      <c r="Y39" s="30">
        <v>1</v>
      </c>
      <c r="Z39" s="31">
        <f t="shared" si="41"/>
        <v>9</v>
      </c>
      <c r="AA39" s="342"/>
      <c r="AB39" s="342"/>
      <c r="AC39" s="31">
        <f>+AB39-AA39</f>
        <v>0</v>
      </c>
      <c r="AD39" s="30"/>
      <c r="AE39" s="32">
        <f t="shared" si="43"/>
        <v>8</v>
      </c>
      <c r="AF39" s="20">
        <f t="shared" si="44"/>
        <v>1</v>
      </c>
      <c r="AG39" s="55"/>
      <c r="AH39" s="112">
        <v>0</v>
      </c>
      <c r="AI39" s="113">
        <f t="shared" si="45"/>
        <v>0</v>
      </c>
      <c r="AJ39" s="113">
        <f t="shared" si="46"/>
        <v>0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0</v>
      </c>
      <c r="AN39" s="113">
        <f t="shared" si="49"/>
        <v>0</v>
      </c>
      <c r="AO39" s="113">
        <f t="shared" si="50"/>
        <v>0</v>
      </c>
      <c r="AP39" s="114">
        <f t="shared" si="51"/>
        <v>-8</v>
      </c>
      <c r="AQ39" s="55"/>
      <c r="AR39" s="1159">
        <f t="shared" si="52"/>
        <v>19.833399999999997</v>
      </c>
      <c r="AS39" s="1160"/>
      <c r="AT39" s="118">
        <f t="shared" si="53"/>
        <v>6</v>
      </c>
      <c r="AU39" s="55"/>
      <c r="AV39" s="55"/>
      <c r="AW39" s="1134">
        <v>-14</v>
      </c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Pedro Hostos S,</v>
      </c>
      <c r="C45" s="372">
        <v>7</v>
      </c>
      <c r="D45" s="348">
        <v>18</v>
      </c>
      <c r="E45" s="119">
        <v>1</v>
      </c>
      <c r="F45" s="120">
        <f t="shared" si="34"/>
        <v>10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2</v>
      </c>
      <c r="M45" s="342">
        <v>7</v>
      </c>
      <c r="N45" s="342">
        <v>18</v>
      </c>
      <c r="O45" s="30">
        <v>1</v>
      </c>
      <c r="P45" s="31">
        <f t="shared" si="37"/>
        <v>10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2</v>
      </c>
      <c r="W45" s="334">
        <v>7</v>
      </c>
      <c r="X45" s="342">
        <v>18</v>
      </c>
      <c r="Y45" s="30">
        <v>1</v>
      </c>
      <c r="Z45" s="31">
        <f t="shared" si="41"/>
        <v>10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2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0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0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82</v>
      </c>
      <c r="AS48" s="1162"/>
      <c r="AT48" s="167">
        <f>SUM(AT33:AT47)</f>
        <v>42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28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43160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43161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43162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43163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43164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43165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43166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-118.5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77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77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77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77"/>
      <c r="AB70" s="477"/>
      <c r="AC70" s="477"/>
      <c r="AD70" s="477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77"/>
      <c r="AB71" s="477"/>
      <c r="AC71" s="477"/>
      <c r="AD71" s="477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77"/>
      <c r="AB72" s="477"/>
      <c r="AC72" s="477"/>
      <c r="AD72" s="477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62</v>
      </c>
      <c r="V73" s="239">
        <v>48</v>
      </c>
      <c r="W73" s="240">
        <f t="shared" ref="W73:W88" si="62">+V73-U73</f>
        <v>-14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41</v>
      </c>
      <c r="V74" s="239">
        <v>48</v>
      </c>
      <c r="W74" s="240">
        <f t="shared" si="62"/>
        <v>7</v>
      </c>
      <c r="X74" s="241">
        <f t="shared" si="63"/>
        <v>8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0</v>
      </c>
      <c r="V75" s="239">
        <v>48</v>
      </c>
      <c r="W75" s="240">
        <f t="shared" si="62"/>
        <v>48</v>
      </c>
      <c r="X75" s="241">
        <f t="shared" si="63"/>
        <v>0</v>
      </c>
      <c r="Z75" s="389"/>
      <c r="AA75" s="478"/>
      <c r="AB75" s="478"/>
      <c r="AC75" s="478"/>
      <c r="AD75" s="478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40</v>
      </c>
      <c r="V76" s="239">
        <v>48</v>
      </c>
      <c r="W76" s="240">
        <f t="shared" si="62"/>
        <v>8</v>
      </c>
      <c r="X76" s="241">
        <f t="shared" si="63"/>
        <v>16</v>
      </c>
      <c r="Z76" s="1045" t="s">
        <v>53</v>
      </c>
      <c r="AA76" s="1045"/>
      <c r="AB76" s="1045"/>
      <c r="AC76" s="1045"/>
      <c r="AD76" s="389" t="s">
        <v>54</v>
      </c>
      <c r="AE76" s="478"/>
      <c r="AF76" s="386"/>
      <c r="AG76" s="391"/>
      <c r="AH76" s="391"/>
      <c r="AI76" s="386"/>
      <c r="AJ76" s="386"/>
      <c r="AK76" s="475"/>
      <c r="AL76" s="475"/>
      <c r="AM76" s="475"/>
      <c r="AN76" s="475"/>
      <c r="AO76" s="475"/>
      <c r="AP76" s="475"/>
      <c r="AQ76" s="475"/>
      <c r="AR76" s="475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48.5</v>
      </c>
      <c r="V77" s="239">
        <v>48</v>
      </c>
      <c r="W77" s="240">
        <f t="shared" si="62"/>
        <v>-0.5</v>
      </c>
      <c r="X77" s="241">
        <f t="shared" si="63"/>
        <v>0</v>
      </c>
      <c r="Z77" s="478"/>
      <c r="AA77" s="478"/>
      <c r="AB77" s="478"/>
      <c r="AC77" s="478"/>
      <c r="AD77" s="478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62</v>
      </c>
      <c r="C79" s="1070">
        <f>+G79*6</f>
        <v>169.99979999999999</v>
      </c>
      <c r="D79" s="1071"/>
      <c r="E79" s="1402">
        <f>+C79/7</f>
        <v>24.285685714285712</v>
      </c>
      <c r="F79" s="1403"/>
      <c r="G79" s="1062">
        <v>28.333300000000001</v>
      </c>
      <c r="H79" s="1063"/>
      <c r="I79" s="1052">
        <f>+G79/8</f>
        <v>3.5416625000000002</v>
      </c>
      <c r="J79" s="1058"/>
      <c r="K79" s="1059">
        <f>+G79*30</f>
        <v>849.99900000000002</v>
      </c>
      <c r="L79" s="1059"/>
      <c r="M79" s="5"/>
      <c r="N79" s="1020">
        <f t="shared" si="59"/>
        <v>4.1319395833333337</v>
      </c>
      <c r="O79" s="1020"/>
      <c r="P79" s="5"/>
      <c r="Q79" s="1056">
        <f t="shared" si="60"/>
        <v>1.2395874999999998</v>
      </c>
      <c r="R79" s="1057"/>
      <c r="S79" s="1066">
        <f>20*30/180*117</f>
        <v>390</v>
      </c>
      <c r="T79" s="1067"/>
      <c r="U79" s="238">
        <f t="shared" si="61"/>
        <v>54</v>
      </c>
      <c r="V79" s="239">
        <v>48</v>
      </c>
      <c r="W79" s="240">
        <f t="shared" si="62"/>
        <v>-6</v>
      </c>
      <c r="X79" s="241">
        <f t="shared" si="63"/>
        <v>16</v>
      </c>
      <c r="Y79" s="248"/>
      <c r="Z79" s="478"/>
      <c r="AA79" s="478"/>
      <c r="AB79" s="478"/>
      <c r="AC79" s="478"/>
      <c r="AD79" s="478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77"/>
      <c r="T80" s="477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77"/>
      <c r="Z80" s="478"/>
      <c r="AA80" s="478"/>
      <c r="AB80" s="478"/>
      <c r="AC80" s="478"/>
      <c r="AD80" s="478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78"/>
      <c r="AC81" s="478"/>
      <c r="AD81" s="478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48</v>
      </c>
      <c r="V82" s="239">
        <v>48</v>
      </c>
      <c r="W82" s="240">
        <f>+V82-U82</f>
        <v>0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78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78"/>
      <c r="AD83" s="478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>
        <v>850</v>
      </c>
    </row>
    <row r="84" spans="1:46" ht="16.5">
      <c r="B84" s="250" t="s">
        <v>117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039">
        <f>28.3333</f>
        <v>28.333300000000001</v>
      </c>
      <c r="H84" s="1040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478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>
        <v>1.1299999999999999</v>
      </c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43166</v>
      </c>
      <c r="V85" s="239">
        <v>48</v>
      </c>
      <c r="W85" s="240">
        <f t="shared" si="62"/>
        <v>-43118</v>
      </c>
      <c r="X85" s="241">
        <f>+J27+T27+AD27+J49+T49+AD49</f>
        <v>0</v>
      </c>
      <c r="Z85" s="246"/>
      <c r="AA85" s="246"/>
      <c r="AB85" s="478"/>
      <c r="AC85" s="478"/>
      <c r="AD85" s="478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>
        <f>+AT83/AT84</f>
        <v>752.21238938053102</v>
      </c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78"/>
      <c r="AA86" s="478"/>
      <c r="AB86" s="478"/>
      <c r="AC86" s="478"/>
      <c r="AD86" s="478"/>
      <c r="AE86" s="386"/>
      <c r="AF86" s="386"/>
      <c r="AG86" s="391"/>
      <c r="AH86" s="391"/>
      <c r="AI86" s="386"/>
      <c r="AJ86" s="386"/>
      <c r="AK86" s="475"/>
      <c r="AL86" s="475"/>
      <c r="AM86" s="475"/>
      <c r="AN86" s="475"/>
      <c r="AO86" s="475"/>
      <c r="AP86" s="475"/>
      <c r="AQ86" s="475"/>
      <c r="AR86" s="475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78"/>
      <c r="AC87" s="478"/>
      <c r="AD87" s="478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78"/>
      <c r="AA88" s="478"/>
      <c r="AB88" s="478"/>
      <c r="AC88" s="478"/>
      <c r="AD88" s="478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78"/>
      <c r="AA89" s="478"/>
      <c r="AB89" s="478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78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75"/>
      <c r="AM102" s="391"/>
      <c r="AN102" s="475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75"/>
      <c r="AM120" s="391"/>
      <c r="AN120" s="475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75"/>
      <c r="AM140" s="391"/>
      <c r="AN140" s="475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76"/>
      <c r="E150" s="304"/>
      <c r="F150" s="305"/>
      <c r="G150" s="476"/>
      <c r="H150" s="476"/>
      <c r="I150" s="305"/>
      <c r="J150" s="476"/>
      <c r="K150" s="306"/>
      <c r="L150" s="306"/>
      <c r="M150" s="476"/>
      <c r="N150" s="476"/>
      <c r="O150" s="476"/>
      <c r="P150" s="476"/>
      <c r="Q150" s="476"/>
      <c r="R150" s="476"/>
      <c r="S150" s="476"/>
      <c r="T150" s="476"/>
      <c r="U150" s="476"/>
      <c r="V150" s="476"/>
      <c r="W150" s="476"/>
      <c r="X150" s="476"/>
      <c r="Y150" s="476"/>
      <c r="Z150" s="476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75"/>
      <c r="AM159" s="391"/>
      <c r="AN159" s="475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76"/>
      <c r="E168" s="304"/>
      <c r="F168" s="305"/>
      <c r="G168" s="476"/>
      <c r="H168" s="476"/>
      <c r="I168" s="305"/>
      <c r="J168" s="476"/>
      <c r="K168" s="306"/>
      <c r="L168" s="306"/>
      <c r="M168" s="476"/>
      <c r="N168" s="476"/>
      <c r="O168" s="476"/>
      <c r="P168" s="476"/>
      <c r="Q168" s="476"/>
      <c r="R168" s="476"/>
      <c r="S168" s="476"/>
      <c r="T168" s="476"/>
      <c r="U168" s="476"/>
      <c r="V168" s="476"/>
      <c r="W168" s="476"/>
      <c r="X168" s="476"/>
      <c r="Y168" s="476"/>
      <c r="Z168" s="476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7"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AB78:AK78"/>
    <mergeCell ref="C79:D79"/>
    <mergeCell ref="E79:F79"/>
    <mergeCell ref="G79:H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9 AH62 AP62 AH33:AH50 AP33:AP50">
    <cfRule type="cellIs" dxfId="241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240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239" priority="20" stopIfTrue="1" operator="lessThan">
      <formula>0</formula>
    </cfRule>
  </conditionalFormatting>
  <conditionalFormatting sqref="AJ58:AJ59 F62 Z62 F58:F60 P62:P68 P58:P60 Z58:Z60 F33:F50 P33:P55 Z33:Z50 AJ11:AJ27 F11:F26 Z11:Z27 P11:P27">
    <cfRule type="cellIs" dxfId="238" priority="19" stopIfTrue="1" operator="lessThanOrEqual">
      <formula>0</formula>
    </cfRule>
  </conditionalFormatting>
  <conditionalFormatting sqref="AM58:AM59 AC62 I62 AC58:AC60 S62:S68 S58:S60 I58:I60 I33:I50 S33:S55 AM11:AM27 S11:S27 I11:I26 AC11:AC27 AC33:AC50">
    <cfRule type="cellIs" dxfId="237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U12:U22 K25 K47 AE43:AF43 U43:V43 U44:U45 AE44:AE45 K34:K45 U34:U42 AE34:AE42 K33:L33 K17:L17 V17 K12:K16 K18:K22 U23:V24 AO11:AO27 AE15:AE25">
    <cfRule type="cellIs" dxfId="236" priority="17" stopIfTrue="1" operator="lessThanOrEqual">
      <formula>0</formula>
    </cfRule>
  </conditionalFormatting>
  <conditionalFormatting sqref="Z51:AA55 Z63:AA68 W76:X85 W87:X89">
    <cfRule type="cellIs" dxfId="235" priority="16" stopIfTrue="1" operator="lessThan">
      <formula>0</formula>
    </cfRule>
  </conditionalFormatting>
  <conditionalFormatting sqref="X51:X55 X63:X68 U76:U85 U87:U89">
    <cfRule type="cellIs" dxfId="234" priority="15" stopIfTrue="1" operator="greaterThan">
      <formula>48</formula>
    </cfRule>
  </conditionalFormatting>
  <conditionalFormatting sqref="C183:C187 C195:D198 C126:D126 D183:D194 C90:D109">
    <cfRule type="cellIs" dxfId="233" priority="14" stopIfTrue="1" operator="lessThan">
      <formula>$C$73</formula>
    </cfRule>
  </conditionalFormatting>
  <conditionalFormatting sqref="AI62:AO62 AI33:AO50">
    <cfRule type="cellIs" dxfId="232" priority="12" stopIfTrue="1" operator="equal">
      <formula>0</formula>
    </cfRule>
    <cfRule type="cellIs" dxfId="231" priority="13" stopIfTrue="1" operator="lessThan">
      <formula>0</formula>
    </cfRule>
  </conditionalFormatting>
  <conditionalFormatting sqref="AT62 AT33:AT47">
    <cfRule type="cellIs" dxfId="230" priority="10" stopIfTrue="1" operator="greaterThan">
      <formula>0</formula>
    </cfRule>
    <cfRule type="cellIs" dxfId="229" priority="11" stopIfTrue="1" operator="lessThan">
      <formula>1</formula>
    </cfRule>
  </conditionalFormatting>
  <conditionalFormatting sqref="K86:L86 K83:L83 K73:L81">
    <cfRule type="cellIs" dxfId="228" priority="9" stopIfTrue="1" operator="greaterThanOrEqual">
      <formula>$K$71</formula>
    </cfRule>
  </conditionalFormatting>
  <conditionalFormatting sqref="AF58:AF59 AF11:AF13 L34:L47 V34:V47 AF34:AF47 L12:L25 V12:V25 AF15:AF25">
    <cfRule type="cellIs" dxfId="227" priority="7" stopIfTrue="1" operator="equal">
      <formula>0</formula>
    </cfRule>
    <cfRule type="cellIs" dxfId="226" priority="8" stopIfTrue="1" operator="lessThan">
      <formula>0</formula>
    </cfRule>
  </conditionalFormatting>
  <conditionalFormatting sqref="V33">
    <cfRule type="cellIs" dxfId="225" priority="5" stopIfTrue="1" operator="equal">
      <formula>0</formula>
    </cfRule>
    <cfRule type="cellIs" dxfId="224" priority="6" stopIfTrue="1" operator="lessThan">
      <formula>0</formula>
    </cfRule>
  </conditionalFormatting>
  <conditionalFormatting sqref="L33">
    <cfRule type="cellIs" dxfId="223" priority="3" stopIfTrue="1" operator="equal">
      <formula>0</formula>
    </cfRule>
    <cfRule type="cellIs" dxfId="222" priority="4" stopIfTrue="1" operator="lessThan">
      <formula>0</formula>
    </cfRule>
  </conditionalFormatting>
  <conditionalFormatting sqref="AF14">
    <cfRule type="cellIs" dxfId="221" priority="1" stopIfTrue="1" operator="equal">
      <formula>0</formula>
    </cfRule>
    <cfRule type="cellIs" dxfId="220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X45" formula="1"/>
  </ignoredErrors>
  <drawing r:id="rId3"/>
  <legacyDrawing r:id="rId4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workbookViewId="0">
      <pane xSplit="2" ySplit="4" topLeftCell="D5" activePane="bottomRight" state="frozen"/>
      <selection activeCell="C5" sqref="C5:J6"/>
      <selection pane="topRight" activeCell="C5" sqref="C5:J6"/>
      <selection pane="bottomLeft" activeCell="C5" sqref="C5:J6"/>
      <selection pane="bottomRight" activeCell="F41" sqref="F41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69" customWidth="1"/>
    <col min="5" max="5" width="4.28515625" style="3" customWidth="1"/>
    <col min="6" max="6" width="4.28515625" style="4" customWidth="1"/>
    <col min="7" max="8" width="4.28515625" style="469" customWidth="1"/>
    <col min="9" max="9" width="4.28515625" style="4" customWidth="1"/>
    <col min="10" max="10" width="4.28515625" style="469" customWidth="1"/>
    <col min="11" max="12" width="4.28515625" style="5" customWidth="1"/>
    <col min="13" max="26" width="4.28515625" style="469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43159</v>
      </c>
      <c r="C1" s="469" t="s">
        <v>0</v>
      </c>
      <c r="AN1" s="7"/>
      <c r="AO1" s="7"/>
      <c r="AR1" s="1340">
        <f>+AR48+AT48</f>
        <v>115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43160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69">
        <v>0</v>
      </c>
    </row>
    <row r="5" spans="1:58" ht="10.9" customHeight="1">
      <c r="B5" s="1244" t="s">
        <v>1</v>
      </c>
      <c r="C5" s="1140">
        <v>43153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43154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43155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43156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43153</v>
      </c>
      <c r="AW7" s="1296">
        <f>+M5</f>
        <v>43154</v>
      </c>
      <c r="AX7" s="1296">
        <f>+W5</f>
        <v>43155</v>
      </c>
      <c r="AY7" s="1309">
        <f>+AG5</f>
        <v>43156</v>
      </c>
      <c r="AZ7" s="1296">
        <f>+C27</f>
        <v>43157</v>
      </c>
      <c r="BA7" s="1296">
        <f>+M27</f>
        <v>43158</v>
      </c>
      <c r="BB7" s="1296">
        <f>+W27</f>
        <v>43159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16</v>
      </c>
      <c r="E11" s="16">
        <v>1</v>
      </c>
      <c r="F11" s="17">
        <f t="shared" ref="F11:F21" si="1">+D11-C11-E11</f>
        <v>8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4</v>
      </c>
      <c r="AQ11" s="1298"/>
      <c r="AR11" s="1299">
        <f t="shared" ref="AR11:AR21" si="17">ROUND(BD11*AP11,1)</f>
        <v>18.2</v>
      </c>
      <c r="AS11" s="1300"/>
      <c r="AT11" s="338">
        <f t="shared" ref="AT11:AT20" si="18">IF(AT33&gt;0,AT33*$AT$10,0)</f>
        <v>24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0</v>
      </c>
      <c r="AY11" s="27">
        <f t="shared" ref="AY11:AY21" si="22">+AO11</f>
        <v>0</v>
      </c>
      <c r="AZ11" s="26">
        <f t="shared" ref="AZ11:AZ19" si="23">+L33</f>
        <v>4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18.185714285714283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15</v>
      </c>
      <c r="E12" s="30">
        <v>1</v>
      </c>
      <c r="F12" s="31">
        <f t="shared" si="1"/>
        <v>7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-1</v>
      </c>
      <c r="M12" s="471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15</v>
      </c>
      <c r="Y12" s="30">
        <v>1</v>
      </c>
      <c r="Z12" s="31">
        <f t="shared" si="9"/>
        <v>7</v>
      </c>
      <c r="AA12" s="344"/>
      <c r="AB12" s="53">
        <v>0.5</v>
      </c>
      <c r="AC12" s="36">
        <f t="shared" si="10"/>
        <v>0.5</v>
      </c>
      <c r="AD12" s="30"/>
      <c r="AE12" s="32">
        <f t="shared" si="11"/>
        <v>8.5</v>
      </c>
      <c r="AF12" s="20">
        <f t="shared" si="12"/>
        <v>-1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4"/>
        <v>0</v>
      </c>
      <c r="AN12" s="39"/>
      <c r="AO12" s="40">
        <f t="shared" si="15"/>
        <v>0</v>
      </c>
      <c r="AP12" s="1282">
        <f t="shared" si="16"/>
        <v>5</v>
      </c>
      <c r="AQ12" s="1283"/>
      <c r="AR12" s="1284">
        <f t="shared" si="17"/>
        <v>25.7</v>
      </c>
      <c r="AS12" s="1285"/>
      <c r="AT12" s="345">
        <f t="shared" si="18"/>
        <v>24</v>
      </c>
      <c r="AV12" s="26">
        <f t="shared" si="19"/>
        <v>-1</v>
      </c>
      <c r="AW12" s="26">
        <f t="shared" si="20"/>
        <v>0</v>
      </c>
      <c r="AX12" s="26">
        <f t="shared" si="21"/>
        <v>-1</v>
      </c>
      <c r="AY12" s="27">
        <f t="shared" si="22"/>
        <v>0</v>
      </c>
      <c r="AZ12" s="26">
        <f t="shared" si="23"/>
        <v>5</v>
      </c>
      <c r="BA12" s="26">
        <f t="shared" si="24"/>
        <v>2</v>
      </c>
      <c r="BB12" s="26">
        <f t="shared" si="25"/>
        <v>0</v>
      </c>
      <c r="BC12" s="28"/>
      <c r="BD12" s="339">
        <f t="shared" si="26"/>
        <v>5.1339285714285712</v>
      </c>
      <c r="BE12" s="340">
        <f t="shared" si="27"/>
        <v>25.669642857142854</v>
      </c>
      <c r="BF12" s="341">
        <f t="shared" si="28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471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18</v>
      </c>
      <c r="Y13" s="30">
        <v>1</v>
      </c>
      <c r="Z13" s="31">
        <f t="shared" si="9"/>
        <v>10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2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2-1+4</f>
        <v>5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20</v>
      </c>
      <c r="AV13" s="26">
        <f t="shared" si="19"/>
        <v>2</v>
      </c>
      <c r="AW13" s="26">
        <f t="shared" si="20"/>
        <v>0</v>
      </c>
      <c r="AX13" s="26">
        <f t="shared" si="21"/>
        <v>2</v>
      </c>
      <c r="AY13" s="27">
        <f t="shared" si="22"/>
        <v>0</v>
      </c>
      <c r="AZ13" s="26">
        <f t="shared" si="23"/>
        <v>0</v>
      </c>
      <c r="BA13" s="26">
        <f t="shared" si="24"/>
        <v>1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19</v>
      </c>
      <c r="E14" s="42">
        <v>1</v>
      </c>
      <c r="F14" s="44">
        <f t="shared" si="1"/>
        <v>11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3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2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 t="shared" si="12"/>
        <v>0</v>
      </c>
      <c r="AG14" s="37"/>
      <c r="AH14" s="342"/>
      <c r="AI14" s="30"/>
      <c r="AJ14" s="38">
        <f t="shared" si="13"/>
        <v>0</v>
      </c>
      <c r="AK14" s="342"/>
      <c r="AL14" s="342"/>
      <c r="AM14" s="31">
        <f t="shared" si="14"/>
        <v>0</v>
      </c>
      <c r="AN14" s="47"/>
      <c r="AO14" s="40">
        <f t="shared" si="15"/>
        <v>0</v>
      </c>
      <c r="AP14" s="1282">
        <f t="shared" si="16"/>
        <v>20</v>
      </c>
      <c r="AQ14" s="1283"/>
      <c r="AR14" s="1284">
        <f t="shared" si="17"/>
        <v>83.3</v>
      </c>
      <c r="AS14" s="1285"/>
      <c r="AT14" s="345">
        <f t="shared" si="18"/>
        <v>24</v>
      </c>
      <c r="AV14" s="26">
        <f t="shared" si="19"/>
        <v>3</v>
      </c>
      <c r="AW14" s="26">
        <f t="shared" si="20"/>
        <v>2</v>
      </c>
      <c r="AX14" s="26">
        <f t="shared" si="21"/>
        <v>0</v>
      </c>
      <c r="AY14" s="27">
        <f t="shared" si="22"/>
        <v>0</v>
      </c>
      <c r="AZ14" s="26">
        <f t="shared" si="23"/>
        <v>1</v>
      </c>
      <c r="BA14" s="26">
        <f t="shared" si="24"/>
        <v>0</v>
      </c>
      <c r="BB14" s="26">
        <f t="shared" si="25"/>
        <v>14</v>
      </c>
      <c r="BC14" s="28"/>
      <c r="BD14" s="339">
        <f t="shared" si="26"/>
        <v>4.1666785714285712</v>
      </c>
      <c r="BE14" s="340">
        <f t="shared" si="27"/>
        <v>83.333571428571418</v>
      </c>
      <c r="BF14" s="341">
        <f t="shared" si="28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471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/>
      <c r="X15" s="342"/>
      <c r="Y15" s="30"/>
      <c r="Z15" s="31">
        <f t="shared" si="9"/>
        <v>0</v>
      </c>
      <c r="AA15" s="346"/>
      <c r="AB15" s="49"/>
      <c r="AC15" s="31">
        <f t="shared" si="10"/>
        <v>0</v>
      </c>
      <c r="AD15" s="30"/>
      <c r="AE15" s="32">
        <f t="shared" si="11"/>
        <v>0</v>
      </c>
      <c r="AF15" s="20">
        <f t="shared" si="12"/>
        <v>0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6</v>
      </c>
      <c r="AQ15" s="1295"/>
      <c r="AR15" s="1284">
        <f t="shared" si="17"/>
        <v>30.8</v>
      </c>
      <c r="AS15" s="1285"/>
      <c r="AT15" s="345">
        <f t="shared" si="18"/>
        <v>20</v>
      </c>
      <c r="AV15" s="26">
        <f t="shared" si="19"/>
        <v>1</v>
      </c>
      <c r="AW15" s="26">
        <f t="shared" si="20"/>
        <v>1</v>
      </c>
      <c r="AX15" s="26">
        <f t="shared" si="21"/>
        <v>0</v>
      </c>
      <c r="AY15" s="27">
        <f t="shared" si="22"/>
        <v>0</v>
      </c>
      <c r="AZ15" s="26">
        <f t="shared" si="23"/>
        <v>2</v>
      </c>
      <c r="BA15" s="26">
        <f t="shared" si="24"/>
        <v>2</v>
      </c>
      <c r="BB15" s="26">
        <f t="shared" si="25"/>
        <v>0</v>
      </c>
      <c r="BC15" s="28"/>
      <c r="BD15" s="339">
        <f t="shared" si="26"/>
        <v>5.1339285714285712</v>
      </c>
      <c r="BE15" s="349">
        <f t="shared" si="27"/>
        <v>30.803571428571427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8</v>
      </c>
      <c r="X16" s="346">
        <v>13</v>
      </c>
      <c r="Y16" s="42">
        <v>1</v>
      </c>
      <c r="Z16" s="44">
        <f>+X16-W16-Y16</f>
        <v>4</v>
      </c>
      <c r="AA16" s="47"/>
      <c r="AB16" s="53">
        <v>0.5</v>
      </c>
      <c r="AC16" s="31">
        <f>+AB16-AA16</f>
        <v>0.5</v>
      </c>
      <c r="AD16" s="30"/>
      <c r="AE16" s="32">
        <f>+AC16+Z16-IF(AE$5&gt;0,AF16/2,AF16)</f>
        <v>5.5</v>
      </c>
      <c r="AF16" s="20">
        <f>IF(W16&gt;0,IF(AE$5&gt;0,(Z16+AC16)*2,(Z16+AC16-5)),0)*IF(Z16&lt;6,IF(AE$5&gt;0,1,2),1)+IF(Z16&gt;5,AC16,0)</f>
        <v>-1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-1</v>
      </c>
      <c r="AQ16" s="1283"/>
      <c r="AR16" s="1284">
        <f>ROUND(BD16*AP16,1)</f>
        <v>-5.0999999999999996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-1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-5.1339285714285712</v>
      </c>
      <c r="BF16" s="352">
        <f>+BD16*AY16</f>
        <v>0</v>
      </c>
    </row>
    <row r="17" spans="1:58" ht="14.1" customHeight="1">
      <c r="B17" s="48" t="str">
        <f t="shared" si="0"/>
        <v>Antony Tejada Ch.</v>
      </c>
      <c r="C17" s="334">
        <v>8</v>
      </c>
      <c r="D17" s="342">
        <v>16</v>
      </c>
      <c r="E17" s="30">
        <v>1</v>
      </c>
      <c r="F17" s="31">
        <f>+D17-C17-E17</f>
        <v>7</v>
      </c>
      <c r="G17" s="342"/>
      <c r="H17" s="342"/>
      <c r="I17" s="31">
        <f>+H17-G17</f>
        <v>0</v>
      </c>
      <c r="J17" s="30"/>
      <c r="K17" s="32">
        <f>+I17+F17-L17</f>
        <v>8</v>
      </c>
      <c r="L17" s="20">
        <f>IF(C17&gt;0,(F17+I17)+IF(K$5&gt;0,F17,-8),0)+IF(U$5&gt;0,I17,0)</f>
        <v>-1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>
        <v>7</v>
      </c>
      <c r="X17" s="342">
        <v>16</v>
      </c>
      <c r="Y17" s="30">
        <v>1</v>
      </c>
      <c r="Z17" s="44">
        <f>+X17-W17-Y17</f>
        <v>8</v>
      </c>
      <c r="AA17" s="346"/>
      <c r="AB17" s="344"/>
      <c r="AC17" s="31">
        <f>+AB17-AA17</f>
        <v>0</v>
      </c>
      <c r="AD17" s="30"/>
      <c r="AE17" s="32">
        <f>+AC17+Z17-IF(AE$5&gt;0,AF17/2,AF17)</f>
        <v>8</v>
      </c>
      <c r="AF17" s="20">
        <f>IF(W17&gt;0,IF(AE$5&gt;0,(Z17+AC17)*2,(Z17+AC17-8)),0)*IF(Z17&lt;9,IF(AE$5&gt;0,1,2),1)+IF(Z17&gt;8,AC17,0)</f>
        <v>0</v>
      </c>
      <c r="AG17" s="37">
        <v>8</v>
      </c>
      <c r="AH17" s="342">
        <v>16</v>
      </c>
      <c r="AI17" s="30">
        <v>1</v>
      </c>
      <c r="AJ17" s="38">
        <f t="shared" si="13"/>
        <v>7</v>
      </c>
      <c r="AK17" s="342"/>
      <c r="AL17" s="342"/>
      <c r="AM17" s="31">
        <f t="shared" si="14"/>
        <v>0</v>
      </c>
      <c r="AN17" s="39"/>
      <c r="AO17" s="40">
        <f t="shared" si="15"/>
        <v>14</v>
      </c>
      <c r="AP17" s="1282">
        <f t="shared" si="16"/>
        <v>28</v>
      </c>
      <c r="AQ17" s="1283"/>
      <c r="AR17" s="1284">
        <f t="shared" si="17"/>
        <v>99.2</v>
      </c>
      <c r="AS17" s="1285"/>
      <c r="AT17" s="345">
        <f t="shared" si="18"/>
        <v>20</v>
      </c>
      <c r="AV17" s="26">
        <f t="shared" si="19"/>
        <v>-1</v>
      </c>
      <c r="AW17" s="26">
        <f t="shared" si="20"/>
        <v>0</v>
      </c>
      <c r="AX17" s="26">
        <f t="shared" si="21"/>
        <v>0</v>
      </c>
      <c r="AY17" s="27">
        <f t="shared" si="22"/>
        <v>14</v>
      </c>
      <c r="AZ17" s="26">
        <f t="shared" si="23"/>
        <v>0</v>
      </c>
      <c r="BA17" s="26">
        <f t="shared" si="24"/>
        <v>1</v>
      </c>
      <c r="BB17" s="26">
        <f t="shared" si="25"/>
        <v>14</v>
      </c>
      <c r="BC17" s="28"/>
      <c r="BD17" s="339">
        <f t="shared" si="26"/>
        <v>3.5416625000000002</v>
      </c>
      <c r="BE17" s="349">
        <f t="shared" si="27"/>
        <v>99.166550000000001</v>
      </c>
      <c r="BF17" s="350">
        <f t="shared" si="28"/>
        <v>49.583275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 t="shared" si="18"/>
        <v>0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2</v>
      </c>
      <c r="BA20" s="69">
        <f>+V45</f>
        <v>2</v>
      </c>
      <c r="BB20" s="69">
        <f>+AF45</f>
        <v>0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70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Pedro Hostos S,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460">
        <f>+I23+F23-L23</f>
        <v>8</v>
      </c>
      <c r="L23" s="461">
        <f t="shared" si="4"/>
        <v>2</v>
      </c>
      <c r="M23" s="462">
        <v>7</v>
      </c>
      <c r="N23" s="459">
        <v>17</v>
      </c>
      <c r="O23" s="459">
        <v>1</v>
      </c>
      <c r="P23" s="460">
        <f>+N23-M23-O23</f>
        <v>9</v>
      </c>
      <c r="Q23" s="459"/>
      <c r="R23" s="459"/>
      <c r="S23" s="460">
        <f>+R23-Q23</f>
        <v>0</v>
      </c>
      <c r="T23" s="459"/>
      <c r="U23" s="460">
        <f>+S23+P23-V23</f>
        <v>8</v>
      </c>
      <c r="V23" s="461">
        <f>IF(M23&gt;0,(P23+S23)+IF(U$5&gt;0,P23,-8),0)+IF(AE$5&gt;0,S23,0)</f>
        <v>1</v>
      </c>
      <c r="W23" s="459">
        <v>7</v>
      </c>
      <c r="X23" s="459">
        <v>17</v>
      </c>
      <c r="Y23" s="459">
        <v>1</v>
      </c>
      <c r="Z23" s="460">
        <f>+X23-W23-Y23</f>
        <v>9</v>
      </c>
      <c r="AA23" s="459"/>
      <c r="AB23" s="463"/>
      <c r="AC23" s="460">
        <f>+AB23-AA23</f>
        <v>0</v>
      </c>
      <c r="AD23" s="459"/>
      <c r="AE23" s="460">
        <f>+AC23+Z23-IF(AE$5&gt;0,AF23/2,AF23)</f>
        <v>8</v>
      </c>
      <c r="AF23" s="461">
        <f t="shared" si="30"/>
        <v>1</v>
      </c>
      <c r="AG23" s="459"/>
      <c r="AH23" s="459"/>
      <c r="AI23" s="459"/>
      <c r="AJ23" s="464">
        <f t="shared" si="13"/>
        <v>0</v>
      </c>
      <c r="AK23" s="459"/>
      <c r="AL23" s="459"/>
      <c r="AM23" s="460">
        <f>+AL23-AK23</f>
        <v>0</v>
      </c>
      <c r="AN23" s="459"/>
      <c r="AO23" s="465">
        <f>(AJ23*2+AM23)</f>
        <v>0</v>
      </c>
      <c r="AP23" s="1282">
        <f t="shared" si="16"/>
        <v>8</v>
      </c>
      <c r="AQ23" s="1283"/>
      <c r="AR23" s="1284">
        <f>ROUND(BD23*AP23,1)</f>
        <v>28.3</v>
      </c>
      <c r="AS23" s="1285"/>
      <c r="AT23" s="345">
        <f>IF(AT45&gt;0,AT45*$AT$10,0)</f>
        <v>24</v>
      </c>
      <c r="AV23" s="69">
        <f>+L23</f>
        <v>2</v>
      </c>
      <c r="AW23" s="69">
        <f>+V23</f>
        <v>1</v>
      </c>
      <c r="AX23" s="69">
        <f>+AF23</f>
        <v>1</v>
      </c>
      <c r="AY23" s="70">
        <f>+AO23</f>
        <v>0</v>
      </c>
      <c r="AZ23" s="69">
        <f>+L45</f>
        <v>2</v>
      </c>
      <c r="BA23" s="69">
        <f>+V45</f>
        <v>2</v>
      </c>
      <c r="BB23" s="69">
        <f>+AF45</f>
        <v>0</v>
      </c>
      <c r="BC23" s="54"/>
      <c r="BD23" s="339">
        <f t="shared" si="31"/>
        <v>3.5416625000000002</v>
      </c>
      <c r="BE23" s="351">
        <f>+BD23*AP23</f>
        <v>28.333300000000001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280.35842142857138</v>
      </c>
      <c r="BF26" s="1242">
        <f>SUM(BF11:BF25)</f>
        <v>49.583275</v>
      </c>
    </row>
    <row r="27" spans="1:58" ht="10.9" customHeight="1">
      <c r="B27" s="1244" t="s">
        <v>1</v>
      </c>
      <c r="C27" s="1140">
        <f>1+AG5</f>
        <v>43157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43158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43159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43153</v>
      </c>
      <c r="AJ27" s="1218">
        <f t="shared" ref="AJ27:AO27" si="32">1+AI27</f>
        <v>43154</v>
      </c>
      <c r="AK27" s="1218">
        <f t="shared" si="32"/>
        <v>43155</v>
      </c>
      <c r="AL27" s="1219">
        <f t="shared" si="32"/>
        <v>43156</v>
      </c>
      <c r="AM27" s="1219">
        <f t="shared" si="32"/>
        <v>43157</v>
      </c>
      <c r="AN27" s="1220">
        <f t="shared" si="32"/>
        <v>43158</v>
      </c>
      <c r="AO27" s="1220">
        <f t="shared" si="32"/>
        <v>43159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43156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79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65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8</v>
      </c>
      <c r="D33" s="342">
        <v>21</v>
      </c>
      <c r="E33" s="30">
        <v>1</v>
      </c>
      <c r="F33" s="31">
        <f t="shared" ref="F33:F47" si="34">+D33-C33-E33</f>
        <v>12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4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0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6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21</v>
      </c>
      <c r="E34" s="30">
        <v>1</v>
      </c>
      <c r="F34" s="31">
        <f t="shared" si="34"/>
        <v>13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5</v>
      </c>
      <c r="M34" s="342">
        <v>7</v>
      </c>
      <c r="N34" s="342">
        <v>18</v>
      </c>
      <c r="O34" s="30">
        <v>1</v>
      </c>
      <c r="P34" s="31">
        <f t="shared" si="37"/>
        <v>10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2</v>
      </c>
      <c r="W34" s="334">
        <v>7</v>
      </c>
      <c r="X34" s="342">
        <v>16</v>
      </c>
      <c r="Y34" s="30">
        <v>1</v>
      </c>
      <c r="Z34" s="31">
        <f t="shared" si="41"/>
        <v>8</v>
      </c>
      <c r="AA34" s="342"/>
      <c r="AB34" s="346"/>
      <c r="AC34" s="31">
        <f t="shared" si="42"/>
        <v>0</v>
      </c>
      <c r="AD34" s="30"/>
      <c r="AE34" s="32">
        <f t="shared" si="43"/>
        <v>8</v>
      </c>
      <c r="AF34" s="20">
        <f t="shared" si="44"/>
        <v>0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0.5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0.5</v>
      </c>
      <c r="AQ34" s="55"/>
      <c r="AR34" s="1159">
        <f t="shared" si="52"/>
        <v>0</v>
      </c>
      <c r="AS34" s="1160"/>
      <c r="AT34" s="117">
        <f t="shared" si="53"/>
        <v>6</v>
      </c>
      <c r="AU34" s="55"/>
      <c r="AV34" s="55"/>
      <c r="AW34" s="1134"/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17</v>
      </c>
      <c r="O35" s="30">
        <v>1</v>
      </c>
      <c r="P35" s="31">
        <f t="shared" si="37"/>
        <v>9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1</v>
      </c>
      <c r="W35" s="334"/>
      <c r="X35" s="342"/>
      <c r="Y35" s="30"/>
      <c r="Z35" s="31">
        <f t="shared" si="41"/>
        <v>0</v>
      </c>
      <c r="AA35" s="342"/>
      <c r="AB35" s="116"/>
      <c r="AC35" s="31">
        <f t="shared" si="42"/>
        <v>0</v>
      </c>
      <c r="AD35" s="30"/>
      <c r="AE35" s="32">
        <f t="shared" si="43"/>
        <v>0</v>
      </c>
      <c r="AF35" s="20">
        <f t="shared" si="44"/>
        <v>0</v>
      </c>
      <c r="AG35" s="55"/>
      <c r="AH35" s="112">
        <v>0</v>
      </c>
      <c r="AI35" s="113">
        <f t="shared" si="45"/>
        <v>0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-8</v>
      </c>
      <c r="AP35" s="114">
        <f t="shared" si="51"/>
        <v>-8</v>
      </c>
      <c r="AQ35" s="55"/>
      <c r="AR35" s="1159">
        <f t="shared" si="52"/>
        <v>0</v>
      </c>
      <c r="AS35" s="1160"/>
      <c r="AT35" s="118">
        <f t="shared" si="53"/>
        <v>5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17</v>
      </c>
      <c r="E36" s="119">
        <v>1</v>
      </c>
      <c r="F36" s="120">
        <f t="shared" si="34"/>
        <v>9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1</v>
      </c>
      <c r="M36" s="342">
        <v>7</v>
      </c>
      <c r="N36" s="342">
        <v>16</v>
      </c>
      <c r="O36" s="30">
        <v>1</v>
      </c>
      <c r="P36" s="31">
        <f t="shared" si="37"/>
        <v>8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0</v>
      </c>
      <c r="W36" s="334">
        <v>7</v>
      </c>
      <c r="X36" s="342">
        <v>24</v>
      </c>
      <c r="Y36" s="30">
        <v>2</v>
      </c>
      <c r="Z36" s="31">
        <f t="shared" si="41"/>
        <v>15</v>
      </c>
      <c r="AA36" s="342">
        <v>0</v>
      </c>
      <c r="AB36" s="342">
        <v>7</v>
      </c>
      <c r="AC36" s="31">
        <f t="shared" si="42"/>
        <v>7</v>
      </c>
      <c r="AD36" s="30">
        <v>8</v>
      </c>
      <c r="AE36" s="32">
        <f t="shared" si="43"/>
        <v>8</v>
      </c>
      <c r="AF36" s="20">
        <f t="shared" si="44"/>
        <v>14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0</v>
      </c>
      <c r="AQ36" s="55"/>
      <c r="AR36" s="1159">
        <f t="shared" si="52"/>
        <v>4.9165714285714301</v>
      </c>
      <c r="AS36" s="1160"/>
      <c r="AT36" s="118">
        <f t="shared" si="53"/>
        <v>6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18</v>
      </c>
      <c r="E37" s="30">
        <v>1</v>
      </c>
      <c r="F37" s="31">
        <f t="shared" si="34"/>
        <v>10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2</v>
      </c>
      <c r="M37" s="342">
        <v>7</v>
      </c>
      <c r="N37" s="342">
        <v>18</v>
      </c>
      <c r="O37" s="30">
        <v>1</v>
      </c>
      <c r="P37" s="31">
        <f t="shared" si="37"/>
        <v>10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2</v>
      </c>
      <c r="W37" s="334">
        <v>7</v>
      </c>
      <c r="X37" s="342">
        <v>16</v>
      </c>
      <c r="Y37" s="30">
        <v>1</v>
      </c>
      <c r="Z37" s="31">
        <f t="shared" si="41"/>
        <v>8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0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-8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-8</v>
      </c>
      <c r="AQ37" s="55"/>
      <c r="AR37" s="1159">
        <f t="shared" si="52"/>
        <v>0</v>
      </c>
      <c r="AS37" s="1160"/>
      <c r="AT37" s="118">
        <f t="shared" si="53"/>
        <v>5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0.5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0.5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>Antony Tejada Ch.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>
        <v>8</v>
      </c>
      <c r="N39" s="342">
        <v>18</v>
      </c>
      <c r="O39" s="30">
        <v>1</v>
      </c>
      <c r="P39" s="31">
        <f t="shared" si="37"/>
        <v>9</v>
      </c>
      <c r="Q39" s="106"/>
      <c r="R39" s="106"/>
      <c r="S39" s="31">
        <f t="shared" si="38"/>
        <v>0</v>
      </c>
      <c r="T39" s="30"/>
      <c r="U39" s="32">
        <f t="shared" si="39"/>
        <v>8</v>
      </c>
      <c r="V39" s="20">
        <f t="shared" si="40"/>
        <v>1</v>
      </c>
      <c r="W39" s="334">
        <v>7</v>
      </c>
      <c r="X39" s="342">
        <v>24</v>
      </c>
      <c r="Y39" s="30">
        <v>2</v>
      </c>
      <c r="Z39" s="31">
        <f t="shared" si="41"/>
        <v>15</v>
      </c>
      <c r="AA39" s="342">
        <v>0</v>
      </c>
      <c r="AB39" s="342">
        <v>7</v>
      </c>
      <c r="AC39" s="31">
        <f>+AB39-AA39</f>
        <v>7</v>
      </c>
      <c r="AD39" s="30">
        <v>8</v>
      </c>
      <c r="AE39" s="32">
        <f t="shared" si="43"/>
        <v>8</v>
      </c>
      <c r="AF39" s="20">
        <f t="shared" si="44"/>
        <v>14</v>
      </c>
      <c r="AG39" s="55"/>
      <c r="AH39" s="112">
        <v>0</v>
      </c>
      <c r="AI39" s="113">
        <f t="shared" si="45"/>
        <v>0</v>
      </c>
      <c r="AJ39" s="113">
        <f t="shared" si="46"/>
        <v>-8</v>
      </c>
      <c r="AK39" s="113">
        <f t="shared" ref="AK39:AK47" si="55">IF(ISBLANK($AE$5),-8,0)+AE17</f>
        <v>0</v>
      </c>
      <c r="AL39" s="113">
        <f t="shared" si="47"/>
        <v>0</v>
      </c>
      <c r="AM39" s="113">
        <f t="shared" si="48"/>
        <v>-8</v>
      </c>
      <c r="AN39" s="113">
        <f t="shared" si="49"/>
        <v>0</v>
      </c>
      <c r="AO39" s="113">
        <f t="shared" si="50"/>
        <v>0</v>
      </c>
      <c r="AP39" s="114">
        <f t="shared" si="51"/>
        <v>-16</v>
      </c>
      <c r="AQ39" s="55"/>
      <c r="AR39" s="1159">
        <f t="shared" si="52"/>
        <v>9.9166999999999987</v>
      </c>
      <c r="AS39" s="1160"/>
      <c r="AT39" s="118">
        <f t="shared" si="53"/>
        <v>5</v>
      </c>
      <c r="AU39" s="55"/>
      <c r="AV39" s="55"/>
      <c r="AW39" s="1134">
        <v>-14</v>
      </c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Pedro Hostos S,</v>
      </c>
      <c r="C45" s="372">
        <v>7</v>
      </c>
      <c r="D45" s="348">
        <v>18</v>
      </c>
      <c r="E45" s="119">
        <v>1</v>
      </c>
      <c r="F45" s="120">
        <f t="shared" si="34"/>
        <v>10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2</v>
      </c>
      <c r="M45" s="342">
        <v>7</v>
      </c>
      <c r="N45" s="342">
        <v>18</v>
      </c>
      <c r="O45" s="30">
        <v>1</v>
      </c>
      <c r="P45" s="31">
        <f t="shared" si="37"/>
        <v>10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2</v>
      </c>
      <c r="W45" s="334">
        <v>7</v>
      </c>
      <c r="X45" s="342">
        <v>16</v>
      </c>
      <c r="Y45" s="30">
        <v>1</v>
      </c>
      <c r="Z45" s="31">
        <f t="shared" si="41"/>
        <v>8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0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0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0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70</v>
      </c>
      <c r="AS48" s="1162"/>
      <c r="AT48" s="167">
        <f>SUM(AT33:AT47)</f>
        <v>45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14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43153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43154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43155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43156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43157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43158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43159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-79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69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69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69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69"/>
      <c r="AB70" s="469"/>
      <c r="AC70" s="469"/>
      <c r="AD70" s="469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69"/>
      <c r="AB71" s="469"/>
      <c r="AC71" s="469"/>
      <c r="AD71" s="469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69"/>
      <c r="AB72" s="469"/>
      <c r="AC72" s="469"/>
      <c r="AD72" s="469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48</v>
      </c>
      <c r="V73" s="239">
        <v>48</v>
      </c>
      <c r="W73" s="240">
        <f t="shared" ref="W73:W88" si="62">+V73-U73</f>
        <v>0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48.5</v>
      </c>
      <c r="V74" s="239">
        <v>48</v>
      </c>
      <c r="W74" s="240">
        <f t="shared" si="62"/>
        <v>-0.5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40</v>
      </c>
      <c r="V75" s="239">
        <v>48</v>
      </c>
      <c r="W75" s="240">
        <f t="shared" si="62"/>
        <v>8</v>
      </c>
      <c r="X75" s="241">
        <f t="shared" si="63"/>
        <v>0</v>
      </c>
      <c r="Z75" s="389"/>
      <c r="AA75" s="467"/>
      <c r="AB75" s="467"/>
      <c r="AC75" s="467"/>
      <c r="AD75" s="467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48</v>
      </c>
      <c r="V76" s="239">
        <v>48</v>
      </c>
      <c r="W76" s="240">
        <f t="shared" si="62"/>
        <v>0</v>
      </c>
      <c r="X76" s="241">
        <f t="shared" si="63"/>
        <v>8</v>
      </c>
      <c r="Z76" s="1045" t="s">
        <v>53</v>
      </c>
      <c r="AA76" s="1045"/>
      <c r="AB76" s="1045"/>
      <c r="AC76" s="1045"/>
      <c r="AD76" s="389" t="s">
        <v>54</v>
      </c>
      <c r="AE76" s="467"/>
      <c r="AF76" s="386"/>
      <c r="AG76" s="391"/>
      <c r="AH76" s="391"/>
      <c r="AI76" s="386"/>
      <c r="AJ76" s="386"/>
      <c r="AK76" s="466"/>
      <c r="AL76" s="466"/>
      <c r="AM76" s="466"/>
      <c r="AN76" s="466"/>
      <c r="AO76" s="466"/>
      <c r="AP76" s="466"/>
      <c r="AQ76" s="466"/>
      <c r="AR76" s="466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40</v>
      </c>
      <c r="V77" s="239">
        <v>48</v>
      </c>
      <c r="W77" s="240">
        <f t="shared" si="62"/>
        <v>8</v>
      </c>
      <c r="X77" s="241">
        <f t="shared" si="63"/>
        <v>0</v>
      </c>
      <c r="Z77" s="467"/>
      <c r="AA77" s="467"/>
      <c r="AB77" s="467"/>
      <c r="AC77" s="467"/>
      <c r="AD77" s="467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45.5</v>
      </c>
      <c r="V78" s="239">
        <v>48</v>
      </c>
      <c r="W78" s="240">
        <f>+V78-U78</f>
        <v>2.5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62</v>
      </c>
      <c r="C79" s="1070">
        <f>+G79*6</f>
        <v>169.99979999999999</v>
      </c>
      <c r="D79" s="1071"/>
      <c r="E79" s="1402">
        <f>+C79/7</f>
        <v>24.285685714285712</v>
      </c>
      <c r="F79" s="1403"/>
      <c r="G79" s="1062">
        <v>28.333300000000001</v>
      </c>
      <c r="H79" s="1063"/>
      <c r="I79" s="1052">
        <f>+G79/8</f>
        <v>3.5416625000000002</v>
      </c>
      <c r="J79" s="1058"/>
      <c r="K79" s="1059">
        <f>+G79*30</f>
        <v>849.99900000000002</v>
      </c>
      <c r="L79" s="1059"/>
      <c r="M79" s="5"/>
      <c r="N79" s="1020">
        <f t="shared" si="59"/>
        <v>4.1319395833333337</v>
      </c>
      <c r="O79" s="1020"/>
      <c r="P79" s="5"/>
      <c r="Q79" s="1056">
        <f t="shared" si="60"/>
        <v>1.2395874999999998</v>
      </c>
      <c r="R79" s="1057"/>
      <c r="S79" s="1066">
        <f>20*30/180*117</f>
        <v>390</v>
      </c>
      <c r="T79" s="1067"/>
      <c r="U79" s="238">
        <f t="shared" si="61"/>
        <v>46</v>
      </c>
      <c r="V79" s="239">
        <v>48</v>
      </c>
      <c r="W79" s="240">
        <f t="shared" si="62"/>
        <v>2</v>
      </c>
      <c r="X79" s="241">
        <f t="shared" si="63"/>
        <v>8</v>
      </c>
      <c r="Y79" s="248"/>
      <c r="Z79" s="467"/>
      <c r="AA79" s="467"/>
      <c r="AB79" s="467"/>
      <c r="AC79" s="467"/>
      <c r="AD79" s="467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69"/>
      <c r="T80" s="469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69"/>
      <c r="Z80" s="467"/>
      <c r="AA80" s="467"/>
      <c r="AB80" s="467"/>
      <c r="AC80" s="467"/>
      <c r="AD80" s="467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67"/>
      <c r="AC81" s="467"/>
      <c r="AD81" s="467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48</v>
      </c>
      <c r="V82" s="239">
        <v>48</v>
      </c>
      <c r="W82" s="240">
        <f>+V82-U82</f>
        <v>0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67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67"/>
      <c r="AD83" s="467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>
        <v>850</v>
      </c>
    </row>
    <row r="84" spans="1:46" ht="16.5">
      <c r="B84" s="250" t="s">
        <v>117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039">
        <f>28.3333</f>
        <v>28.333300000000001</v>
      </c>
      <c r="H84" s="1040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467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>
        <v>1.1299999999999999</v>
      </c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43159</v>
      </c>
      <c r="V85" s="239">
        <v>48</v>
      </c>
      <c r="W85" s="240">
        <f t="shared" si="62"/>
        <v>-43111</v>
      </c>
      <c r="X85" s="241">
        <f>+J27+T27+AD27+J49+T49+AD49</f>
        <v>0</v>
      </c>
      <c r="Z85" s="246"/>
      <c r="AA85" s="246"/>
      <c r="AB85" s="467"/>
      <c r="AC85" s="467"/>
      <c r="AD85" s="467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>
        <f>+AT83/AT84</f>
        <v>752.21238938053102</v>
      </c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67"/>
      <c r="AA86" s="467"/>
      <c r="AB86" s="467"/>
      <c r="AC86" s="467"/>
      <c r="AD86" s="467"/>
      <c r="AE86" s="386"/>
      <c r="AF86" s="386"/>
      <c r="AG86" s="391"/>
      <c r="AH86" s="391"/>
      <c r="AI86" s="386"/>
      <c r="AJ86" s="386"/>
      <c r="AK86" s="466"/>
      <c r="AL86" s="466"/>
      <c r="AM86" s="466"/>
      <c r="AN86" s="466"/>
      <c r="AO86" s="466"/>
      <c r="AP86" s="466"/>
      <c r="AQ86" s="466"/>
      <c r="AR86" s="466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67"/>
      <c r="AC87" s="467"/>
      <c r="AD87" s="467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67"/>
      <c r="AA88" s="467"/>
      <c r="AB88" s="467"/>
      <c r="AC88" s="467"/>
      <c r="AD88" s="467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67"/>
      <c r="AA89" s="467"/>
      <c r="AB89" s="467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67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66"/>
      <c r="AM102" s="391"/>
      <c r="AN102" s="466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66"/>
      <c r="AM120" s="391"/>
      <c r="AN120" s="466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66"/>
      <c r="AM140" s="391"/>
      <c r="AN140" s="466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68"/>
      <c r="E150" s="304"/>
      <c r="F150" s="305"/>
      <c r="G150" s="468"/>
      <c r="H150" s="468"/>
      <c r="I150" s="305"/>
      <c r="J150" s="468"/>
      <c r="K150" s="306"/>
      <c r="L150" s="306"/>
      <c r="M150" s="468"/>
      <c r="N150" s="468"/>
      <c r="O150" s="468"/>
      <c r="P150" s="468"/>
      <c r="Q150" s="468"/>
      <c r="R150" s="468"/>
      <c r="S150" s="468"/>
      <c r="T150" s="468"/>
      <c r="U150" s="468"/>
      <c r="V150" s="468"/>
      <c r="W150" s="468"/>
      <c r="X150" s="468"/>
      <c r="Y150" s="468"/>
      <c r="Z150" s="468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66"/>
      <c r="AM159" s="391"/>
      <c r="AN159" s="466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68"/>
      <c r="E168" s="304"/>
      <c r="F168" s="305"/>
      <c r="G168" s="468"/>
      <c r="H168" s="468"/>
      <c r="I168" s="305"/>
      <c r="J168" s="468"/>
      <c r="K168" s="306"/>
      <c r="L168" s="306"/>
      <c r="M168" s="468"/>
      <c r="N168" s="468"/>
      <c r="O168" s="468"/>
      <c r="P168" s="468"/>
      <c r="Q168" s="468"/>
      <c r="R168" s="468"/>
      <c r="S168" s="468"/>
      <c r="T168" s="468"/>
      <c r="U168" s="468"/>
      <c r="V168" s="468"/>
      <c r="W168" s="468"/>
      <c r="X168" s="468"/>
      <c r="Y168" s="468"/>
      <c r="Z168" s="468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7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G79:H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</mergeCells>
  <conditionalFormatting sqref="AP69 AH62 AP62 AH33:AH50 AP33:AP50">
    <cfRule type="cellIs" dxfId="219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218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217" priority="20" stopIfTrue="1" operator="lessThan">
      <formula>0</formula>
    </cfRule>
  </conditionalFormatting>
  <conditionalFormatting sqref="AJ58:AJ59 F62 Z62 F58:F60 P62:P68 P58:P60 Z58:Z60 F33:F50 P33:P55 Z33:Z50 AJ11:AJ27 F11:F26 Z11:Z27 P11:P27">
    <cfRule type="cellIs" dxfId="216" priority="19" stopIfTrue="1" operator="lessThanOrEqual">
      <formula>0</formula>
    </cfRule>
  </conditionalFormatting>
  <conditionalFormatting sqref="AM58:AM59 AC62 I62 AC58:AC60 S62:S68 S58:S60 I58:I60 I33:I50 S33:S55 AM11:AM27 S11:S27 I11:I26 AC11:AC27 AC33:AC50">
    <cfRule type="cellIs" dxfId="215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U12:U22 K25 K47 AE43:AF43 U43:V43 U44:U45 AE44:AE45 K34:K45 U34:U42 AE34:AE42 K33:L33 K17:L17 V17 K12:K16 K18:K22 U23:V24 AO11:AO27 AE15:AE25">
    <cfRule type="cellIs" dxfId="214" priority="17" stopIfTrue="1" operator="lessThanOrEqual">
      <formula>0</formula>
    </cfRule>
  </conditionalFormatting>
  <conditionalFormatting sqref="Z51:AA55 Z63:AA68 W76:X85 W87:X89">
    <cfRule type="cellIs" dxfId="213" priority="16" stopIfTrue="1" operator="lessThan">
      <formula>0</formula>
    </cfRule>
  </conditionalFormatting>
  <conditionalFormatting sqref="X51:X55 X63:X68 U76:U85 U87:U89">
    <cfRule type="cellIs" dxfId="212" priority="15" stopIfTrue="1" operator="greaterThan">
      <formula>48</formula>
    </cfRule>
  </conditionalFormatting>
  <conditionalFormatting sqref="C183:C187 C195:D198 C126:D126 D183:D194 C90:D109">
    <cfRule type="cellIs" dxfId="211" priority="14" stopIfTrue="1" operator="lessThan">
      <formula>$C$73</formula>
    </cfRule>
  </conditionalFormatting>
  <conditionalFormatting sqref="AI62:AO62 AI33:AO50">
    <cfRule type="cellIs" dxfId="210" priority="12" stopIfTrue="1" operator="equal">
      <formula>0</formula>
    </cfRule>
    <cfRule type="cellIs" dxfId="209" priority="13" stopIfTrue="1" operator="lessThan">
      <formula>0</formula>
    </cfRule>
  </conditionalFormatting>
  <conditionalFormatting sqref="AT62 AT33:AT47">
    <cfRule type="cellIs" dxfId="208" priority="10" stopIfTrue="1" operator="greaterThan">
      <formula>0</formula>
    </cfRule>
    <cfRule type="cellIs" dxfId="207" priority="11" stopIfTrue="1" operator="lessThan">
      <formula>1</formula>
    </cfRule>
  </conditionalFormatting>
  <conditionalFormatting sqref="K86:L86 K83:L83 K73:L81">
    <cfRule type="cellIs" dxfId="206" priority="9" stopIfTrue="1" operator="greaterThanOrEqual">
      <formula>$K$71</formula>
    </cfRule>
  </conditionalFormatting>
  <conditionalFormatting sqref="AF58:AF59 AF11:AF13 L34:L47 V34:V47 AF34:AF47 L12:L25 V12:V25 AF15:AF25">
    <cfRule type="cellIs" dxfId="205" priority="7" stopIfTrue="1" operator="equal">
      <formula>0</formula>
    </cfRule>
    <cfRule type="cellIs" dxfId="204" priority="8" stopIfTrue="1" operator="lessThan">
      <formula>0</formula>
    </cfRule>
  </conditionalFormatting>
  <conditionalFormatting sqref="V33">
    <cfRule type="cellIs" dxfId="203" priority="5" stopIfTrue="1" operator="equal">
      <formula>0</formula>
    </cfRule>
    <cfRule type="cellIs" dxfId="202" priority="6" stopIfTrue="1" operator="lessThan">
      <formula>0</formula>
    </cfRule>
  </conditionalFormatting>
  <conditionalFormatting sqref="L33">
    <cfRule type="cellIs" dxfId="201" priority="3" stopIfTrue="1" operator="equal">
      <formula>0</formula>
    </cfRule>
    <cfRule type="cellIs" dxfId="200" priority="4" stopIfTrue="1" operator="lessThan">
      <formula>0</formula>
    </cfRule>
  </conditionalFormatting>
  <conditionalFormatting sqref="AF14">
    <cfRule type="cellIs" dxfId="199" priority="1" stopIfTrue="1" operator="equal">
      <formula>0</formula>
    </cfRule>
    <cfRule type="cellIs" dxfId="198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T44 AF16" formula="1"/>
  </ignoredErrors>
  <drawing r:id="rId3"/>
  <legacyDrawing r:id="rId4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0" activePane="bottomRight" state="frozen"/>
      <selection activeCell="C5" sqref="C5:J6"/>
      <selection pane="topRight" activeCell="C5" sqref="C5:J6"/>
      <selection pane="bottomLeft" activeCell="C5" sqref="C5:J6"/>
      <selection pane="bottomRight" activeCell="AP68" sqref="AP68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56" customWidth="1"/>
    <col min="5" max="5" width="4.28515625" style="3" customWidth="1"/>
    <col min="6" max="6" width="4.28515625" style="4" customWidth="1"/>
    <col min="7" max="8" width="4.28515625" style="456" customWidth="1"/>
    <col min="9" max="9" width="4.28515625" style="4" customWidth="1"/>
    <col min="10" max="10" width="4.28515625" style="456" customWidth="1"/>
    <col min="11" max="12" width="4.28515625" style="5" customWidth="1"/>
    <col min="13" max="26" width="4.28515625" style="456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43152</v>
      </c>
      <c r="C1" s="456" t="s">
        <v>0</v>
      </c>
      <c r="AN1" s="7"/>
      <c r="AO1" s="7"/>
      <c r="AR1" s="1340">
        <f>+AR48+AT48</f>
        <v>90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43153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56">
        <v>0</v>
      </c>
    </row>
    <row r="5" spans="1:58" ht="10.9" customHeight="1">
      <c r="B5" s="1244" t="s">
        <v>1</v>
      </c>
      <c r="C5" s="1140">
        <v>43146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43147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43148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43149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43146</v>
      </c>
      <c r="AW7" s="1296">
        <f>+M5</f>
        <v>43147</v>
      </c>
      <c r="AX7" s="1296">
        <f>+W5</f>
        <v>43148</v>
      </c>
      <c r="AY7" s="1309">
        <f>+AG5</f>
        <v>43149</v>
      </c>
      <c r="AZ7" s="1296">
        <f>+C27</f>
        <v>43150</v>
      </c>
      <c r="BA7" s="1296">
        <f>+M27</f>
        <v>43151</v>
      </c>
      <c r="BB7" s="1296">
        <f>+W27</f>
        <v>43152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16</v>
      </c>
      <c r="E11" s="16">
        <v>1</v>
      </c>
      <c r="F11" s="17">
        <f t="shared" ref="F11:F21" si="1">+D11-C11-E11</f>
        <v>8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0</v>
      </c>
      <c r="AG11" s="337">
        <v>7</v>
      </c>
      <c r="AH11" s="337">
        <v>16</v>
      </c>
      <c r="AI11" s="23">
        <v>1</v>
      </c>
      <c r="AJ11" s="24">
        <f t="shared" ref="AJ11:AJ25" si="13">+AH11-AG11-AI11</f>
        <v>8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16</v>
      </c>
      <c r="AP11" s="1297">
        <f t="shared" ref="AP11:AP25" si="16">+L11+V11+AF11+AO11+L33+V33+AF33-AN11</f>
        <v>16</v>
      </c>
      <c r="AQ11" s="1298"/>
      <c r="AR11" s="1299">
        <f t="shared" ref="AR11:AR21" si="17">ROUND(BD11*AP11,1)</f>
        <v>72.7</v>
      </c>
      <c r="AS11" s="1300"/>
      <c r="AT11" s="338">
        <f t="shared" ref="AT11:AT20" si="18">IF(AT33&gt;0,AT33*$AT$10,0)</f>
        <v>24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0</v>
      </c>
      <c r="AY11" s="27">
        <f t="shared" ref="AY11:AY21" si="22">+AO11</f>
        <v>16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72.742857142857133</v>
      </c>
      <c r="BF11" s="341">
        <f t="shared" ref="BF11:BF21" si="28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16</v>
      </c>
      <c r="E12" s="30">
        <v>1</v>
      </c>
      <c r="F12" s="31">
        <f t="shared" si="1"/>
        <v>8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0</v>
      </c>
      <c r="M12" s="452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0</v>
      </c>
      <c r="AG12" s="37">
        <v>7</v>
      </c>
      <c r="AH12" s="342">
        <v>16</v>
      </c>
      <c r="AI12" s="30">
        <v>1</v>
      </c>
      <c r="AJ12" s="38">
        <f>+AH12-AG12-AI12</f>
        <v>8</v>
      </c>
      <c r="AK12" s="342"/>
      <c r="AL12" s="342"/>
      <c r="AM12" s="31">
        <f t="shared" si="14"/>
        <v>0</v>
      </c>
      <c r="AN12" s="39"/>
      <c r="AO12" s="40">
        <f t="shared" si="15"/>
        <v>16</v>
      </c>
      <c r="AP12" s="1282">
        <f t="shared" si="16"/>
        <v>22</v>
      </c>
      <c r="AQ12" s="1283"/>
      <c r="AR12" s="1284">
        <f t="shared" si="17"/>
        <v>112.9</v>
      </c>
      <c r="AS12" s="1285"/>
      <c r="AT12" s="345">
        <f t="shared" si="18"/>
        <v>28</v>
      </c>
      <c r="AV12" s="26">
        <f t="shared" si="19"/>
        <v>0</v>
      </c>
      <c r="AW12" s="26">
        <f t="shared" si="20"/>
        <v>0</v>
      </c>
      <c r="AX12" s="26">
        <f t="shared" si="21"/>
        <v>0</v>
      </c>
      <c r="AY12" s="27">
        <f t="shared" si="22"/>
        <v>16</v>
      </c>
      <c r="AZ12" s="26">
        <f t="shared" si="23"/>
        <v>2</v>
      </c>
      <c r="BA12" s="26">
        <f t="shared" si="24"/>
        <v>2</v>
      </c>
      <c r="BB12" s="26">
        <f t="shared" si="25"/>
        <v>2</v>
      </c>
      <c r="BC12" s="28"/>
      <c r="BD12" s="339">
        <f t="shared" si="26"/>
        <v>5.1339285714285712</v>
      </c>
      <c r="BE12" s="340">
        <f t="shared" si="27"/>
        <v>112.94642857142857</v>
      </c>
      <c r="BF12" s="341">
        <f t="shared" si="28"/>
        <v>82.142857142857139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452"/>
      <c r="N13" s="342"/>
      <c r="O13" s="30"/>
      <c r="P13" s="31">
        <f t="shared" si="5"/>
        <v>0</v>
      </c>
      <c r="Q13" s="33"/>
      <c r="R13" s="346"/>
      <c r="S13" s="31">
        <f t="shared" si="6"/>
        <v>0</v>
      </c>
      <c r="T13" s="30"/>
      <c r="U13" s="32">
        <f t="shared" si="7"/>
        <v>0</v>
      </c>
      <c r="V13" s="20">
        <f t="shared" si="8"/>
        <v>0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 t="shared" si="12"/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2-1</f>
        <v>1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8</v>
      </c>
      <c r="AV13" s="26">
        <f t="shared" si="19"/>
        <v>0</v>
      </c>
      <c r="AW13" s="26">
        <f t="shared" si="20"/>
        <v>0</v>
      </c>
      <c r="AX13" s="26">
        <f t="shared" si="21"/>
        <v>0</v>
      </c>
      <c r="AY13" s="27">
        <f t="shared" si="22"/>
        <v>0</v>
      </c>
      <c r="AZ13" s="26">
        <f t="shared" si="23"/>
        <v>0</v>
      </c>
      <c r="BA13" s="26">
        <f t="shared" si="24"/>
        <v>0</v>
      </c>
      <c r="BB13" s="26">
        <f t="shared" si="25"/>
        <v>1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8</v>
      </c>
      <c r="X14" s="346">
        <v>17</v>
      </c>
      <c r="Y14" s="42">
        <v>1</v>
      </c>
      <c r="Z14" s="44">
        <f t="shared" si="9"/>
        <v>8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 t="shared" si="12"/>
        <v>0</v>
      </c>
      <c r="AG14" s="37"/>
      <c r="AH14" s="342"/>
      <c r="AI14" s="30"/>
      <c r="AJ14" s="38">
        <f t="shared" si="13"/>
        <v>0</v>
      </c>
      <c r="AK14" s="342"/>
      <c r="AL14" s="342"/>
      <c r="AM14" s="31">
        <f t="shared" si="14"/>
        <v>0</v>
      </c>
      <c r="AN14" s="47"/>
      <c r="AO14" s="40">
        <f t="shared" si="15"/>
        <v>0</v>
      </c>
      <c r="AP14" s="1282">
        <f t="shared" si="16"/>
        <v>3</v>
      </c>
      <c r="AQ14" s="1283"/>
      <c r="AR14" s="1284">
        <f t="shared" si="17"/>
        <v>12.5</v>
      </c>
      <c r="AS14" s="1285"/>
      <c r="AT14" s="345">
        <f t="shared" si="18"/>
        <v>24</v>
      </c>
      <c r="AV14" s="26">
        <f t="shared" si="19"/>
        <v>2</v>
      </c>
      <c r="AW14" s="26">
        <f t="shared" si="20"/>
        <v>1</v>
      </c>
      <c r="AX14" s="26">
        <f t="shared" si="21"/>
        <v>0</v>
      </c>
      <c r="AY14" s="27">
        <f t="shared" si="22"/>
        <v>0</v>
      </c>
      <c r="AZ14" s="26">
        <f t="shared" si="23"/>
        <v>2</v>
      </c>
      <c r="BA14" s="26">
        <f t="shared" si="24"/>
        <v>2</v>
      </c>
      <c r="BB14" s="26">
        <f t="shared" si="25"/>
        <v>-4</v>
      </c>
      <c r="BC14" s="28"/>
      <c r="BD14" s="339">
        <f t="shared" si="26"/>
        <v>4.1666785714285712</v>
      </c>
      <c r="BE14" s="340">
        <f t="shared" si="27"/>
        <v>12.500035714285714</v>
      </c>
      <c r="BF14" s="341">
        <f t="shared" si="28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17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452">
        <v>8</v>
      </c>
      <c r="N15" s="342">
        <v>16</v>
      </c>
      <c r="O15" s="30">
        <v>1</v>
      </c>
      <c r="P15" s="31">
        <f t="shared" si="5"/>
        <v>7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-1</v>
      </c>
      <c r="W15" s="342"/>
      <c r="X15" s="342"/>
      <c r="Y15" s="30"/>
      <c r="Z15" s="31">
        <f t="shared" si="9"/>
        <v>0</v>
      </c>
      <c r="AA15" s="346"/>
      <c r="AB15" s="49"/>
      <c r="AC15" s="31">
        <f t="shared" si="10"/>
        <v>0</v>
      </c>
      <c r="AD15" s="30"/>
      <c r="AE15" s="32">
        <f t="shared" si="11"/>
        <v>0</v>
      </c>
      <c r="AF15" s="20">
        <f t="shared" si="12"/>
        <v>0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-1</v>
      </c>
      <c r="AQ15" s="1295"/>
      <c r="AR15" s="1284">
        <f t="shared" si="17"/>
        <v>-5.0999999999999996</v>
      </c>
      <c r="AS15" s="1285"/>
      <c r="AT15" s="345">
        <f t="shared" si="18"/>
        <v>20</v>
      </c>
      <c r="AV15" s="26">
        <f t="shared" si="19"/>
        <v>0</v>
      </c>
      <c r="AW15" s="26">
        <f t="shared" si="20"/>
        <v>-1</v>
      </c>
      <c r="AX15" s="26">
        <f t="shared" si="21"/>
        <v>0</v>
      </c>
      <c r="AY15" s="27">
        <f t="shared" si="22"/>
        <v>0</v>
      </c>
      <c r="AZ15" s="26">
        <f t="shared" si="23"/>
        <v>0</v>
      </c>
      <c r="BA15" s="26">
        <f t="shared" si="24"/>
        <v>0</v>
      </c>
      <c r="BB15" s="26">
        <f t="shared" si="25"/>
        <v>0</v>
      </c>
      <c r="BC15" s="28"/>
      <c r="BD15" s="339">
        <f t="shared" si="26"/>
        <v>5.1339285714285712</v>
      </c>
      <c r="BE15" s="349">
        <f t="shared" si="27"/>
        <v>-5.1339285714285712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0</v>
      </c>
      <c r="AQ16" s="1283"/>
      <c r="AR16" s="1284">
        <f>ROUND(BD16*AP16,1)</f>
        <v>0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B17" s="48" t="str">
        <f t="shared" si="0"/>
        <v>Antony Tejada Ch.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>
        <v>8</v>
      </c>
      <c r="X17" s="342">
        <v>17</v>
      </c>
      <c r="Y17" s="30">
        <v>1</v>
      </c>
      <c r="Z17" s="44">
        <f>+X17-W17-Y17</f>
        <v>8</v>
      </c>
      <c r="AA17" s="346"/>
      <c r="AB17" s="344"/>
      <c r="AC17" s="31">
        <f>+AB17-AA17</f>
        <v>0</v>
      </c>
      <c r="AD17" s="30"/>
      <c r="AE17" s="32">
        <f>+AC17+Z17-IF(AE$5&gt;0,AF17/2,AF17)</f>
        <v>8</v>
      </c>
      <c r="AF17" s="20">
        <f>IF(W17&gt;0,IF(AE$5&gt;0,(Z17+AC17)*2,(Z17+AC17-8)),0)*IF(Z17&lt;9,IF(AE$5&gt;0,1,2),1)+IF(Z17&gt;8,AC17,0)</f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12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3.5416625000000002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 t="shared" si="18"/>
        <v>0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2</v>
      </c>
      <c r="BA20" s="69">
        <f>+V45</f>
        <v>2</v>
      </c>
      <c r="BB20" s="69">
        <f>+AF45</f>
        <v>2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53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Pedro Hostos S,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460">
        <f>+I23+F23-L23</f>
        <v>8</v>
      </c>
      <c r="L23" s="461">
        <f t="shared" si="4"/>
        <v>2</v>
      </c>
      <c r="M23" s="462">
        <v>7</v>
      </c>
      <c r="N23" s="459">
        <v>17</v>
      </c>
      <c r="O23" s="459">
        <v>1</v>
      </c>
      <c r="P23" s="460">
        <f>+N23-M23-O23</f>
        <v>9</v>
      </c>
      <c r="Q23" s="459"/>
      <c r="R23" s="459"/>
      <c r="S23" s="460">
        <f>+R23-Q23</f>
        <v>0</v>
      </c>
      <c r="T23" s="459"/>
      <c r="U23" s="460">
        <f>+S23+P23-V23</f>
        <v>8</v>
      </c>
      <c r="V23" s="461">
        <f>IF(M23&gt;0,(P23+S23)+IF(U$5&gt;0,P23,-8),0)+IF(AE$5&gt;0,S23,0)</f>
        <v>1</v>
      </c>
      <c r="W23" s="459">
        <v>7</v>
      </c>
      <c r="X23" s="459">
        <v>16</v>
      </c>
      <c r="Y23" s="459">
        <v>1</v>
      </c>
      <c r="Z23" s="460">
        <f>+X23-W23-Y23</f>
        <v>8</v>
      </c>
      <c r="AA23" s="459"/>
      <c r="AB23" s="463"/>
      <c r="AC23" s="460">
        <f>+AB23-AA23</f>
        <v>0</v>
      </c>
      <c r="AD23" s="459"/>
      <c r="AE23" s="460">
        <f>+AC23+Z23-IF(AE$5&gt;0,AF23/2,AF23)</f>
        <v>8</v>
      </c>
      <c r="AF23" s="461">
        <f t="shared" si="30"/>
        <v>0</v>
      </c>
      <c r="AG23" s="459"/>
      <c r="AH23" s="459"/>
      <c r="AI23" s="459"/>
      <c r="AJ23" s="464">
        <f t="shared" si="13"/>
        <v>0</v>
      </c>
      <c r="AK23" s="459"/>
      <c r="AL23" s="459"/>
      <c r="AM23" s="460">
        <f>+AL23-AK23</f>
        <v>0</v>
      </c>
      <c r="AN23" s="459"/>
      <c r="AO23" s="465">
        <f>(AJ23*2+AM23)</f>
        <v>0</v>
      </c>
      <c r="AP23" s="1282">
        <f t="shared" si="16"/>
        <v>9</v>
      </c>
      <c r="AQ23" s="1283"/>
      <c r="AR23" s="1284">
        <f>ROUND(BD23*AP23,1)</f>
        <v>28.2</v>
      </c>
      <c r="AS23" s="1285"/>
      <c r="AT23" s="345">
        <f>IF(AT45&gt;0,AT45*$AT$10,0)</f>
        <v>24</v>
      </c>
      <c r="AV23" s="69">
        <f>+L23</f>
        <v>2</v>
      </c>
      <c r="AW23" s="69">
        <f>+V23</f>
        <v>1</v>
      </c>
      <c r="AX23" s="69">
        <f>+AF23</f>
        <v>0</v>
      </c>
      <c r="AY23" s="70">
        <f>+AO23</f>
        <v>0</v>
      </c>
      <c r="AZ23" s="69">
        <f>+L45</f>
        <v>2</v>
      </c>
      <c r="BA23" s="69">
        <f>+V45</f>
        <v>2</v>
      </c>
      <c r="BB23" s="69">
        <f>+AF45</f>
        <v>2</v>
      </c>
      <c r="BC23" s="54"/>
      <c r="BD23" s="339">
        <f t="shared" si="31"/>
        <v>3.1342146017699117</v>
      </c>
      <c r="BE23" s="351">
        <f>+BD23*AP23</f>
        <v>28.207931415929206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221.26332427307202</v>
      </c>
      <c r="BF26" s="1242">
        <f>SUM(BF11:BF25)</f>
        <v>154.88571428571427</v>
      </c>
    </row>
    <row r="27" spans="1:58" ht="10.9" customHeight="1">
      <c r="B27" s="1244" t="s">
        <v>1</v>
      </c>
      <c r="C27" s="1140">
        <f>1+AG5</f>
        <v>43150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43151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43152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43146</v>
      </c>
      <c r="AJ27" s="1218">
        <f t="shared" ref="AJ27:AO27" si="32">1+AI27</f>
        <v>43147</v>
      </c>
      <c r="AK27" s="1218">
        <f t="shared" si="32"/>
        <v>43148</v>
      </c>
      <c r="AL27" s="1219">
        <f t="shared" si="32"/>
        <v>43149</v>
      </c>
      <c r="AM27" s="1219">
        <f t="shared" si="32"/>
        <v>43150</v>
      </c>
      <c r="AN27" s="1220">
        <f t="shared" si="32"/>
        <v>43151</v>
      </c>
      <c r="AO27" s="1220">
        <f t="shared" si="32"/>
        <v>43152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43149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56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24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/>
      <c r="D33" s="342"/>
      <c r="E33" s="30"/>
      <c r="F33" s="31">
        <f t="shared" ref="F33:F47" si="34">+D33-C33-E33</f>
        <v>0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0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-8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-8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6</v>
      </c>
      <c r="AU33" s="55"/>
      <c r="AV33" s="55"/>
      <c r="AW33" s="1134">
        <v>-16</v>
      </c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18</v>
      </c>
      <c r="O34" s="30">
        <v>1</v>
      </c>
      <c r="P34" s="31">
        <f t="shared" si="37"/>
        <v>10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2</v>
      </c>
      <c r="W34" s="334">
        <v>7</v>
      </c>
      <c r="X34" s="342">
        <v>18</v>
      </c>
      <c r="Y34" s="30">
        <v>1</v>
      </c>
      <c r="Z34" s="31">
        <f t="shared" si="41"/>
        <v>10</v>
      </c>
      <c r="AA34" s="342"/>
      <c r="AB34" s="346"/>
      <c r="AC34" s="31">
        <f t="shared" si="42"/>
        <v>0</v>
      </c>
      <c r="AD34" s="30"/>
      <c r="AE34" s="32">
        <f t="shared" si="43"/>
        <v>8</v>
      </c>
      <c r="AF34" s="20">
        <f t="shared" si="44"/>
        <v>2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0</v>
      </c>
      <c r="AS34" s="1160"/>
      <c r="AT34" s="117">
        <f t="shared" si="53"/>
        <v>7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14</v>
      </c>
      <c r="E35" s="30">
        <v>1</v>
      </c>
      <c r="F35" s="31">
        <f t="shared" si="34"/>
        <v>6</v>
      </c>
      <c r="G35" s="346"/>
      <c r="H35" s="472">
        <v>2</v>
      </c>
      <c r="I35" s="31">
        <f t="shared" si="35"/>
        <v>2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/>
      <c r="N35" s="342"/>
      <c r="O35" s="30"/>
      <c r="P35" s="31">
        <f t="shared" si="37"/>
        <v>0</v>
      </c>
      <c r="Q35" s="106"/>
      <c r="R35" s="106"/>
      <c r="S35" s="31">
        <f t="shared" si="38"/>
        <v>0</v>
      </c>
      <c r="T35" s="30"/>
      <c r="U35" s="32">
        <f t="shared" si="39"/>
        <v>0</v>
      </c>
      <c r="V35" s="20">
        <f t="shared" si="40"/>
        <v>0</v>
      </c>
      <c r="W35" s="334">
        <v>7</v>
      </c>
      <c r="X35" s="342">
        <v>17</v>
      </c>
      <c r="Y35" s="30">
        <v>1</v>
      </c>
      <c r="Z35" s="31">
        <f t="shared" si="41"/>
        <v>9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1</v>
      </c>
      <c r="AG35" s="55"/>
      <c r="AH35" s="112">
        <v>0</v>
      </c>
      <c r="AI35" s="113">
        <f t="shared" si="45"/>
        <v>-8</v>
      </c>
      <c r="AJ35" s="113">
        <f t="shared" si="46"/>
        <v>-8</v>
      </c>
      <c r="AK35" s="113">
        <f>IF(ISBLANK($AE$5),-8,0)+AE13</f>
        <v>-8</v>
      </c>
      <c r="AL35" s="113">
        <f t="shared" si="47"/>
        <v>0</v>
      </c>
      <c r="AM35" s="113">
        <f t="shared" si="48"/>
        <v>0</v>
      </c>
      <c r="AN35" s="113">
        <f t="shared" si="49"/>
        <v>-8</v>
      </c>
      <c r="AO35" s="113">
        <f t="shared" si="50"/>
        <v>0</v>
      </c>
      <c r="AP35" s="114">
        <f t="shared" si="51"/>
        <v>-32</v>
      </c>
      <c r="AQ35" s="55"/>
      <c r="AR35" s="1159">
        <f t="shared" si="52"/>
        <v>0</v>
      </c>
      <c r="AS35" s="1160"/>
      <c r="AT35" s="118">
        <f t="shared" si="53"/>
        <v>2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18</v>
      </c>
      <c r="E36" s="119">
        <v>1</v>
      </c>
      <c r="F36" s="120">
        <f t="shared" si="34"/>
        <v>10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2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13</v>
      </c>
      <c r="X36" s="342">
        <v>18</v>
      </c>
      <c r="Y36" s="30">
        <v>1</v>
      </c>
      <c r="Z36" s="31">
        <f t="shared" si="41"/>
        <v>4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-4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0</v>
      </c>
      <c r="AQ36" s="55"/>
      <c r="AR36" s="1159">
        <f t="shared" si="52"/>
        <v>0</v>
      </c>
      <c r="AS36" s="1160"/>
      <c r="AT36" s="118">
        <f t="shared" si="53"/>
        <v>6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16</v>
      </c>
      <c r="E37" s="30">
        <v>1</v>
      </c>
      <c r="F37" s="31">
        <f t="shared" si="34"/>
        <v>8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0</v>
      </c>
      <c r="M37" s="342">
        <v>7</v>
      </c>
      <c r="N37" s="342">
        <v>16</v>
      </c>
      <c r="O37" s="30">
        <v>1</v>
      </c>
      <c r="P37" s="31">
        <f t="shared" si="37"/>
        <v>8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0</v>
      </c>
      <c r="W37" s="334">
        <v>7</v>
      </c>
      <c r="X37" s="342">
        <v>16</v>
      </c>
      <c r="Y37" s="30">
        <v>1</v>
      </c>
      <c r="Z37" s="31">
        <f t="shared" si="41"/>
        <v>8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0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-8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-8</v>
      </c>
      <c r="AQ37" s="55"/>
      <c r="AR37" s="1159">
        <f t="shared" si="52"/>
        <v>0</v>
      </c>
      <c r="AS37" s="1160"/>
      <c r="AT37" s="118">
        <f t="shared" si="53"/>
        <v>5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>Antony Tejada Ch.</v>
      </c>
      <c r="C39" s="334">
        <v>8</v>
      </c>
      <c r="D39" s="342">
        <v>17</v>
      </c>
      <c r="E39" s="30">
        <v>1</v>
      </c>
      <c r="F39" s="31">
        <f t="shared" si="34"/>
        <v>8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>
        <v>7</v>
      </c>
      <c r="X39" s="342">
        <v>16</v>
      </c>
      <c r="Y39" s="30">
        <v>1</v>
      </c>
      <c r="Z39" s="31">
        <f t="shared" si="41"/>
        <v>8</v>
      </c>
      <c r="AA39" s="39"/>
      <c r="AB39" s="39"/>
      <c r="AC39" s="32">
        <f t="shared" si="42"/>
        <v>0</v>
      </c>
      <c r="AD39" s="39"/>
      <c r="AE39" s="32">
        <f t="shared" si="43"/>
        <v>8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0</v>
      </c>
      <c r="AL39" s="113">
        <f t="shared" si="47"/>
        <v>0</v>
      </c>
      <c r="AM39" s="113">
        <f t="shared" si="48"/>
        <v>0</v>
      </c>
      <c r="AN39" s="113">
        <f t="shared" si="49"/>
        <v>-8</v>
      </c>
      <c r="AO39" s="113">
        <f t="shared" si="50"/>
        <v>0</v>
      </c>
      <c r="AP39" s="114">
        <f t="shared" si="51"/>
        <v>-24</v>
      </c>
      <c r="AQ39" s="55"/>
      <c r="AR39" s="1159">
        <f t="shared" si="52"/>
        <v>0</v>
      </c>
      <c r="AS39" s="1160"/>
      <c r="AT39" s="118">
        <f t="shared" si="53"/>
        <v>3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Pedro Hostos S,</v>
      </c>
      <c r="C45" s="372">
        <v>7</v>
      </c>
      <c r="D45" s="348">
        <v>18</v>
      </c>
      <c r="E45" s="119">
        <v>1</v>
      </c>
      <c r="F45" s="120">
        <f t="shared" si="34"/>
        <v>10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2</v>
      </c>
      <c r="M45" s="342">
        <v>7</v>
      </c>
      <c r="N45" s="342">
        <v>18</v>
      </c>
      <c r="O45" s="30">
        <v>1</v>
      </c>
      <c r="P45" s="31">
        <f t="shared" si="37"/>
        <v>10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2</v>
      </c>
      <c r="W45" s="334">
        <v>7</v>
      </c>
      <c r="X45" s="342">
        <v>18</v>
      </c>
      <c r="Y45" s="30">
        <v>1</v>
      </c>
      <c r="Z45" s="31">
        <f t="shared" si="41"/>
        <v>10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2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0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0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49</v>
      </c>
      <c r="AS48" s="1162"/>
      <c r="AT48" s="167">
        <f>SUM(AT33:AT47)</f>
        <v>41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32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43146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43147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43148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43149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43150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43151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43152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-120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56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56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56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56"/>
      <c r="AB70" s="456"/>
      <c r="AC70" s="456"/>
      <c r="AD70" s="456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56"/>
      <c r="AB71" s="456"/>
      <c r="AC71" s="456"/>
      <c r="AD71" s="456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56"/>
      <c r="AB72" s="456"/>
      <c r="AC72" s="456"/>
      <c r="AD72" s="456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56</v>
      </c>
      <c r="V73" s="239">
        <v>48</v>
      </c>
      <c r="W73" s="240">
        <f t="shared" ref="W73:W88" si="62">+V73-U73</f>
        <v>-8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64</v>
      </c>
      <c r="V74" s="239">
        <v>48</v>
      </c>
      <c r="W74" s="240">
        <f t="shared" si="62"/>
        <v>-16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16</v>
      </c>
      <c r="V75" s="239">
        <v>48</v>
      </c>
      <c r="W75" s="240">
        <f t="shared" si="62"/>
        <v>32</v>
      </c>
      <c r="X75" s="241">
        <f t="shared" si="63"/>
        <v>0</v>
      </c>
      <c r="Z75" s="389"/>
      <c r="AA75" s="457"/>
      <c r="AB75" s="457"/>
      <c r="AC75" s="457"/>
      <c r="AD75" s="457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48</v>
      </c>
      <c r="V76" s="239">
        <v>48</v>
      </c>
      <c r="W76" s="240">
        <f t="shared" si="62"/>
        <v>0</v>
      </c>
      <c r="X76" s="241">
        <f t="shared" si="63"/>
        <v>0</v>
      </c>
      <c r="Z76" s="1045" t="s">
        <v>53</v>
      </c>
      <c r="AA76" s="1045"/>
      <c r="AB76" s="1045"/>
      <c r="AC76" s="1045"/>
      <c r="AD76" s="389" t="s">
        <v>54</v>
      </c>
      <c r="AE76" s="457"/>
      <c r="AF76" s="386"/>
      <c r="AG76" s="391"/>
      <c r="AH76" s="391"/>
      <c r="AI76" s="386"/>
      <c r="AJ76" s="386"/>
      <c r="AK76" s="454"/>
      <c r="AL76" s="454"/>
      <c r="AM76" s="454"/>
      <c r="AN76" s="454"/>
      <c r="AO76" s="454"/>
      <c r="AP76" s="454"/>
      <c r="AQ76" s="454"/>
      <c r="AR76" s="454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40</v>
      </c>
      <c r="V77" s="239">
        <v>48</v>
      </c>
      <c r="W77" s="240">
        <f t="shared" si="62"/>
        <v>8</v>
      </c>
      <c r="X77" s="241">
        <f t="shared" si="63"/>
        <v>0</v>
      </c>
      <c r="Z77" s="457"/>
      <c r="AA77" s="457"/>
      <c r="AB77" s="457"/>
      <c r="AC77" s="457"/>
      <c r="AD77" s="457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62</v>
      </c>
      <c r="C79" s="1070">
        <f>+G79*6</f>
        <v>169.99979999999999</v>
      </c>
      <c r="D79" s="1071"/>
      <c r="E79" s="1402">
        <f>+C79/7</f>
        <v>24.285685714285712</v>
      </c>
      <c r="F79" s="1403"/>
      <c r="G79" s="1062">
        <v>28.333300000000001</v>
      </c>
      <c r="H79" s="1063"/>
      <c r="I79" s="1052">
        <f>+G79/8</f>
        <v>3.5416625000000002</v>
      </c>
      <c r="J79" s="1058"/>
      <c r="K79" s="1059">
        <f>+G79*30</f>
        <v>849.99900000000002</v>
      </c>
      <c r="L79" s="1059"/>
      <c r="M79" s="5"/>
      <c r="N79" s="1020">
        <f t="shared" si="59"/>
        <v>4.1319395833333337</v>
      </c>
      <c r="O79" s="1020"/>
      <c r="P79" s="5"/>
      <c r="Q79" s="1056">
        <f t="shared" si="60"/>
        <v>1.2395874999999998</v>
      </c>
      <c r="R79" s="1057"/>
      <c r="S79" s="1066">
        <f>20*30/180*117</f>
        <v>390</v>
      </c>
      <c r="T79" s="1067"/>
      <c r="U79" s="238">
        <f t="shared" si="61"/>
        <v>24</v>
      </c>
      <c r="V79" s="239">
        <v>48</v>
      </c>
      <c r="W79" s="240">
        <f t="shared" si="62"/>
        <v>24</v>
      </c>
      <c r="X79" s="241">
        <f t="shared" si="63"/>
        <v>0</v>
      </c>
      <c r="Y79" s="248"/>
      <c r="Z79" s="457"/>
      <c r="AA79" s="457"/>
      <c r="AB79" s="457"/>
      <c r="AC79" s="457"/>
      <c r="AD79" s="457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56"/>
      <c r="T80" s="456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56"/>
      <c r="Z80" s="457"/>
      <c r="AA80" s="457"/>
      <c r="AB80" s="457"/>
      <c r="AC80" s="457"/>
      <c r="AD80" s="457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57"/>
      <c r="AC81" s="457"/>
      <c r="AD81" s="457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48</v>
      </c>
      <c r="V82" s="239">
        <v>48</v>
      </c>
      <c r="W82" s="240">
        <f>+V82-U82</f>
        <v>0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57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57"/>
      <c r="AD83" s="457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>
        <v>850</v>
      </c>
    </row>
    <row r="84" spans="1:46" ht="16.5">
      <c r="B84" s="250" t="s">
        <v>117</v>
      </c>
      <c r="C84" s="1035">
        <f>+G84*6</f>
        <v>150.44230088495576</v>
      </c>
      <c r="D84" s="1036"/>
      <c r="E84" s="1037">
        <f t="shared" si="64"/>
        <v>21.491757269279393</v>
      </c>
      <c r="F84" s="1038"/>
      <c r="G84" s="1039">
        <f>28.3333/1.13</f>
        <v>25.073716814159294</v>
      </c>
      <c r="H84" s="1040"/>
      <c r="I84" s="1037">
        <f>+G84/8</f>
        <v>3.1342146017699117</v>
      </c>
      <c r="J84" s="1038"/>
      <c r="K84" s="1388">
        <f>+G84*30</f>
        <v>752.21150442477881</v>
      </c>
      <c r="L84" s="1389"/>
      <c r="M84" s="5"/>
      <c r="N84" s="1020">
        <f t="shared" si="59"/>
        <v>3.6565837020648972</v>
      </c>
      <c r="O84" s="1020"/>
      <c r="P84" s="5"/>
      <c r="Q84" s="1004">
        <f t="shared" si="60"/>
        <v>1.6470353982300883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457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>
        <v>1.1299999999999999</v>
      </c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43152</v>
      </c>
      <c r="V85" s="239">
        <v>48</v>
      </c>
      <c r="W85" s="240">
        <f t="shared" si="62"/>
        <v>-43104</v>
      </c>
      <c r="X85" s="241">
        <f>+J27+T27+AD27+J49+T49+AD49</f>
        <v>0</v>
      </c>
      <c r="Z85" s="246"/>
      <c r="AA85" s="246"/>
      <c r="AB85" s="457"/>
      <c r="AC85" s="457"/>
      <c r="AD85" s="457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>
        <f>+AT83/AT84</f>
        <v>752.21238938053102</v>
      </c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57"/>
      <c r="AA86" s="457"/>
      <c r="AB86" s="457"/>
      <c r="AC86" s="457"/>
      <c r="AD86" s="457"/>
      <c r="AE86" s="386"/>
      <c r="AF86" s="386"/>
      <c r="AG86" s="391"/>
      <c r="AH86" s="391"/>
      <c r="AI86" s="386"/>
      <c r="AJ86" s="386"/>
      <c r="AK86" s="454"/>
      <c r="AL86" s="454"/>
      <c r="AM86" s="454"/>
      <c r="AN86" s="454"/>
      <c r="AO86" s="454"/>
      <c r="AP86" s="454"/>
      <c r="AQ86" s="454"/>
      <c r="AR86" s="454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57"/>
      <c r="AC87" s="457"/>
      <c r="AD87" s="457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57"/>
      <c r="AA88" s="457"/>
      <c r="AB88" s="457"/>
      <c r="AC88" s="457"/>
      <c r="AD88" s="457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57"/>
      <c r="AA89" s="457"/>
      <c r="AB89" s="457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57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54"/>
      <c r="AM102" s="391"/>
      <c r="AN102" s="454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54"/>
      <c r="AM120" s="391"/>
      <c r="AN120" s="454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54"/>
      <c r="AM140" s="391"/>
      <c r="AN140" s="454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55"/>
      <c r="E150" s="304"/>
      <c r="F150" s="305"/>
      <c r="G150" s="455"/>
      <c r="H150" s="455"/>
      <c r="I150" s="305"/>
      <c r="J150" s="455"/>
      <c r="K150" s="306"/>
      <c r="L150" s="306"/>
      <c r="M150" s="455"/>
      <c r="N150" s="455"/>
      <c r="O150" s="455"/>
      <c r="P150" s="455"/>
      <c r="Q150" s="455"/>
      <c r="R150" s="455"/>
      <c r="S150" s="455"/>
      <c r="T150" s="455"/>
      <c r="U150" s="455"/>
      <c r="V150" s="455"/>
      <c r="W150" s="455"/>
      <c r="X150" s="455"/>
      <c r="Y150" s="455"/>
      <c r="Z150" s="455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54"/>
      <c r="AM159" s="391"/>
      <c r="AN159" s="454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55"/>
      <c r="E168" s="304"/>
      <c r="F168" s="305"/>
      <c r="G168" s="455"/>
      <c r="H168" s="455"/>
      <c r="I168" s="305"/>
      <c r="J168" s="455"/>
      <c r="K168" s="306"/>
      <c r="L168" s="306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7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G79:H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</mergeCells>
  <conditionalFormatting sqref="AP69 AH62 AP62 AH33:AH50 AP33:AP50">
    <cfRule type="cellIs" dxfId="197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196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195" priority="20" stopIfTrue="1" operator="lessThan">
      <formula>0</formula>
    </cfRule>
  </conditionalFormatting>
  <conditionalFormatting sqref="AJ58:AJ59 F62 Z62 F58:F60 P62:P68 P58:P60 Z58:Z60 F33:F50 P33:P55 Z33:Z50 AJ11:AJ27 F11:F26 Z11:Z27 P11:P27">
    <cfRule type="cellIs" dxfId="194" priority="19" stopIfTrue="1" operator="lessThanOrEqual">
      <formula>0</formula>
    </cfRule>
  </conditionalFormatting>
  <conditionalFormatting sqref="AM58:AM59 AC62 I62 AC58:AC60 S62:S68 S58:S60 I58:I60 I33:I50 S33:S55 AC33:AC50 AM11:AM27 S11:S27 I11:I26 AC11:AC27">
    <cfRule type="cellIs" dxfId="193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U12:U22 K25 K47 AE43:AF43 U43:V43 U44:U45 AE44:AE45 K34:K45 U34:U42 AE34:AE42 K33:L33 K17:L17 V17 K12:K16 K18:K22 U23:V24 AO11:AO27 AE15:AE25">
    <cfRule type="cellIs" dxfId="192" priority="17" stopIfTrue="1" operator="lessThanOrEqual">
      <formula>0</formula>
    </cfRule>
  </conditionalFormatting>
  <conditionalFormatting sqref="Z51:AA55 Z63:AA68 W76:X85 W87:X89">
    <cfRule type="cellIs" dxfId="191" priority="16" stopIfTrue="1" operator="lessThan">
      <formula>0</formula>
    </cfRule>
  </conditionalFormatting>
  <conditionalFormatting sqref="X51:X55 X63:X68 U76:U85 U87:U89">
    <cfRule type="cellIs" dxfId="190" priority="15" stopIfTrue="1" operator="greaterThan">
      <formula>48</formula>
    </cfRule>
  </conditionalFormatting>
  <conditionalFormatting sqref="C183:C187 C195:D198 C126:D126 D183:D194 C90:D109">
    <cfRule type="cellIs" dxfId="189" priority="14" stopIfTrue="1" operator="lessThan">
      <formula>$C$73</formula>
    </cfRule>
  </conditionalFormatting>
  <conditionalFormatting sqref="AI62:AO62 AI33:AO50">
    <cfRule type="cellIs" dxfId="188" priority="12" stopIfTrue="1" operator="equal">
      <formula>0</formula>
    </cfRule>
    <cfRule type="cellIs" dxfId="187" priority="13" stopIfTrue="1" operator="lessThan">
      <formula>0</formula>
    </cfRule>
  </conditionalFormatting>
  <conditionalFormatting sqref="AT62 AT33:AT47">
    <cfRule type="cellIs" dxfId="186" priority="10" stopIfTrue="1" operator="greaterThan">
      <formula>0</formula>
    </cfRule>
    <cfRule type="cellIs" dxfId="185" priority="11" stopIfTrue="1" operator="lessThan">
      <formula>1</formula>
    </cfRule>
  </conditionalFormatting>
  <conditionalFormatting sqref="K86:L86 K83:L83 K73:L81">
    <cfRule type="cellIs" dxfId="184" priority="9" stopIfTrue="1" operator="greaterThanOrEqual">
      <formula>$K$71</formula>
    </cfRule>
  </conditionalFormatting>
  <conditionalFormatting sqref="AF58:AF59 AF11:AF13 L34:L47 V34:V47 AF34:AF47 L12:L25 V12:V25 AF15:AF25">
    <cfRule type="cellIs" dxfId="183" priority="7" stopIfTrue="1" operator="equal">
      <formula>0</formula>
    </cfRule>
    <cfRule type="cellIs" dxfId="182" priority="8" stopIfTrue="1" operator="lessThan">
      <formula>0</formula>
    </cfRule>
  </conditionalFormatting>
  <conditionalFormatting sqref="V33">
    <cfRule type="cellIs" dxfId="181" priority="5" stopIfTrue="1" operator="equal">
      <formula>0</formula>
    </cfRule>
    <cfRule type="cellIs" dxfId="180" priority="6" stopIfTrue="1" operator="lessThan">
      <formula>0</formula>
    </cfRule>
  </conditionalFormatting>
  <conditionalFormatting sqref="L33">
    <cfRule type="cellIs" dxfId="179" priority="3" stopIfTrue="1" operator="equal">
      <formula>0</formula>
    </cfRule>
    <cfRule type="cellIs" dxfId="178" priority="4" stopIfTrue="1" operator="lessThan">
      <formula>0</formula>
    </cfRule>
  </conditionalFormatting>
  <conditionalFormatting sqref="AF14">
    <cfRule type="cellIs" dxfId="177" priority="1" stopIfTrue="1" operator="equal">
      <formula>0</formula>
    </cfRule>
    <cfRule type="cellIs" dxfId="176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Y19 AT44 AZ20 AE21:AY32 AE20:AQ20 AU20:AY20 AE35:AY43 AE33:AV33 AX33:AY33 AE34:AV34 AX34:AY34" formula="1"/>
  </ignoredErrors>
  <drawing r:id="rId3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P23" sqref="AP23:AQ23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49" customWidth="1"/>
    <col min="5" max="5" width="4.28515625" style="3" customWidth="1"/>
    <col min="6" max="6" width="4.28515625" style="4" customWidth="1"/>
    <col min="7" max="8" width="4.28515625" style="449" customWidth="1"/>
    <col min="9" max="9" width="4.28515625" style="4" customWidth="1"/>
    <col min="10" max="10" width="4.28515625" style="449" customWidth="1"/>
    <col min="11" max="12" width="4.28515625" style="5" customWidth="1"/>
    <col min="13" max="26" width="4.28515625" style="449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43145</v>
      </c>
      <c r="C1" s="449" t="s">
        <v>0</v>
      </c>
      <c r="AN1" s="7"/>
      <c r="AO1" s="7"/>
      <c r="AR1" s="1340">
        <f>+AR48+AT48</f>
        <v>107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43146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49">
        <v>0</v>
      </c>
    </row>
    <row r="5" spans="1:58" ht="10.9" customHeight="1">
      <c r="B5" s="1244" t="s">
        <v>1</v>
      </c>
      <c r="C5" s="1140">
        <v>43139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43140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43141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43142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43139</v>
      </c>
      <c r="AW7" s="1296">
        <f>+M5</f>
        <v>43140</v>
      </c>
      <c r="AX7" s="1296">
        <f>+W5</f>
        <v>43141</v>
      </c>
      <c r="AY7" s="1309">
        <f>+AG5</f>
        <v>43142</v>
      </c>
      <c r="AZ7" s="1296">
        <f>+C27</f>
        <v>43143</v>
      </c>
      <c r="BA7" s="1296">
        <f>+M27</f>
        <v>43144</v>
      </c>
      <c r="BB7" s="1296">
        <f>+W27</f>
        <v>43145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16</v>
      </c>
      <c r="E11" s="16">
        <v>1</v>
      </c>
      <c r="F11" s="17">
        <f t="shared" ref="F11:F21" si="1">+D11-C11-E11</f>
        <v>8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/>
      <c r="X11" s="337"/>
      <c r="Y11" s="23"/>
      <c r="Z11" s="17">
        <f t="shared" ref="Z11:Z21" si="9">+X11-W11-Y11</f>
        <v>0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0</v>
      </c>
      <c r="AF11" s="20">
        <f t="shared" ref="AF11:AF18" si="12"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0</v>
      </c>
      <c r="AQ11" s="1298"/>
      <c r="AR11" s="1299">
        <f t="shared" ref="AR11:AR21" si="17">ROUND(BD11*AP11,1)</f>
        <v>0</v>
      </c>
      <c r="AS11" s="1300"/>
      <c r="AT11" s="338">
        <f t="shared" ref="AT11:AT19" si="18">IF(AT33&gt;0,AT33*$AT$10,0)</f>
        <v>20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0</v>
      </c>
      <c r="AY11" s="27">
        <f t="shared" ref="AY11:AY21" si="22">+AO11</f>
        <v>0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0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445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17</v>
      </c>
      <c r="Y12" s="30">
        <v>1</v>
      </c>
      <c r="Z12" s="31">
        <f t="shared" si="9"/>
        <v>9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1</v>
      </c>
      <c r="AG12" s="37">
        <v>7</v>
      </c>
      <c r="AH12" s="342">
        <v>19</v>
      </c>
      <c r="AI12" s="30">
        <v>1</v>
      </c>
      <c r="AJ12" s="38">
        <f>+AH12-AG12-AI12</f>
        <v>11</v>
      </c>
      <c r="AK12" s="342"/>
      <c r="AL12" s="342"/>
      <c r="AM12" s="31">
        <f t="shared" si="14"/>
        <v>0</v>
      </c>
      <c r="AN12" s="39"/>
      <c r="AO12" s="40">
        <f t="shared" si="15"/>
        <v>22</v>
      </c>
      <c r="AP12" s="1282">
        <f t="shared" si="16"/>
        <v>30</v>
      </c>
      <c r="AQ12" s="1283"/>
      <c r="AR12" s="1284">
        <f t="shared" si="17"/>
        <v>154</v>
      </c>
      <c r="AS12" s="1285"/>
      <c r="AT12" s="345">
        <f t="shared" si="18"/>
        <v>28</v>
      </c>
      <c r="AV12" s="26">
        <f t="shared" si="19"/>
        <v>2</v>
      </c>
      <c r="AW12" s="26">
        <f t="shared" si="20"/>
        <v>0</v>
      </c>
      <c r="AX12" s="26">
        <f t="shared" si="21"/>
        <v>1</v>
      </c>
      <c r="AY12" s="27">
        <f t="shared" si="22"/>
        <v>22</v>
      </c>
      <c r="AZ12" s="26">
        <f t="shared" si="23"/>
        <v>2</v>
      </c>
      <c r="BA12" s="26">
        <f t="shared" si="24"/>
        <v>2</v>
      </c>
      <c r="BB12" s="26">
        <f t="shared" si="25"/>
        <v>1</v>
      </c>
      <c r="BC12" s="28"/>
      <c r="BD12" s="339">
        <f t="shared" si="26"/>
        <v>5.1339285714285712</v>
      </c>
      <c r="BE12" s="340">
        <f t="shared" si="27"/>
        <v>154.01785714285714</v>
      </c>
      <c r="BF12" s="341">
        <f t="shared" si="28"/>
        <v>112.94642857142857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445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1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3-2</f>
        <v>1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12</v>
      </c>
      <c r="AV13" s="26">
        <f t="shared" si="19"/>
        <v>0</v>
      </c>
      <c r="AW13" s="26">
        <f t="shared" si="20"/>
        <v>0</v>
      </c>
      <c r="AX13" s="26">
        <f t="shared" si="21"/>
        <v>1</v>
      </c>
      <c r="AY13" s="27">
        <f t="shared" si="22"/>
        <v>0</v>
      </c>
      <c r="AZ13" s="26">
        <f t="shared" si="23"/>
        <v>0</v>
      </c>
      <c r="BA13" s="26">
        <f t="shared" si="24"/>
        <v>0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19</v>
      </c>
      <c r="D14" s="346">
        <v>24</v>
      </c>
      <c r="E14" s="42">
        <v>1</v>
      </c>
      <c r="F14" s="44">
        <f t="shared" si="1"/>
        <v>4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3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4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344"/>
      <c r="AC14" s="36">
        <f t="shared" si="10"/>
        <v>0</v>
      </c>
      <c r="AD14" s="42"/>
      <c r="AE14" s="45">
        <f t="shared" si="11"/>
        <v>8</v>
      </c>
      <c r="AF14" s="20">
        <f t="shared" si="12"/>
        <v>0</v>
      </c>
      <c r="AG14" s="37">
        <v>7</v>
      </c>
      <c r="AH14" s="342">
        <v>16</v>
      </c>
      <c r="AI14" s="30">
        <v>1</v>
      </c>
      <c r="AJ14" s="38">
        <f t="shared" si="13"/>
        <v>8</v>
      </c>
      <c r="AK14" s="342"/>
      <c r="AL14" s="342"/>
      <c r="AM14" s="31">
        <f t="shared" si="14"/>
        <v>0</v>
      </c>
      <c r="AN14" s="47"/>
      <c r="AO14" s="40">
        <f t="shared" si="15"/>
        <v>16</v>
      </c>
      <c r="AP14" s="1282">
        <f t="shared" si="16"/>
        <v>26</v>
      </c>
      <c r="AQ14" s="1283"/>
      <c r="AR14" s="1284">
        <f t="shared" si="17"/>
        <v>108.3</v>
      </c>
      <c r="AS14" s="1285"/>
      <c r="AT14" s="345">
        <f t="shared" si="18"/>
        <v>24</v>
      </c>
      <c r="AV14" s="26">
        <f t="shared" si="19"/>
        <v>3</v>
      </c>
      <c r="AW14" s="26">
        <f t="shared" si="20"/>
        <v>4</v>
      </c>
      <c r="AX14" s="26">
        <f t="shared" si="21"/>
        <v>0</v>
      </c>
      <c r="AY14" s="27">
        <f t="shared" si="22"/>
        <v>16</v>
      </c>
      <c r="AZ14" s="26">
        <f t="shared" si="23"/>
        <v>0</v>
      </c>
      <c r="BA14" s="26">
        <f t="shared" si="24"/>
        <v>2</v>
      </c>
      <c r="BB14" s="26">
        <f t="shared" si="25"/>
        <v>1</v>
      </c>
      <c r="BC14" s="28"/>
      <c r="BD14" s="339">
        <f t="shared" si="26"/>
        <v>4.1666785714285712</v>
      </c>
      <c r="BE14" s="340">
        <f t="shared" si="27"/>
        <v>108.33364285714285</v>
      </c>
      <c r="BF14" s="341">
        <f t="shared" si="28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16</v>
      </c>
      <c r="E15" s="30">
        <v>1</v>
      </c>
      <c r="F15" s="31">
        <f t="shared" si="1"/>
        <v>7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-1</v>
      </c>
      <c r="M15" s="445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/>
      <c r="X15" s="342"/>
      <c r="Y15" s="30"/>
      <c r="Z15" s="31">
        <f t="shared" si="9"/>
        <v>0</v>
      </c>
      <c r="AA15" s="346"/>
      <c r="AB15" s="49"/>
      <c r="AC15" s="31">
        <f t="shared" si="10"/>
        <v>0</v>
      </c>
      <c r="AD15" s="30"/>
      <c r="AE15" s="32">
        <f t="shared" si="11"/>
        <v>0</v>
      </c>
      <c r="AF15" s="20">
        <f t="shared" si="12"/>
        <v>0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0</v>
      </c>
      <c r="AQ15" s="1295"/>
      <c r="AR15" s="1284">
        <f t="shared" si="17"/>
        <v>0</v>
      </c>
      <c r="AS15" s="1285"/>
      <c r="AT15" s="345">
        <f t="shared" si="18"/>
        <v>20</v>
      </c>
      <c r="AV15" s="26">
        <f t="shared" si="19"/>
        <v>-1</v>
      </c>
      <c r="AW15" s="26">
        <f t="shared" si="20"/>
        <v>0</v>
      </c>
      <c r="AX15" s="26">
        <f t="shared" si="21"/>
        <v>0</v>
      </c>
      <c r="AY15" s="27">
        <f t="shared" si="22"/>
        <v>0</v>
      </c>
      <c r="AZ15" s="26">
        <f t="shared" si="23"/>
        <v>2</v>
      </c>
      <c r="BA15" s="26">
        <f t="shared" si="24"/>
        <v>0</v>
      </c>
      <c r="BB15" s="26">
        <f t="shared" si="25"/>
        <v>-1</v>
      </c>
      <c r="BC15" s="28"/>
      <c r="BD15" s="339">
        <f t="shared" si="26"/>
        <v>5.1339285714285712</v>
      </c>
      <c r="BE15" s="349">
        <f t="shared" si="27"/>
        <v>0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14</v>
      </c>
      <c r="Y16" s="42">
        <v>1</v>
      </c>
      <c r="Z16" s="44">
        <f>+X16-W16-Y16</f>
        <v>6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1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0</v>
      </c>
      <c r="AQ16" s="1283"/>
      <c r="AR16" s="1284">
        <f>ROUND(BD16*AP16,1)</f>
        <v>0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-1</v>
      </c>
      <c r="AX16" s="26">
        <f>+AF16</f>
        <v>1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B17" s="48" t="str">
        <f t="shared" si="0"/>
        <v>Antony Tejada Ch.</v>
      </c>
      <c r="C17" s="334">
        <v>18</v>
      </c>
      <c r="D17" s="342">
        <v>24</v>
      </c>
      <c r="E17" s="30">
        <v>1</v>
      </c>
      <c r="F17" s="31">
        <f>+D17-C17-E17</f>
        <v>5</v>
      </c>
      <c r="G17" s="342">
        <v>0</v>
      </c>
      <c r="H17" s="342">
        <v>10</v>
      </c>
      <c r="I17" s="31">
        <f>+H17-G17</f>
        <v>10</v>
      </c>
      <c r="J17" s="30">
        <v>8</v>
      </c>
      <c r="K17" s="32">
        <f>+I17+F17-L17</f>
        <v>8</v>
      </c>
      <c r="L17" s="20">
        <f>IF(C17&gt;0,(F17+I17)+IF(K$5&gt;0,F17,-8),0)+IF(U$5&gt;0,I17,0)</f>
        <v>7</v>
      </c>
      <c r="M17" s="334">
        <v>21</v>
      </c>
      <c r="N17" s="342">
        <v>24</v>
      </c>
      <c r="O17" s="30">
        <v>1</v>
      </c>
      <c r="P17" s="31">
        <f>+N17-M17-O17</f>
        <v>2</v>
      </c>
      <c r="Q17" s="346">
        <v>0</v>
      </c>
      <c r="R17" s="346">
        <v>7</v>
      </c>
      <c r="S17" s="31">
        <f>+R17-Q17</f>
        <v>7</v>
      </c>
      <c r="T17" s="30">
        <v>8</v>
      </c>
      <c r="U17" s="32">
        <f>+S17+P17-V17</f>
        <v>8</v>
      </c>
      <c r="V17" s="20">
        <f>IF(M17&gt;0,(P17+S17)+IF(U$5&gt;0,P17,-8),0)+IF(AE$5&gt;0,S17,0)</f>
        <v>1</v>
      </c>
      <c r="W17" s="342">
        <v>7</v>
      </c>
      <c r="X17" s="342">
        <v>17</v>
      </c>
      <c r="Y17" s="30">
        <v>1</v>
      </c>
      <c r="Z17" s="44">
        <f>+X17-W17-Y17</f>
        <v>9</v>
      </c>
      <c r="AA17" s="346"/>
      <c r="AB17" s="344"/>
      <c r="AC17" s="31">
        <f>+AB17-AA17</f>
        <v>0</v>
      </c>
      <c r="AD17" s="30"/>
      <c r="AE17" s="32">
        <f>+AC17+Z17-IF(AE$5&gt;0,AF17/2,AF17)</f>
        <v>8</v>
      </c>
      <c r="AF17" s="20">
        <f>IF(W17&gt;0,IF(AE$5&gt;0,(Z17+AC17)*2,(Z17+AC17-8)),0)*IF(Z17&lt;9,IF(AE$5&gt;0,1,2),1)+IF(Z17&gt;8,AC17,0)</f>
        <v>1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8</v>
      </c>
      <c r="AQ17" s="1283"/>
      <c r="AR17" s="1284">
        <f t="shared" si="17"/>
        <v>28.3</v>
      </c>
      <c r="AS17" s="1285"/>
      <c r="AT17" s="345">
        <f t="shared" si="18"/>
        <v>20</v>
      </c>
      <c r="AV17" s="26">
        <f t="shared" si="19"/>
        <v>7</v>
      </c>
      <c r="AW17" s="26">
        <f t="shared" si="20"/>
        <v>1</v>
      </c>
      <c r="AX17" s="26">
        <f t="shared" si="21"/>
        <v>1</v>
      </c>
      <c r="AY17" s="27">
        <f t="shared" si="22"/>
        <v>0</v>
      </c>
      <c r="AZ17" s="26">
        <f t="shared" si="23"/>
        <v>0</v>
      </c>
      <c r="BA17" s="26">
        <f t="shared" si="24"/>
        <v>-1</v>
      </c>
      <c r="BB17" s="26">
        <f t="shared" si="25"/>
        <v>0</v>
      </c>
      <c r="BC17" s="28"/>
      <c r="BD17" s="339">
        <f t="shared" si="26"/>
        <v>3.5416625000000002</v>
      </c>
      <c r="BE17" s="349">
        <f t="shared" si="27"/>
        <v>28.333300000000001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12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1</v>
      </c>
      <c r="BA20" s="69">
        <f>+V45</f>
        <v>1</v>
      </c>
      <c r="BB20" s="69">
        <f>+AF45</f>
        <v>1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46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Pedro Hostos S,</v>
      </c>
      <c r="C23" s="74"/>
      <c r="D23" s="75"/>
      <c r="E23" s="75"/>
      <c r="F23" s="76">
        <f>+D23-C23-E23</f>
        <v>0</v>
      </c>
      <c r="G23" s="75"/>
      <c r="H23" s="75"/>
      <c r="I23" s="76">
        <f>+H23-G23</f>
        <v>0</v>
      </c>
      <c r="J23" s="75"/>
      <c r="K23" s="76">
        <f>+I23+F23-L23</f>
        <v>0</v>
      </c>
      <c r="L23" s="77">
        <f>IF(C23&gt;0,(F23+I23)+IF(K$5&gt;0,F23,-8),0)+IF(U$5&gt;0,I23,0)</f>
        <v>0</v>
      </c>
      <c r="M23" s="451"/>
      <c r="N23" s="75"/>
      <c r="O23" s="75"/>
      <c r="P23" s="76">
        <f>+N23-M23-O23</f>
        <v>0</v>
      </c>
      <c r="Q23" s="75"/>
      <c r="R23" s="75"/>
      <c r="S23" s="76">
        <f>+R23-Q23</f>
        <v>0</v>
      </c>
      <c r="T23" s="75"/>
      <c r="U23" s="76">
        <f>+S23+P23-V23</f>
        <v>0</v>
      </c>
      <c r="V23" s="77">
        <f>IF(M23&gt;0,(P23+S23)+IF(U$5&gt;0,P23,-8),0)+IF(AE$5&gt;0,S23,0)</f>
        <v>0</v>
      </c>
      <c r="W23" s="75"/>
      <c r="X23" s="75"/>
      <c r="Y23" s="75"/>
      <c r="Z23" s="76">
        <f>+X23-W23-Y23</f>
        <v>0</v>
      </c>
      <c r="AA23" s="75"/>
      <c r="AB23" s="78"/>
      <c r="AC23" s="76">
        <f>+AB23-AA23</f>
        <v>0</v>
      </c>
      <c r="AD23" s="75"/>
      <c r="AE23" s="76">
        <f>+AC23+Z23-IF(AE$5&gt;0,AF23/2,AF23)</f>
        <v>0</v>
      </c>
      <c r="AF23" s="77">
        <f t="shared" si="30"/>
        <v>0</v>
      </c>
      <c r="AG23" s="75"/>
      <c r="AH23" s="75"/>
      <c r="AI23" s="75"/>
      <c r="AJ23" s="79">
        <f>+AH23-AG23-AI23</f>
        <v>0</v>
      </c>
      <c r="AK23" s="75"/>
      <c r="AL23" s="75"/>
      <c r="AM23" s="76">
        <f>+AL23-AK23</f>
        <v>0</v>
      </c>
      <c r="AN23" s="75"/>
      <c r="AO23" s="80">
        <f>(AJ23*2+AM23)</f>
        <v>0</v>
      </c>
      <c r="AP23" s="1282">
        <f t="shared" si="16"/>
        <v>3</v>
      </c>
      <c r="AQ23" s="1283"/>
      <c r="AR23" s="1284">
        <f>ROUND(BD23*AP23,1)</f>
        <v>9.4</v>
      </c>
      <c r="AS23" s="1285"/>
      <c r="AT23" s="345">
        <f>IF(AT45&gt;0,AT45*$AT$10,0)</f>
        <v>12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+L45</f>
        <v>1</v>
      </c>
      <c r="BA23" s="69">
        <f>+V45</f>
        <v>1</v>
      </c>
      <c r="BB23" s="69">
        <f>+AF45</f>
        <v>1</v>
      </c>
      <c r="BC23" s="54"/>
      <c r="BD23" s="339">
        <f t="shared" si="31"/>
        <v>3.1342146017699117</v>
      </c>
      <c r="BE23" s="351">
        <f>+BD23*AP23</f>
        <v>9.4026438053097348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300.0874438053097</v>
      </c>
      <c r="BF26" s="1242">
        <f>SUM(BF11:BF25)</f>
        <v>179.61328571428572</v>
      </c>
    </row>
    <row r="27" spans="1:58" ht="10.9" customHeight="1">
      <c r="B27" s="1244" t="s">
        <v>1</v>
      </c>
      <c r="C27" s="1140">
        <f>1+AG5</f>
        <v>43143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43144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43145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43139</v>
      </c>
      <c r="AJ27" s="1218">
        <f t="shared" ref="AJ27:AO27" si="32">1+AI27</f>
        <v>43140</v>
      </c>
      <c r="AK27" s="1218">
        <f t="shared" si="32"/>
        <v>43141</v>
      </c>
      <c r="AL27" s="1219">
        <f t="shared" si="32"/>
        <v>43142</v>
      </c>
      <c r="AM27" s="1219">
        <f t="shared" si="32"/>
        <v>43143</v>
      </c>
      <c r="AN27" s="1220">
        <f t="shared" si="32"/>
        <v>43144</v>
      </c>
      <c r="AO27" s="1220">
        <f t="shared" si="32"/>
        <v>43145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43142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71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33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4">+D33-C33-E33</f>
        <v>8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-8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-8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5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18</v>
      </c>
      <c r="O34" s="30">
        <v>1</v>
      </c>
      <c r="P34" s="31">
        <f t="shared" si="37"/>
        <v>10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2</v>
      </c>
      <c r="W34" s="334">
        <v>7</v>
      </c>
      <c r="X34" s="342">
        <v>17</v>
      </c>
      <c r="Y34" s="30">
        <v>1</v>
      </c>
      <c r="Z34" s="31">
        <f t="shared" si="41"/>
        <v>9</v>
      </c>
      <c r="AA34" s="342"/>
      <c r="AB34" s="346"/>
      <c r="AC34" s="31">
        <f t="shared" si="42"/>
        <v>0</v>
      </c>
      <c r="AD34" s="30"/>
      <c r="AE34" s="32">
        <f t="shared" si="43"/>
        <v>8</v>
      </c>
      <c r="AF34" s="20">
        <f t="shared" si="44"/>
        <v>1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0</v>
      </c>
      <c r="AS34" s="1160"/>
      <c r="AT34" s="117">
        <f t="shared" si="53"/>
        <v>7</v>
      </c>
      <c r="AU34" s="55"/>
      <c r="AV34" s="55"/>
      <c r="AW34" s="1134">
        <v>-22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/>
      <c r="N35" s="342"/>
      <c r="O35" s="30"/>
      <c r="P35" s="31">
        <f t="shared" si="37"/>
        <v>0</v>
      </c>
      <c r="Q35" s="106"/>
      <c r="R35" s="106"/>
      <c r="S35" s="31">
        <f t="shared" si="38"/>
        <v>0</v>
      </c>
      <c r="T35" s="30"/>
      <c r="U35" s="32">
        <f t="shared" si="39"/>
        <v>0</v>
      </c>
      <c r="V35" s="20">
        <f t="shared" si="40"/>
        <v>0</v>
      </c>
      <c r="W35" s="334"/>
      <c r="X35" s="342"/>
      <c r="Y35" s="30"/>
      <c r="Z35" s="31">
        <f t="shared" si="41"/>
        <v>0</v>
      </c>
      <c r="AA35" s="342"/>
      <c r="AB35" s="116"/>
      <c r="AC35" s="31">
        <f t="shared" si="42"/>
        <v>0</v>
      </c>
      <c r="AD35" s="30"/>
      <c r="AE35" s="32">
        <f t="shared" si="43"/>
        <v>0</v>
      </c>
      <c r="AF35" s="20">
        <f t="shared" si="44"/>
        <v>0</v>
      </c>
      <c r="AG35" s="55"/>
      <c r="AH35" s="112">
        <v>0</v>
      </c>
      <c r="AI35" s="113">
        <f t="shared" si="45"/>
        <v>-8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-8</v>
      </c>
      <c r="AO35" s="113">
        <f t="shared" si="50"/>
        <v>-8</v>
      </c>
      <c r="AP35" s="114">
        <f t="shared" si="51"/>
        <v>-24</v>
      </c>
      <c r="AQ35" s="55"/>
      <c r="AR35" s="1159">
        <f t="shared" si="52"/>
        <v>0</v>
      </c>
      <c r="AS35" s="1160"/>
      <c r="AT35" s="118">
        <f t="shared" si="53"/>
        <v>3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/>
      <c r="D36" s="348"/>
      <c r="E36" s="119"/>
      <c r="F36" s="120">
        <f t="shared" si="34"/>
        <v>0</v>
      </c>
      <c r="G36" s="346"/>
      <c r="H36" s="346"/>
      <c r="I36" s="120">
        <f t="shared" si="35"/>
        <v>0</v>
      </c>
      <c r="J36" s="119"/>
      <c r="K36" s="121">
        <f t="shared" si="36"/>
        <v>0</v>
      </c>
      <c r="L36" s="20">
        <f t="shared" si="54"/>
        <v>0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7</v>
      </c>
      <c r="X36" s="342">
        <v>17</v>
      </c>
      <c r="Y36" s="30">
        <v>1</v>
      </c>
      <c r="Z36" s="31">
        <f t="shared" si="41"/>
        <v>9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1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-8</v>
      </c>
      <c r="AN36" s="113">
        <f t="shared" si="49"/>
        <v>0</v>
      </c>
      <c r="AO36" s="113">
        <f t="shared" si="50"/>
        <v>0</v>
      </c>
      <c r="AP36" s="114">
        <f t="shared" si="51"/>
        <v>-8</v>
      </c>
      <c r="AQ36" s="55"/>
      <c r="AR36" s="1159">
        <f t="shared" si="52"/>
        <v>9.8331428571428603</v>
      </c>
      <c r="AS36" s="1160"/>
      <c r="AT36" s="118">
        <f t="shared" si="53"/>
        <v>6</v>
      </c>
      <c r="AU36" s="55"/>
      <c r="AV36" s="55"/>
      <c r="AW36" s="1195">
        <v>-16</v>
      </c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18</v>
      </c>
      <c r="E37" s="30">
        <v>1</v>
      </c>
      <c r="F37" s="31">
        <f t="shared" si="34"/>
        <v>10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2</v>
      </c>
      <c r="M37" s="342">
        <v>7</v>
      </c>
      <c r="N37" s="342">
        <v>16</v>
      </c>
      <c r="O37" s="30">
        <v>1</v>
      </c>
      <c r="P37" s="31">
        <f t="shared" si="37"/>
        <v>8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0</v>
      </c>
      <c r="W37" s="334">
        <v>8</v>
      </c>
      <c r="X37" s="342">
        <v>16</v>
      </c>
      <c r="Y37" s="30">
        <v>1</v>
      </c>
      <c r="Z37" s="31">
        <f t="shared" si="41"/>
        <v>7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-1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-8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-8</v>
      </c>
      <c r="AQ37" s="55"/>
      <c r="AR37" s="1159">
        <f t="shared" si="52"/>
        <v>0</v>
      </c>
      <c r="AS37" s="1160"/>
      <c r="AT37" s="118">
        <f t="shared" si="53"/>
        <v>5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>Antony Tejada Ch.</v>
      </c>
      <c r="C39" s="334">
        <v>7</v>
      </c>
      <c r="D39" s="342">
        <v>16</v>
      </c>
      <c r="E39" s="30">
        <v>1</v>
      </c>
      <c r="F39" s="31">
        <f t="shared" si="34"/>
        <v>8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4"/>
        <v>0</v>
      </c>
      <c r="M39" s="342">
        <v>7</v>
      </c>
      <c r="N39" s="342">
        <v>15</v>
      </c>
      <c r="O39" s="30">
        <v>1</v>
      </c>
      <c r="P39" s="31">
        <f t="shared" si="37"/>
        <v>7</v>
      </c>
      <c r="Q39" s="106"/>
      <c r="R39" s="106"/>
      <c r="S39" s="31">
        <f t="shared" si="38"/>
        <v>0</v>
      </c>
      <c r="T39" s="30"/>
      <c r="U39" s="32">
        <f t="shared" si="39"/>
        <v>8</v>
      </c>
      <c r="V39" s="20">
        <f t="shared" si="40"/>
        <v>-1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0</v>
      </c>
      <c r="AJ39" s="113">
        <f t="shared" si="46"/>
        <v>0</v>
      </c>
      <c r="AK39" s="113">
        <f t="shared" ref="AK39:AK47" si="55">IF(ISBLANK($AE$5),-8,0)+AE17</f>
        <v>0</v>
      </c>
      <c r="AL39" s="113">
        <f t="shared" si="47"/>
        <v>0</v>
      </c>
      <c r="AM39" s="113">
        <f t="shared" si="48"/>
        <v>0</v>
      </c>
      <c r="AN39" s="113">
        <f t="shared" si="49"/>
        <v>0</v>
      </c>
      <c r="AO39" s="113">
        <f t="shared" si="50"/>
        <v>-8</v>
      </c>
      <c r="AP39" s="114">
        <f t="shared" si="51"/>
        <v>-8</v>
      </c>
      <c r="AQ39" s="55"/>
      <c r="AR39" s="1159">
        <f t="shared" si="52"/>
        <v>19.833399999999997</v>
      </c>
      <c r="AS39" s="1160"/>
      <c r="AT39" s="118">
        <f t="shared" si="53"/>
        <v>5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Pedro Hostos S,</v>
      </c>
      <c r="C45" s="372">
        <v>7</v>
      </c>
      <c r="D45" s="348">
        <v>17</v>
      </c>
      <c r="E45" s="119">
        <v>1</v>
      </c>
      <c r="F45" s="120">
        <f t="shared" si="34"/>
        <v>9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1</v>
      </c>
      <c r="M45" s="342">
        <v>7</v>
      </c>
      <c r="N45" s="342">
        <v>17</v>
      </c>
      <c r="O45" s="30">
        <v>1</v>
      </c>
      <c r="P45" s="31">
        <f t="shared" si="37"/>
        <v>9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1</v>
      </c>
      <c r="W45" s="334">
        <v>7</v>
      </c>
      <c r="X45" s="342">
        <v>17</v>
      </c>
      <c r="Y45" s="30">
        <v>1</v>
      </c>
      <c r="Z45" s="31">
        <f t="shared" si="41"/>
        <v>9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1</v>
      </c>
      <c r="AG45" s="55"/>
      <c r="AH45" s="143">
        <v>0</v>
      </c>
      <c r="AI45" s="144">
        <f t="shared" si="45"/>
        <v>-8</v>
      </c>
      <c r="AJ45" s="144">
        <f t="shared" si="46"/>
        <v>-8</v>
      </c>
      <c r="AK45" s="144">
        <f t="shared" si="55"/>
        <v>-8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-24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3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67</v>
      </c>
      <c r="AS48" s="1162"/>
      <c r="AT48" s="167">
        <f>SUM(AT33:AT47)</f>
        <v>40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38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43139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43140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43141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43142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8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43143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43144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43145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2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-104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49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49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49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49"/>
      <c r="AB70" s="449"/>
      <c r="AC70" s="449"/>
      <c r="AD70" s="449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49"/>
      <c r="AB71" s="449"/>
      <c r="AC71" s="449"/>
      <c r="AD71" s="449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49"/>
      <c r="AB72" s="449"/>
      <c r="AC72" s="449"/>
      <c r="AD72" s="449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40</v>
      </c>
      <c r="V73" s="239">
        <v>48</v>
      </c>
      <c r="W73" s="240">
        <f t="shared" ref="W73:W88" si="62">+V73-U73</f>
        <v>8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70</v>
      </c>
      <c r="V74" s="239">
        <v>48</v>
      </c>
      <c r="W74" s="240">
        <f t="shared" si="62"/>
        <v>-22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24</v>
      </c>
      <c r="V75" s="239">
        <v>48</v>
      </c>
      <c r="W75" s="240">
        <f t="shared" si="62"/>
        <v>24</v>
      </c>
      <c r="X75" s="241">
        <f t="shared" si="63"/>
        <v>0</v>
      </c>
      <c r="Z75" s="389"/>
      <c r="AA75" s="450"/>
      <c r="AB75" s="450"/>
      <c r="AC75" s="450"/>
      <c r="AD75" s="450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56</v>
      </c>
      <c r="V76" s="239">
        <v>48</v>
      </c>
      <c r="W76" s="240">
        <f t="shared" si="62"/>
        <v>-8</v>
      </c>
      <c r="X76" s="241">
        <f t="shared" si="63"/>
        <v>16</v>
      </c>
      <c r="Z76" s="1045" t="s">
        <v>53</v>
      </c>
      <c r="AA76" s="1045"/>
      <c r="AB76" s="1045"/>
      <c r="AC76" s="1045"/>
      <c r="AD76" s="389" t="s">
        <v>54</v>
      </c>
      <c r="AE76" s="450"/>
      <c r="AF76" s="386"/>
      <c r="AG76" s="391"/>
      <c r="AH76" s="391"/>
      <c r="AI76" s="386"/>
      <c r="AJ76" s="386"/>
      <c r="AK76" s="447"/>
      <c r="AL76" s="447"/>
      <c r="AM76" s="447"/>
      <c r="AN76" s="447"/>
      <c r="AO76" s="447"/>
      <c r="AP76" s="447"/>
      <c r="AQ76" s="447"/>
      <c r="AR76" s="447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40</v>
      </c>
      <c r="V77" s="239">
        <v>48</v>
      </c>
      <c r="W77" s="240">
        <f t="shared" si="62"/>
        <v>8</v>
      </c>
      <c r="X77" s="241">
        <f t="shared" si="63"/>
        <v>0</v>
      </c>
      <c r="Z77" s="450"/>
      <c r="AA77" s="450"/>
      <c r="AB77" s="450"/>
      <c r="AC77" s="450"/>
      <c r="AD77" s="450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62</v>
      </c>
      <c r="C79" s="1070">
        <f>+G79*6</f>
        <v>169.99979999999999</v>
      </c>
      <c r="D79" s="1071"/>
      <c r="E79" s="1402">
        <f>+C79/7</f>
        <v>24.285685714285712</v>
      </c>
      <c r="F79" s="1403"/>
      <c r="G79" s="1062">
        <v>28.333300000000001</v>
      </c>
      <c r="H79" s="1063"/>
      <c r="I79" s="1052">
        <f>+G79/8</f>
        <v>3.5416625000000002</v>
      </c>
      <c r="J79" s="1058"/>
      <c r="K79" s="1059">
        <f>+G79*30</f>
        <v>849.99900000000002</v>
      </c>
      <c r="L79" s="1059"/>
      <c r="M79" s="5"/>
      <c r="N79" s="1020">
        <f t="shared" si="59"/>
        <v>4.1319395833333337</v>
      </c>
      <c r="O79" s="1020"/>
      <c r="P79" s="5"/>
      <c r="Q79" s="1056">
        <f t="shared" si="60"/>
        <v>1.2395874999999998</v>
      </c>
      <c r="R79" s="1057"/>
      <c r="S79" s="1066">
        <f>20*30/180*117</f>
        <v>390</v>
      </c>
      <c r="T79" s="1067"/>
      <c r="U79" s="238">
        <f t="shared" si="61"/>
        <v>40</v>
      </c>
      <c r="V79" s="239">
        <v>48</v>
      </c>
      <c r="W79" s="240">
        <f t="shared" si="62"/>
        <v>8</v>
      </c>
      <c r="X79" s="241">
        <f t="shared" si="63"/>
        <v>16</v>
      </c>
      <c r="Y79" s="248"/>
      <c r="Z79" s="450"/>
      <c r="AA79" s="450"/>
      <c r="AB79" s="450"/>
      <c r="AC79" s="450"/>
      <c r="AD79" s="450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49"/>
      <c r="T80" s="449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49"/>
      <c r="Z80" s="450"/>
      <c r="AA80" s="450"/>
      <c r="AB80" s="450"/>
      <c r="AC80" s="450"/>
      <c r="AD80" s="450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50"/>
      <c r="AC81" s="450"/>
      <c r="AD81" s="450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24</v>
      </c>
      <c r="V82" s="239">
        <v>48</v>
      </c>
      <c r="W82" s="240">
        <f>+V82-U82</f>
        <v>24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50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50"/>
      <c r="AD83" s="450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>
        <v>850</v>
      </c>
    </row>
    <row r="84" spans="1:46" ht="16.5">
      <c r="B84" s="250" t="s">
        <v>117</v>
      </c>
      <c r="C84" s="1035">
        <f>+G84*6</f>
        <v>150.44230088495576</v>
      </c>
      <c r="D84" s="1036"/>
      <c r="E84" s="1037">
        <f t="shared" si="64"/>
        <v>21.491757269279393</v>
      </c>
      <c r="F84" s="1038"/>
      <c r="G84" s="1039">
        <f>28.3333/1.13</f>
        <v>25.073716814159294</v>
      </c>
      <c r="H84" s="1040"/>
      <c r="I84" s="1037">
        <f>+G84/8</f>
        <v>3.1342146017699117</v>
      </c>
      <c r="J84" s="1038"/>
      <c r="K84" s="1388">
        <f>+G84*30</f>
        <v>752.21150442477881</v>
      </c>
      <c r="L84" s="1389"/>
      <c r="M84" s="5"/>
      <c r="N84" s="1020">
        <f t="shared" si="59"/>
        <v>3.6565837020648972</v>
      </c>
      <c r="O84" s="1020"/>
      <c r="P84" s="5"/>
      <c r="Q84" s="1004">
        <f t="shared" si="60"/>
        <v>1.6470353982300883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450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>
        <v>1.1299999999999999</v>
      </c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43145</v>
      </c>
      <c r="V85" s="239">
        <v>48</v>
      </c>
      <c r="W85" s="240">
        <f t="shared" si="62"/>
        <v>-43097</v>
      </c>
      <c r="X85" s="241">
        <f>+J27+T27+AD27+J49+T49+AD49</f>
        <v>0</v>
      </c>
      <c r="Z85" s="246"/>
      <c r="AA85" s="246"/>
      <c r="AB85" s="450"/>
      <c r="AC85" s="450"/>
      <c r="AD85" s="450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>
        <f>+AT83/AT84</f>
        <v>752.21238938053102</v>
      </c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50"/>
      <c r="AA86" s="450"/>
      <c r="AB86" s="450"/>
      <c r="AC86" s="450"/>
      <c r="AD86" s="450"/>
      <c r="AE86" s="386"/>
      <c r="AF86" s="386"/>
      <c r="AG86" s="391"/>
      <c r="AH86" s="391"/>
      <c r="AI86" s="386"/>
      <c r="AJ86" s="386"/>
      <c r="AK86" s="447"/>
      <c r="AL86" s="447"/>
      <c r="AM86" s="447"/>
      <c r="AN86" s="447"/>
      <c r="AO86" s="447"/>
      <c r="AP86" s="447"/>
      <c r="AQ86" s="447"/>
      <c r="AR86" s="447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50"/>
      <c r="AC87" s="450"/>
      <c r="AD87" s="450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50"/>
      <c r="AA88" s="450"/>
      <c r="AB88" s="450"/>
      <c r="AC88" s="450"/>
      <c r="AD88" s="450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50"/>
      <c r="AA89" s="450"/>
      <c r="AB89" s="450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50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47"/>
      <c r="AM102" s="391"/>
      <c r="AN102" s="447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47"/>
      <c r="AM120" s="391"/>
      <c r="AN120" s="447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47"/>
      <c r="AM140" s="391"/>
      <c r="AN140" s="447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48"/>
      <c r="E150" s="304"/>
      <c r="F150" s="305"/>
      <c r="G150" s="448"/>
      <c r="H150" s="448"/>
      <c r="I150" s="305"/>
      <c r="J150" s="448"/>
      <c r="K150" s="306"/>
      <c r="L150" s="306"/>
      <c r="M150" s="448"/>
      <c r="N150" s="448"/>
      <c r="O150" s="448"/>
      <c r="P150" s="448"/>
      <c r="Q150" s="448"/>
      <c r="R150" s="448"/>
      <c r="S150" s="448"/>
      <c r="T150" s="448"/>
      <c r="U150" s="448"/>
      <c r="V150" s="448"/>
      <c r="W150" s="448"/>
      <c r="X150" s="448"/>
      <c r="Y150" s="448"/>
      <c r="Z150" s="448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47"/>
      <c r="AM159" s="391"/>
      <c r="AN159" s="447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48"/>
      <c r="E168" s="304"/>
      <c r="F168" s="305"/>
      <c r="G168" s="448"/>
      <c r="H168" s="448"/>
      <c r="I168" s="305"/>
      <c r="J168" s="448"/>
      <c r="K168" s="306"/>
      <c r="L168" s="306"/>
      <c r="M168" s="448"/>
      <c r="N168" s="448"/>
      <c r="O168" s="448"/>
      <c r="P168" s="448"/>
      <c r="Q168" s="448"/>
      <c r="R168" s="448"/>
      <c r="S168" s="448"/>
      <c r="T168" s="448"/>
      <c r="U168" s="448"/>
      <c r="V168" s="448"/>
      <c r="W168" s="448"/>
      <c r="X168" s="448"/>
      <c r="Y168" s="448"/>
      <c r="Z168" s="448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7"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G79:H79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9 AH62 AP62 AH33:AH50 AP33:AP50">
    <cfRule type="cellIs" dxfId="175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174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173" priority="20" stopIfTrue="1" operator="lessThan">
      <formula>0</formula>
    </cfRule>
  </conditionalFormatting>
  <conditionalFormatting sqref="AJ58:AJ59 F62 Z62 F58:F60 P62:P68 P58:P60 Z58:Z60 F33:F50 P33:P55 Z33:Z50 AJ11:AJ27 F11:F26 Z11:Z27 P11:P27">
    <cfRule type="cellIs" dxfId="172" priority="19" stopIfTrue="1" operator="lessThanOrEqual">
      <formula>0</formula>
    </cfRule>
  </conditionalFormatting>
  <conditionalFormatting sqref="AM58:AM59 AC62 I62 AC58:AC60 S62:S68 S58:S60 I58:I60 I33:I50 S33:S55 AC33:AC50 AM11:AM27 S11:S27 I11:I26 AC11:AC27">
    <cfRule type="cellIs" dxfId="171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U12:U22 K25 K47 AE43:AF43 U43:V43 U44:U45 AE44:AE45 K34:K45 U34:U42 AE34:AE42 K33:L33 K17:L17 U17:V17 K12:K23 U23:V24 AO11:AO27 AE15:AE25">
    <cfRule type="cellIs" dxfId="170" priority="17" stopIfTrue="1" operator="lessThanOrEqual">
      <formula>0</formula>
    </cfRule>
  </conditionalFormatting>
  <conditionalFormatting sqref="Z51:AA55 Z63:AA68 W76:X85 W87:X89">
    <cfRule type="cellIs" dxfId="169" priority="16" stopIfTrue="1" operator="lessThan">
      <formula>0</formula>
    </cfRule>
  </conditionalFormatting>
  <conditionalFormatting sqref="X51:X55 X63:X68 U76:U85 U87:U89">
    <cfRule type="cellIs" dxfId="168" priority="15" stopIfTrue="1" operator="greaterThan">
      <formula>48</formula>
    </cfRule>
  </conditionalFormatting>
  <conditionalFormatting sqref="C183:C187 C195:D198 C126:D126 D183:D194 C90:D109">
    <cfRule type="cellIs" dxfId="167" priority="14" stopIfTrue="1" operator="lessThan">
      <formula>$C$73</formula>
    </cfRule>
  </conditionalFormatting>
  <conditionalFormatting sqref="AI62:AO62 AI33:AO50">
    <cfRule type="cellIs" dxfId="166" priority="12" stopIfTrue="1" operator="equal">
      <formula>0</formula>
    </cfRule>
    <cfRule type="cellIs" dxfId="165" priority="13" stopIfTrue="1" operator="lessThan">
      <formula>0</formula>
    </cfRule>
  </conditionalFormatting>
  <conditionalFormatting sqref="AT62 AT33:AT47">
    <cfRule type="cellIs" dxfId="164" priority="10" stopIfTrue="1" operator="greaterThan">
      <formula>0</formula>
    </cfRule>
    <cfRule type="cellIs" dxfId="163" priority="11" stopIfTrue="1" operator="lessThan">
      <formula>1</formula>
    </cfRule>
  </conditionalFormatting>
  <conditionalFormatting sqref="K86:L86 K83:L83 K73:L81">
    <cfRule type="cellIs" dxfId="162" priority="9" stopIfTrue="1" operator="greaterThanOrEqual">
      <formula>$K$71</formula>
    </cfRule>
  </conditionalFormatting>
  <conditionalFormatting sqref="AF58:AF59 AF11:AF13 L34:L47 V34:V47 AF34:AF47 L12:L25 V12:V25 AF15:AF25">
    <cfRule type="cellIs" dxfId="161" priority="7" stopIfTrue="1" operator="equal">
      <formula>0</formula>
    </cfRule>
    <cfRule type="cellIs" dxfId="160" priority="8" stopIfTrue="1" operator="lessThan">
      <formula>0</formula>
    </cfRule>
  </conditionalFormatting>
  <conditionalFormatting sqref="V33">
    <cfRule type="cellIs" dxfId="159" priority="5" stopIfTrue="1" operator="equal">
      <formula>0</formula>
    </cfRule>
    <cfRule type="cellIs" dxfId="158" priority="6" stopIfTrue="1" operator="lessThan">
      <formula>0</formula>
    </cfRule>
  </conditionalFormatting>
  <conditionalFormatting sqref="L33">
    <cfRule type="cellIs" dxfId="157" priority="3" stopIfTrue="1" operator="equal">
      <formula>0</formula>
    </cfRule>
    <cfRule type="cellIs" dxfId="156" priority="4" stopIfTrue="1" operator="lessThan">
      <formula>0</formula>
    </cfRule>
  </conditionalFormatting>
  <conditionalFormatting sqref="AF14">
    <cfRule type="cellIs" dxfId="155" priority="1" stopIfTrue="1" operator="equal">
      <formula>0</formula>
    </cfRule>
    <cfRule type="cellIs" dxfId="154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16 AZ20:BC20 AE18:AT22 AG17:AT17 AE24:AT44 AP23:AT23" formula="1"/>
  </ignoredErrors>
  <drawing r:id="rId3"/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L35" sqref="L35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43" customWidth="1"/>
    <col min="5" max="5" width="4.28515625" style="3" customWidth="1"/>
    <col min="6" max="6" width="4.28515625" style="4" customWidth="1"/>
    <col min="7" max="8" width="4.28515625" style="443" customWidth="1"/>
    <col min="9" max="9" width="4.28515625" style="4" customWidth="1"/>
    <col min="10" max="10" width="4.28515625" style="443" customWidth="1"/>
    <col min="11" max="12" width="4.28515625" style="5" customWidth="1"/>
    <col min="13" max="26" width="4.28515625" style="443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43138</v>
      </c>
      <c r="C1" s="443" t="s">
        <v>0</v>
      </c>
      <c r="AN1" s="7"/>
      <c r="AO1" s="7"/>
      <c r="AR1" s="1340">
        <f>+AR48+AT48</f>
        <v>129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43139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43">
        <v>0</v>
      </c>
    </row>
    <row r="5" spans="1:58" ht="10.9" customHeight="1">
      <c r="B5" s="1244" t="s">
        <v>1</v>
      </c>
      <c r="C5" s="1140">
        <v>43132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43133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43134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43135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43132</v>
      </c>
      <c r="AW7" s="1296">
        <f>+M5</f>
        <v>43133</v>
      </c>
      <c r="AX7" s="1296">
        <f>+W5</f>
        <v>43134</v>
      </c>
      <c r="AY7" s="1309">
        <f>+AG5</f>
        <v>43135</v>
      </c>
      <c r="AZ7" s="1296">
        <f>+C27</f>
        <v>43136</v>
      </c>
      <c r="BA7" s="1296">
        <f>+M27</f>
        <v>43137</v>
      </c>
      <c r="BB7" s="1296">
        <f>+W27</f>
        <v>43138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8</v>
      </c>
      <c r="D11" s="335">
        <v>16</v>
      </c>
      <c r="E11" s="16">
        <v>1</v>
      </c>
      <c r="F11" s="17">
        <f t="shared" ref="F11:F21" si="1">+D11-C11-E11</f>
        <v>7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-1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17</v>
      </c>
      <c r="Y11" s="23">
        <v>1</v>
      </c>
      <c r="Z11" s="17">
        <f t="shared" ref="Z11:Z21" si="9">+X11-W11-Y11</f>
        <v>9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1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0</v>
      </c>
      <c r="AQ11" s="1298"/>
      <c r="AR11" s="1299">
        <f t="shared" ref="AR11:AR21" si="17">ROUND(BD11*AP11,1)</f>
        <v>0</v>
      </c>
      <c r="AS11" s="1300"/>
      <c r="AT11" s="338">
        <f t="shared" ref="AT11:AT19" si="18">IF(AT33&gt;0,AT33*$AT$10,0)</f>
        <v>24</v>
      </c>
      <c r="AV11" s="26">
        <f t="shared" ref="AV11:AV21" si="19">+L11</f>
        <v>-1</v>
      </c>
      <c r="AW11" s="26">
        <f t="shared" ref="AW11:AW21" si="20">+V11</f>
        <v>0</v>
      </c>
      <c r="AX11" s="26">
        <f t="shared" ref="AX11:AX21" si="21">+AF11</f>
        <v>1</v>
      </c>
      <c r="AY11" s="27">
        <f t="shared" ref="AY11:AY21" si="22">+AO11</f>
        <v>0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0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439">
        <v>7</v>
      </c>
      <c r="N12" s="342">
        <v>17</v>
      </c>
      <c r="O12" s="30">
        <v>1</v>
      </c>
      <c r="P12" s="31">
        <f t="shared" si="5"/>
        <v>9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1</v>
      </c>
      <c r="W12" s="342">
        <v>7</v>
      </c>
      <c r="X12" s="342">
        <v>18</v>
      </c>
      <c r="Y12" s="30">
        <v>1</v>
      </c>
      <c r="Z12" s="31">
        <f t="shared" si="9"/>
        <v>10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2</v>
      </c>
      <c r="AG12" s="37">
        <v>7</v>
      </c>
      <c r="AH12" s="342">
        <v>20</v>
      </c>
      <c r="AI12" s="30">
        <v>1</v>
      </c>
      <c r="AJ12" s="38">
        <f>+AH12-AG12-AI12</f>
        <v>12</v>
      </c>
      <c r="AK12" s="342"/>
      <c r="AL12" s="342"/>
      <c r="AM12" s="31">
        <f t="shared" si="14"/>
        <v>0</v>
      </c>
      <c r="AN12" s="39"/>
      <c r="AO12" s="40">
        <f t="shared" si="15"/>
        <v>24</v>
      </c>
      <c r="AP12" s="1282">
        <f t="shared" si="16"/>
        <v>44</v>
      </c>
      <c r="AQ12" s="1283"/>
      <c r="AR12" s="1284">
        <f t="shared" si="17"/>
        <v>225.9</v>
      </c>
      <c r="AS12" s="1285"/>
      <c r="AT12" s="345">
        <f t="shared" si="18"/>
        <v>28</v>
      </c>
      <c r="AV12" s="26">
        <f t="shared" si="19"/>
        <v>2</v>
      </c>
      <c r="AW12" s="26">
        <f t="shared" si="20"/>
        <v>1</v>
      </c>
      <c r="AX12" s="26">
        <f t="shared" si="21"/>
        <v>2</v>
      </c>
      <c r="AY12" s="27">
        <f t="shared" si="22"/>
        <v>24</v>
      </c>
      <c r="AZ12" s="26">
        <f t="shared" si="23"/>
        <v>2</v>
      </c>
      <c r="BA12" s="26">
        <f t="shared" si="24"/>
        <v>0</v>
      </c>
      <c r="BB12" s="26">
        <f t="shared" si="25"/>
        <v>13</v>
      </c>
      <c r="BC12" s="28"/>
      <c r="BD12" s="339">
        <f t="shared" si="26"/>
        <v>5.1339285714285712</v>
      </c>
      <c r="BE12" s="340">
        <f t="shared" si="27"/>
        <v>225.89285714285714</v>
      </c>
      <c r="BF12" s="341">
        <f t="shared" si="28"/>
        <v>123.21428571428571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439">
        <v>8</v>
      </c>
      <c r="N13" s="342">
        <v>17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1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3+3</f>
        <v>6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24</v>
      </c>
      <c r="AV13" s="26">
        <f t="shared" si="19"/>
        <v>2</v>
      </c>
      <c r="AW13" s="26">
        <f t="shared" si="20"/>
        <v>0</v>
      </c>
      <c r="AX13" s="26">
        <f t="shared" si="21"/>
        <v>1</v>
      </c>
      <c r="AY13" s="27">
        <f t="shared" si="22"/>
        <v>0</v>
      </c>
      <c r="AZ13" s="26">
        <f t="shared" si="23"/>
        <v>0</v>
      </c>
      <c r="BA13" s="26">
        <f t="shared" si="24"/>
        <v>3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18</v>
      </c>
      <c r="D14" s="346">
        <v>24</v>
      </c>
      <c r="E14" s="42">
        <v>1</v>
      </c>
      <c r="F14" s="44">
        <f t="shared" si="1"/>
        <v>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4</v>
      </c>
      <c r="M14" s="347">
        <v>18</v>
      </c>
      <c r="N14" s="346">
        <v>24</v>
      </c>
      <c r="O14" s="42">
        <v>1</v>
      </c>
      <c r="P14" s="44">
        <f t="shared" si="5"/>
        <v>5</v>
      </c>
      <c r="Q14" s="346">
        <v>0</v>
      </c>
      <c r="R14" s="348">
        <v>7</v>
      </c>
      <c r="S14" s="44">
        <f t="shared" si="6"/>
        <v>7</v>
      </c>
      <c r="T14" s="42">
        <v>8</v>
      </c>
      <c r="U14" s="45">
        <f t="shared" si="7"/>
        <v>8</v>
      </c>
      <c r="V14" s="20">
        <f t="shared" si="8"/>
        <v>4</v>
      </c>
      <c r="W14" s="347">
        <v>18</v>
      </c>
      <c r="X14" s="346">
        <v>24</v>
      </c>
      <c r="Y14" s="42">
        <v>1</v>
      </c>
      <c r="Z14" s="44">
        <f t="shared" si="9"/>
        <v>5</v>
      </c>
      <c r="AA14" s="344">
        <v>0</v>
      </c>
      <c r="AB14" s="344">
        <v>8</v>
      </c>
      <c r="AC14" s="36">
        <f>+AB14-AA14</f>
        <v>8</v>
      </c>
      <c r="AD14" s="42"/>
      <c r="AE14" s="45">
        <f t="shared" si="11"/>
        <v>3</v>
      </c>
      <c r="AF14" s="20">
        <f t="shared" si="12"/>
        <v>10</v>
      </c>
      <c r="AG14" s="37">
        <v>18</v>
      </c>
      <c r="AH14" s="342">
        <v>20</v>
      </c>
      <c r="AI14" s="30">
        <v>0</v>
      </c>
      <c r="AJ14" s="38">
        <f t="shared" si="13"/>
        <v>2</v>
      </c>
      <c r="AK14" s="342"/>
      <c r="AL14" s="342"/>
      <c r="AM14" s="31">
        <f t="shared" si="14"/>
        <v>0</v>
      </c>
      <c r="AN14" s="47"/>
      <c r="AO14" s="40">
        <f t="shared" si="15"/>
        <v>4</v>
      </c>
      <c r="AP14" s="1282">
        <f t="shared" si="16"/>
        <v>36</v>
      </c>
      <c r="AQ14" s="1283"/>
      <c r="AR14" s="1284">
        <f t="shared" si="17"/>
        <v>150</v>
      </c>
      <c r="AS14" s="1285"/>
      <c r="AT14" s="345">
        <f t="shared" si="18"/>
        <v>28</v>
      </c>
      <c r="AV14" s="26">
        <f t="shared" si="19"/>
        <v>4</v>
      </c>
      <c r="AW14" s="26">
        <f t="shared" si="20"/>
        <v>4</v>
      </c>
      <c r="AX14" s="26">
        <f t="shared" si="21"/>
        <v>10</v>
      </c>
      <c r="AY14" s="27">
        <f t="shared" si="22"/>
        <v>4</v>
      </c>
      <c r="AZ14" s="26">
        <f t="shared" si="23"/>
        <v>2</v>
      </c>
      <c r="BA14" s="26">
        <f t="shared" si="24"/>
        <v>-3</v>
      </c>
      <c r="BB14" s="26">
        <f t="shared" si="25"/>
        <v>15</v>
      </c>
      <c r="BC14" s="28"/>
      <c r="BD14" s="339">
        <f t="shared" si="26"/>
        <v>4.1666785714285712</v>
      </c>
      <c r="BE14" s="340">
        <f t="shared" si="27"/>
        <v>150.00042857142856</v>
      </c>
      <c r="BF14" s="341">
        <f t="shared" si="28"/>
        <v>16.666714285714285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19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439">
        <v>8</v>
      </c>
      <c r="N15" s="342">
        <v>16</v>
      </c>
      <c r="O15" s="30">
        <v>1</v>
      </c>
      <c r="P15" s="31">
        <f t="shared" si="5"/>
        <v>7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-1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 t="shared" si="12"/>
        <v>0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3</v>
      </c>
      <c r="AQ15" s="1295"/>
      <c r="AR15" s="1284">
        <f t="shared" si="17"/>
        <v>15.4</v>
      </c>
      <c r="AS15" s="1285"/>
      <c r="AT15" s="345">
        <f t="shared" si="18"/>
        <v>24</v>
      </c>
      <c r="AV15" s="26">
        <f t="shared" si="19"/>
        <v>2</v>
      </c>
      <c r="AW15" s="26">
        <f t="shared" si="20"/>
        <v>-1</v>
      </c>
      <c r="AX15" s="26">
        <f t="shared" si="21"/>
        <v>0</v>
      </c>
      <c r="AY15" s="27">
        <f t="shared" si="22"/>
        <v>0</v>
      </c>
      <c r="AZ15" s="26">
        <f t="shared" si="23"/>
        <v>0</v>
      </c>
      <c r="BA15" s="26">
        <f t="shared" si="24"/>
        <v>1</v>
      </c>
      <c r="BB15" s="26">
        <f t="shared" si="25"/>
        <v>1</v>
      </c>
      <c r="BC15" s="28"/>
      <c r="BD15" s="339">
        <f t="shared" si="26"/>
        <v>5.1339285714285712</v>
      </c>
      <c r="BE15" s="349">
        <f t="shared" si="27"/>
        <v>15.401785714285714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/>
      <c r="X16" s="346"/>
      <c r="Y16" s="42"/>
      <c r="Z16" s="44">
        <f>+X16-W16-Y16</f>
        <v>0</v>
      </c>
      <c r="AA16" s="47"/>
      <c r="AB16" s="53"/>
      <c r="AC16" s="31">
        <f>+AB16-AA16</f>
        <v>0</v>
      </c>
      <c r="AD16" s="30"/>
      <c r="AE16" s="32">
        <f>+AC16+Z16-IF(AE$5&gt;0,AF16/2,AF16)</f>
        <v>0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0</v>
      </c>
      <c r="AQ16" s="1283"/>
      <c r="AR16" s="1284">
        <f>ROUND(BD16*AP16,1)</f>
        <v>0</v>
      </c>
      <c r="AS16" s="1285"/>
      <c r="AT16" s="345">
        <f t="shared" si="18"/>
        <v>20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24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2</v>
      </c>
      <c r="BA20" s="69">
        <f>+V45</f>
        <v>-2</v>
      </c>
      <c r="BB20" s="69">
        <f>+AF45</f>
        <v>-1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40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>
        <v>20</v>
      </c>
      <c r="D23" s="342">
        <v>24</v>
      </c>
      <c r="E23" s="30">
        <v>1</v>
      </c>
      <c r="F23" s="31">
        <f>+D23-C23-E23</f>
        <v>3</v>
      </c>
      <c r="G23" s="342">
        <v>0</v>
      </c>
      <c r="H23" s="342">
        <v>7</v>
      </c>
      <c r="I23" s="31">
        <f>+H23-G23</f>
        <v>7</v>
      </c>
      <c r="J23" s="30">
        <v>8</v>
      </c>
      <c r="K23" s="32">
        <f>+I23+F23-L23</f>
        <v>8</v>
      </c>
      <c r="L23" s="20">
        <f t="shared" si="4"/>
        <v>2</v>
      </c>
      <c r="M23" s="334">
        <v>20</v>
      </c>
      <c r="N23" s="342">
        <v>24</v>
      </c>
      <c r="O23" s="30">
        <v>1</v>
      </c>
      <c r="P23" s="31">
        <f>+N23-M23-O23</f>
        <v>3</v>
      </c>
      <c r="Q23" s="346">
        <v>0</v>
      </c>
      <c r="R23" s="346">
        <v>7</v>
      </c>
      <c r="S23" s="31">
        <f>+R23-Q23</f>
        <v>7</v>
      </c>
      <c r="T23" s="30"/>
      <c r="U23" s="32">
        <f>+S23+P23-V23</f>
        <v>8</v>
      </c>
      <c r="V23" s="20">
        <f>IF(M23&gt;0,(P23+S23)+IF(U$5&gt;0,P23,-8),0)+IF(AE$5&gt;0,S23,0)</f>
        <v>2</v>
      </c>
      <c r="W23" s="342">
        <v>21</v>
      </c>
      <c r="X23" s="342">
        <v>24</v>
      </c>
      <c r="Y23" s="30">
        <v>1</v>
      </c>
      <c r="Z23" s="44">
        <f>+X23-W23-Y23</f>
        <v>2</v>
      </c>
      <c r="AA23" s="346">
        <v>0</v>
      </c>
      <c r="AB23" s="344">
        <v>6</v>
      </c>
      <c r="AC23" s="31">
        <f>+AB23-AA23</f>
        <v>6</v>
      </c>
      <c r="AD23" s="30"/>
      <c r="AE23" s="32">
        <f>+AC23+Z23-IF(AE$5&gt;0,AF23/2,AF23)</f>
        <v>8</v>
      </c>
      <c r="AF23" s="20">
        <f t="shared" si="30"/>
        <v>0</v>
      </c>
      <c r="AG23" s="342"/>
      <c r="AH23" s="342"/>
      <c r="AI23" s="30"/>
      <c r="AJ23" s="38">
        <f t="shared" si="13"/>
        <v>0</v>
      </c>
      <c r="AK23" s="346"/>
      <c r="AL23" s="346"/>
      <c r="AM23" s="44">
        <f>+AL23-AK23</f>
        <v>0</v>
      </c>
      <c r="AN23" s="47"/>
      <c r="AO23" s="40">
        <f>(AJ23*2+AM23)</f>
        <v>0</v>
      </c>
      <c r="AP23" s="1282">
        <f t="shared" si="16"/>
        <v>3</v>
      </c>
      <c r="AQ23" s="1283"/>
      <c r="AR23" s="1284">
        <f>ROUND(BD23*AP23,1)</f>
        <v>10.6</v>
      </c>
      <c r="AS23" s="1285"/>
      <c r="AT23" s="345">
        <f>IF(AT45&gt;0,AT45*$AT$10,0)</f>
        <v>24</v>
      </c>
      <c r="AV23" s="69">
        <f>+L23</f>
        <v>2</v>
      </c>
      <c r="AW23" s="69">
        <f>+V23</f>
        <v>2</v>
      </c>
      <c r="AX23" s="69">
        <f>+AF23</f>
        <v>0</v>
      </c>
      <c r="AY23" s="70">
        <f>+AO23</f>
        <v>0</v>
      </c>
      <c r="AZ23" s="69">
        <f>+L45</f>
        <v>2</v>
      </c>
      <c r="BA23" s="69">
        <f>+V45</f>
        <v>-2</v>
      </c>
      <c r="BB23" s="69">
        <f>+AF45</f>
        <v>-1</v>
      </c>
      <c r="BC23" s="54"/>
      <c r="BD23" s="339">
        <f t="shared" si="31"/>
        <v>3.5416625000000002</v>
      </c>
      <c r="BE23" s="351">
        <f>+BD23*AP23</f>
        <v>10.6249875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401.92005892857139</v>
      </c>
      <c r="BF26" s="1242">
        <f>SUM(BF11:BF25)</f>
        <v>139.881</v>
      </c>
    </row>
    <row r="27" spans="1:58" ht="10.9" customHeight="1">
      <c r="B27" s="1244" t="s">
        <v>1</v>
      </c>
      <c r="C27" s="1140">
        <f>1+AG5</f>
        <v>43136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43137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43138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43132</v>
      </c>
      <c r="AJ27" s="1218">
        <f t="shared" ref="AJ27:AO27" si="32">1+AI27</f>
        <v>43133</v>
      </c>
      <c r="AK27" s="1218">
        <f t="shared" si="32"/>
        <v>43134</v>
      </c>
      <c r="AL27" s="1219">
        <f t="shared" si="32"/>
        <v>43135</v>
      </c>
      <c r="AM27" s="1219">
        <f t="shared" si="32"/>
        <v>43136</v>
      </c>
      <c r="AN27" s="1220">
        <f t="shared" si="32"/>
        <v>43137</v>
      </c>
      <c r="AO27" s="1220">
        <f t="shared" si="32"/>
        <v>43138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43135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91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63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4">+D33-C33-E33</f>
        <v>8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0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6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16</v>
      </c>
      <c r="O34" s="30">
        <v>1</v>
      </c>
      <c r="P34" s="31">
        <f t="shared" si="37"/>
        <v>8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0</v>
      </c>
      <c r="W34" s="334">
        <v>7</v>
      </c>
      <c r="X34" s="342">
        <v>24</v>
      </c>
      <c r="Y34" s="30">
        <v>3</v>
      </c>
      <c r="Z34" s="31">
        <f t="shared" si="41"/>
        <v>14</v>
      </c>
      <c r="AA34" s="342">
        <v>0</v>
      </c>
      <c r="AB34" s="346">
        <v>7</v>
      </c>
      <c r="AC34" s="31">
        <f t="shared" si="42"/>
        <v>7</v>
      </c>
      <c r="AD34" s="30">
        <v>8</v>
      </c>
      <c r="AE34" s="32">
        <f t="shared" si="43"/>
        <v>8</v>
      </c>
      <c r="AF34" s="20">
        <f t="shared" si="44"/>
        <v>13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-2.8214285714285694</v>
      </c>
      <c r="AS34" s="1160"/>
      <c r="AT34" s="117">
        <f t="shared" si="53"/>
        <v>7</v>
      </c>
      <c r="AU34" s="55"/>
      <c r="AV34" s="55"/>
      <c r="AW34" s="1134">
        <v>-24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19</v>
      </c>
      <c r="O35" s="30">
        <v>1</v>
      </c>
      <c r="P35" s="31">
        <f t="shared" si="37"/>
        <v>11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3</v>
      </c>
      <c r="W35" s="334">
        <v>8</v>
      </c>
      <c r="X35" s="342">
        <v>17</v>
      </c>
      <c r="Y35" s="30">
        <v>1</v>
      </c>
      <c r="Z35" s="31">
        <f t="shared" si="41"/>
        <v>8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0</v>
      </c>
      <c r="AG35" s="55"/>
      <c r="AH35" s="112">
        <v>0</v>
      </c>
      <c r="AI35" s="113">
        <f t="shared" si="45"/>
        <v>0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0</v>
      </c>
      <c r="AP35" s="114">
        <f t="shared" si="51"/>
        <v>0</v>
      </c>
      <c r="AQ35" s="55"/>
      <c r="AR35" s="1159">
        <f t="shared" si="52"/>
        <v>0</v>
      </c>
      <c r="AS35" s="1160"/>
      <c r="AT35" s="118">
        <f t="shared" si="53"/>
        <v>6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18</v>
      </c>
      <c r="E36" s="119">
        <v>1</v>
      </c>
      <c r="F36" s="120">
        <f t="shared" si="34"/>
        <v>10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2</v>
      </c>
      <c r="M36" s="342">
        <v>7</v>
      </c>
      <c r="N36" s="342">
        <v>13</v>
      </c>
      <c r="O36" s="30">
        <v>1</v>
      </c>
      <c r="P36" s="31">
        <f t="shared" si="37"/>
        <v>5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-3</v>
      </c>
      <c r="W36" s="334">
        <v>7</v>
      </c>
      <c r="X36" s="342">
        <v>24</v>
      </c>
      <c r="Y36" s="30">
        <v>2</v>
      </c>
      <c r="Z36" s="31">
        <f t="shared" si="41"/>
        <v>15</v>
      </c>
      <c r="AA36" s="342">
        <v>0</v>
      </c>
      <c r="AB36" s="342">
        <v>8</v>
      </c>
      <c r="AC36" s="31">
        <f t="shared" si="42"/>
        <v>8</v>
      </c>
      <c r="AD36" s="30">
        <v>8</v>
      </c>
      <c r="AE36" s="32">
        <f t="shared" si="43"/>
        <v>8</v>
      </c>
      <c r="AF36" s="20">
        <f t="shared" si="44"/>
        <v>15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-5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-5</v>
      </c>
      <c r="AQ36" s="55"/>
      <c r="AR36" s="1159">
        <f t="shared" si="52"/>
        <v>14.74971428571429</v>
      </c>
      <c r="AS36" s="1160"/>
      <c r="AT36" s="118">
        <f t="shared" si="53"/>
        <v>7</v>
      </c>
      <c r="AU36" s="55"/>
      <c r="AV36" s="55"/>
      <c r="AW36" s="1195">
        <v>-4</v>
      </c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8</v>
      </c>
      <c r="D37" s="342">
        <v>17</v>
      </c>
      <c r="E37" s="30">
        <v>1</v>
      </c>
      <c r="F37" s="31">
        <f t="shared" si="34"/>
        <v>8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0</v>
      </c>
      <c r="M37" s="342">
        <v>8</v>
      </c>
      <c r="N37" s="342">
        <v>18</v>
      </c>
      <c r="O37" s="30">
        <v>1</v>
      </c>
      <c r="P37" s="31">
        <f t="shared" si="37"/>
        <v>9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1</v>
      </c>
      <c r="W37" s="334">
        <v>8</v>
      </c>
      <c r="X37" s="342">
        <v>18</v>
      </c>
      <c r="Y37" s="30">
        <v>1</v>
      </c>
      <c r="Z37" s="31">
        <f t="shared" si="41"/>
        <v>9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1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0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0</v>
      </c>
      <c r="AQ37" s="55"/>
      <c r="AR37" s="1159">
        <f t="shared" si="52"/>
        <v>0</v>
      </c>
      <c r="AS37" s="1160"/>
      <c r="AT37" s="118">
        <f t="shared" si="53"/>
        <v>6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-5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-5</v>
      </c>
      <c r="AQ38" s="55"/>
      <c r="AR38" s="1159">
        <f t="shared" si="52"/>
        <v>0</v>
      </c>
      <c r="AS38" s="1160"/>
      <c r="AT38" s="118">
        <f t="shared" si="53"/>
        <v>5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-8</v>
      </c>
      <c r="AN39" s="113">
        <f t="shared" si="49"/>
        <v>-8</v>
      </c>
      <c r="AO39" s="113">
        <f t="shared" si="50"/>
        <v>-8</v>
      </c>
      <c r="AP39" s="114">
        <f t="shared" si="51"/>
        <v>-48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>
        <v>8</v>
      </c>
      <c r="D45" s="348">
        <v>19</v>
      </c>
      <c r="E45" s="119">
        <v>1</v>
      </c>
      <c r="F45" s="120">
        <f t="shared" si="34"/>
        <v>10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2</v>
      </c>
      <c r="M45" s="342">
        <v>8</v>
      </c>
      <c r="N45" s="342">
        <v>15</v>
      </c>
      <c r="O45" s="30">
        <v>1</v>
      </c>
      <c r="P45" s="31">
        <f t="shared" si="37"/>
        <v>6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-2</v>
      </c>
      <c r="W45" s="334">
        <v>8</v>
      </c>
      <c r="X45" s="342">
        <v>16</v>
      </c>
      <c r="Y45" s="30">
        <v>1</v>
      </c>
      <c r="Z45" s="31">
        <f t="shared" si="41"/>
        <v>7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-1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0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0</v>
      </c>
      <c r="AQ45" s="55"/>
      <c r="AR45" s="1159">
        <f>+X84*Q84</f>
        <v>9.9166999999999987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86</v>
      </c>
      <c r="AS48" s="1162"/>
      <c r="AT48" s="167">
        <f>SUM(AT33:AT47)</f>
        <v>43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28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43132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43133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43134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43135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43136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43137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43138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-106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43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43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43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43"/>
      <c r="AB70" s="443"/>
      <c r="AC70" s="443"/>
      <c r="AD70" s="443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43"/>
      <c r="AB71" s="443"/>
      <c r="AC71" s="443"/>
      <c r="AD71" s="443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43"/>
      <c r="AB72" s="443"/>
      <c r="AC72" s="443"/>
      <c r="AD72" s="443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48</v>
      </c>
      <c r="V73" s="239">
        <v>48</v>
      </c>
      <c r="W73" s="240">
        <f t="shared" ref="W73:W88" si="62">+V73-U73</f>
        <v>0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72</v>
      </c>
      <c r="V74" s="239">
        <v>48</v>
      </c>
      <c r="W74" s="240">
        <f t="shared" si="62"/>
        <v>-24</v>
      </c>
      <c r="X74" s="241">
        <f t="shared" si="63"/>
        <v>8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48</v>
      </c>
      <c r="V75" s="239">
        <v>48</v>
      </c>
      <c r="W75" s="240">
        <f t="shared" si="62"/>
        <v>0</v>
      </c>
      <c r="X75" s="241">
        <f t="shared" si="63"/>
        <v>0</v>
      </c>
      <c r="Z75" s="389"/>
      <c r="AA75" s="444"/>
      <c r="AB75" s="444"/>
      <c r="AC75" s="444"/>
      <c r="AD75" s="444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47</v>
      </c>
      <c r="V76" s="239">
        <v>48</v>
      </c>
      <c r="W76" s="240">
        <f t="shared" si="62"/>
        <v>1</v>
      </c>
      <c r="X76" s="241">
        <f t="shared" si="63"/>
        <v>24</v>
      </c>
      <c r="Z76" s="1045" t="s">
        <v>53</v>
      </c>
      <c r="AA76" s="1045"/>
      <c r="AB76" s="1045"/>
      <c r="AC76" s="1045"/>
      <c r="AD76" s="389" t="s">
        <v>54</v>
      </c>
      <c r="AE76" s="444"/>
      <c r="AF76" s="386"/>
      <c r="AG76" s="391"/>
      <c r="AH76" s="391"/>
      <c r="AI76" s="386"/>
      <c r="AJ76" s="386"/>
      <c r="AK76" s="441"/>
      <c r="AL76" s="441"/>
      <c r="AM76" s="441"/>
      <c r="AN76" s="441"/>
      <c r="AO76" s="441"/>
      <c r="AP76" s="441"/>
      <c r="AQ76" s="441"/>
      <c r="AR76" s="441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48</v>
      </c>
      <c r="V77" s="239">
        <v>48</v>
      </c>
      <c r="W77" s="240">
        <f t="shared" si="62"/>
        <v>0</v>
      </c>
      <c r="X77" s="241">
        <f t="shared" si="63"/>
        <v>0</v>
      </c>
      <c r="Z77" s="444"/>
      <c r="AA77" s="444"/>
      <c r="AB77" s="444"/>
      <c r="AC77" s="444"/>
      <c r="AD77" s="444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40</v>
      </c>
      <c r="V78" s="239">
        <v>48</v>
      </c>
      <c r="W78" s="240">
        <f>+V78-U78</f>
        <v>8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444"/>
      <c r="AA79" s="444"/>
      <c r="AB79" s="444"/>
      <c r="AC79" s="444"/>
      <c r="AD79" s="444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43"/>
      <c r="T80" s="443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43"/>
      <c r="Z80" s="444"/>
      <c r="AA80" s="444"/>
      <c r="AB80" s="444"/>
      <c r="AC80" s="444"/>
      <c r="AD80" s="444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44"/>
      <c r="AC81" s="444"/>
      <c r="AD81" s="444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48</v>
      </c>
      <c r="V82" s="239">
        <v>48</v>
      </c>
      <c r="W82" s="240">
        <f>+V82-U82</f>
        <v>0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44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44"/>
      <c r="AD83" s="444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8</v>
      </c>
      <c r="Z84" s="1045">
        <f>+K84/G84</f>
        <v>30</v>
      </c>
      <c r="AA84" s="1045"/>
      <c r="AB84" s="1045"/>
      <c r="AC84" s="1045"/>
      <c r="AD84" s="444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43138</v>
      </c>
      <c r="V85" s="239">
        <v>48</v>
      </c>
      <c r="W85" s="240">
        <f t="shared" si="62"/>
        <v>-43090</v>
      </c>
      <c r="X85" s="241">
        <f>+J27+T27+AD27+J49+T49+AD49</f>
        <v>0</v>
      </c>
      <c r="Z85" s="246"/>
      <c r="AA85" s="246"/>
      <c r="AB85" s="444"/>
      <c r="AC85" s="444"/>
      <c r="AD85" s="444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44"/>
      <c r="AA86" s="444"/>
      <c r="AB86" s="444"/>
      <c r="AC86" s="444"/>
      <c r="AD86" s="444"/>
      <c r="AE86" s="386"/>
      <c r="AF86" s="386"/>
      <c r="AG86" s="391"/>
      <c r="AH86" s="391"/>
      <c r="AI86" s="386"/>
      <c r="AJ86" s="386"/>
      <c r="AK86" s="441"/>
      <c r="AL86" s="441"/>
      <c r="AM86" s="441"/>
      <c r="AN86" s="441"/>
      <c r="AO86" s="441"/>
      <c r="AP86" s="441"/>
      <c r="AQ86" s="441"/>
      <c r="AR86" s="441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44"/>
      <c r="AC87" s="444"/>
      <c r="AD87" s="444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44"/>
      <c r="AA88" s="444"/>
      <c r="AB88" s="444"/>
      <c r="AC88" s="444"/>
      <c r="AD88" s="444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44"/>
      <c r="AA89" s="444"/>
      <c r="AB89" s="444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44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41"/>
      <c r="AM102" s="391"/>
      <c r="AN102" s="441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41"/>
      <c r="AM120" s="391"/>
      <c r="AN120" s="441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41"/>
      <c r="AM140" s="391"/>
      <c r="AN140" s="441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42"/>
      <c r="E150" s="304"/>
      <c r="F150" s="305"/>
      <c r="G150" s="442"/>
      <c r="H150" s="442"/>
      <c r="I150" s="305"/>
      <c r="J150" s="442"/>
      <c r="K150" s="306"/>
      <c r="L150" s="306"/>
      <c r="M150" s="442"/>
      <c r="N150" s="442"/>
      <c r="O150" s="442"/>
      <c r="P150" s="442"/>
      <c r="Q150" s="442"/>
      <c r="R150" s="442"/>
      <c r="S150" s="442"/>
      <c r="T150" s="442"/>
      <c r="U150" s="442"/>
      <c r="V150" s="442"/>
      <c r="W150" s="442"/>
      <c r="X150" s="442"/>
      <c r="Y150" s="442"/>
      <c r="Z150" s="442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41"/>
      <c r="AM159" s="391"/>
      <c r="AN159" s="441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42"/>
      <c r="E168" s="304"/>
      <c r="F168" s="305"/>
      <c r="G168" s="442"/>
      <c r="H168" s="442"/>
      <c r="I168" s="305"/>
      <c r="J168" s="442"/>
      <c r="K168" s="306"/>
      <c r="L168" s="306"/>
      <c r="M168" s="442"/>
      <c r="N168" s="442"/>
      <c r="O168" s="442"/>
      <c r="P168" s="442"/>
      <c r="Q168" s="442"/>
      <c r="R168" s="442"/>
      <c r="S168" s="442"/>
      <c r="T168" s="442"/>
      <c r="U168" s="442"/>
      <c r="V168" s="442"/>
      <c r="W168" s="442"/>
      <c r="X168" s="442"/>
      <c r="Y168" s="442"/>
      <c r="Z168" s="442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</mergeCells>
  <conditionalFormatting sqref="AP69 AH62 AP62 AH33:AH50 AP33:AP50">
    <cfRule type="cellIs" dxfId="153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152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151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150" priority="19" stopIfTrue="1" operator="lessThanOrEqual">
      <formula>0</formula>
    </cfRule>
  </conditionalFormatting>
  <conditionalFormatting sqref="AM58:AM59 AC62 I62 AC58:AC60 S62:S68 S58:S60 I58:I60 S11:S27 I11:I26 AM11:AM27 I33:I50 S33:S55 AC33:AC50 AC11:AC27">
    <cfRule type="cellIs" dxfId="149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148" priority="17" stopIfTrue="1" operator="lessThanOrEqual">
      <formula>0</formula>
    </cfRule>
  </conditionalFormatting>
  <conditionalFormatting sqref="Z51:AA55 Z63:AA68 W76:X85 W87:X89">
    <cfRule type="cellIs" dxfId="147" priority="16" stopIfTrue="1" operator="lessThan">
      <formula>0</formula>
    </cfRule>
  </conditionalFormatting>
  <conditionalFormatting sqref="X51:X55 X63:X68 U76:U85 U87:U89">
    <cfRule type="cellIs" dxfId="146" priority="15" stopIfTrue="1" operator="greaterThan">
      <formula>48</formula>
    </cfRule>
  </conditionalFormatting>
  <conditionalFormatting sqref="C183:C187 C195:D198 C126:D126 D183:D194 C90:D109">
    <cfRule type="cellIs" dxfId="145" priority="14" stopIfTrue="1" operator="lessThan">
      <formula>$C$73</formula>
    </cfRule>
  </conditionalFormatting>
  <conditionalFormatting sqref="AI62:AO62 AI33:AO50">
    <cfRule type="cellIs" dxfId="144" priority="12" stopIfTrue="1" operator="equal">
      <formula>0</formula>
    </cfRule>
    <cfRule type="cellIs" dxfId="143" priority="13" stopIfTrue="1" operator="lessThan">
      <formula>0</formula>
    </cfRule>
  </conditionalFormatting>
  <conditionalFormatting sqref="AT62 AT33:AT47">
    <cfRule type="cellIs" dxfId="142" priority="10" stopIfTrue="1" operator="greaterThan">
      <formula>0</formula>
    </cfRule>
    <cfRule type="cellIs" dxfId="141" priority="11" stopIfTrue="1" operator="lessThan">
      <formula>1</formula>
    </cfRule>
  </conditionalFormatting>
  <conditionalFormatting sqref="K86:L86 K83:L83 K73:L81">
    <cfRule type="cellIs" dxfId="140" priority="9" stopIfTrue="1" operator="greaterThanOrEqual">
      <formula>$K$71</formula>
    </cfRule>
  </conditionalFormatting>
  <conditionalFormatting sqref="AF58:AF59 AF11:AF13 L12:L25 V12:V25 AF15:AF25 L34:L47 V34:V47 AF34:AF47">
    <cfRule type="cellIs" dxfId="139" priority="7" stopIfTrue="1" operator="equal">
      <formula>0</formula>
    </cfRule>
    <cfRule type="cellIs" dxfId="138" priority="8" stopIfTrue="1" operator="lessThan">
      <formula>0</formula>
    </cfRule>
  </conditionalFormatting>
  <conditionalFormatting sqref="V33">
    <cfRule type="cellIs" dxfId="137" priority="5" stopIfTrue="1" operator="equal">
      <formula>0</formula>
    </cfRule>
    <cfRule type="cellIs" dxfId="136" priority="6" stopIfTrue="1" operator="lessThan">
      <formula>0</formula>
    </cfRule>
  </conditionalFormatting>
  <conditionalFormatting sqref="L33">
    <cfRule type="cellIs" dxfId="135" priority="3" stopIfTrue="1" operator="equal">
      <formula>0</formula>
    </cfRule>
    <cfRule type="cellIs" dxfId="134" priority="4" stopIfTrue="1" operator="lessThan">
      <formula>0</formula>
    </cfRule>
  </conditionalFormatting>
  <conditionalFormatting sqref="AF14">
    <cfRule type="cellIs" dxfId="133" priority="1" stopIfTrue="1" operator="equal">
      <formula>0</formula>
    </cfRule>
    <cfRule type="cellIs" dxfId="132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5:AT44" formula="1"/>
  </ignoredErrors>
  <drawing r:id="rId3"/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E18" sqref="E18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36" customWidth="1"/>
    <col min="5" max="5" width="4.28515625" style="3" customWidth="1"/>
    <col min="6" max="6" width="4.28515625" style="4" customWidth="1"/>
    <col min="7" max="8" width="4.28515625" style="436" customWidth="1"/>
    <col min="9" max="9" width="4.28515625" style="4" customWidth="1"/>
    <col min="10" max="10" width="4.28515625" style="436" customWidth="1"/>
    <col min="11" max="12" width="4.28515625" style="5" customWidth="1"/>
    <col min="13" max="26" width="4.28515625" style="436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43131</v>
      </c>
      <c r="C1" s="436" t="s">
        <v>0</v>
      </c>
      <c r="AN1" s="7"/>
      <c r="AO1" s="7"/>
      <c r="AR1" s="1340">
        <f>+AR48+AT48</f>
        <v>109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43132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36">
        <v>0</v>
      </c>
    </row>
    <row r="5" spans="1:58" ht="10.9" customHeight="1">
      <c r="B5" s="1244" t="s">
        <v>1</v>
      </c>
      <c r="C5" s="1140">
        <v>43125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43126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43127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43128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43125</v>
      </c>
      <c r="AW7" s="1296">
        <f>+M5</f>
        <v>43126</v>
      </c>
      <c r="AX7" s="1296">
        <f>+W5</f>
        <v>43127</v>
      </c>
      <c r="AY7" s="1309">
        <f>+AG5</f>
        <v>43128</v>
      </c>
      <c r="AZ7" s="1296">
        <f>+C27</f>
        <v>43129</v>
      </c>
      <c r="BA7" s="1296">
        <f>+M27</f>
        <v>43130</v>
      </c>
      <c r="BB7" s="1296">
        <f>+W27</f>
        <v>43131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/>
      <c r="D11" s="335"/>
      <c r="E11" s="16"/>
      <c r="F11" s="17">
        <f t="shared" ref="F11:F21" si="1">+D11-C11-E11</f>
        <v>0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0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17</v>
      </c>
      <c r="Y11" s="23">
        <v>1</v>
      </c>
      <c r="Z11" s="17">
        <f t="shared" ref="Z11:Z21" si="9">+X11-W11-Y11</f>
        <v>9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1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0</v>
      </c>
      <c r="AQ11" s="1298"/>
      <c r="AR11" s="1299">
        <f t="shared" ref="AR11:AR21" si="17">ROUND(BD11*AP11,1)</f>
        <v>0</v>
      </c>
      <c r="AS11" s="1300"/>
      <c r="AT11" s="338">
        <f t="shared" ref="AT11:AT19" si="18">IF(AT33&gt;0,AT33*$AT$10,0)</f>
        <v>20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1</v>
      </c>
      <c r="AY11" s="27">
        <f t="shared" ref="AY11:AY21" si="22">+AO11</f>
        <v>0</v>
      </c>
      <c r="AZ11" s="26">
        <f t="shared" ref="AZ11:AZ19" si="23">+L33</f>
        <v>-1</v>
      </c>
      <c r="BA11" s="26">
        <f t="shared" ref="BA11:BA19" si="24">+V33</f>
        <v>-1</v>
      </c>
      <c r="BB11" s="26">
        <f t="shared" ref="BB11:BB19" si="25">+AF33</f>
        <v>1</v>
      </c>
      <c r="BC11" s="28"/>
      <c r="BD11" s="339">
        <f t="shared" ref="BD11:BD17" si="26">+I73</f>
        <v>4.5464285714285708</v>
      </c>
      <c r="BE11" s="340">
        <f t="shared" ref="BE11:BE21" si="27">+BD11*AP11</f>
        <v>0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16</v>
      </c>
      <c r="E12" s="30">
        <v>1</v>
      </c>
      <c r="F12" s="31">
        <f t="shared" si="1"/>
        <v>8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0</v>
      </c>
      <c r="M12" s="438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18</v>
      </c>
      <c r="Y12" s="30">
        <v>1</v>
      </c>
      <c r="Z12" s="31">
        <f t="shared" si="9"/>
        <v>10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2</v>
      </c>
      <c r="AG12" s="37">
        <v>7</v>
      </c>
      <c r="AH12" s="342">
        <v>18</v>
      </c>
      <c r="AI12" s="30">
        <v>1</v>
      </c>
      <c r="AJ12" s="38">
        <f>+AH12-AG12-AI12</f>
        <v>10</v>
      </c>
      <c r="AK12" s="342"/>
      <c r="AL12" s="342"/>
      <c r="AM12" s="31">
        <f t="shared" si="14"/>
        <v>0</v>
      </c>
      <c r="AN12" s="39"/>
      <c r="AO12" s="40">
        <f t="shared" si="15"/>
        <v>20</v>
      </c>
      <c r="AP12" s="1282">
        <f t="shared" si="16"/>
        <v>31</v>
      </c>
      <c r="AQ12" s="1283"/>
      <c r="AR12" s="1284">
        <f t="shared" si="17"/>
        <v>159.19999999999999</v>
      </c>
      <c r="AS12" s="1285"/>
      <c r="AT12" s="345">
        <f t="shared" si="18"/>
        <v>28</v>
      </c>
      <c r="AV12" s="26">
        <f t="shared" si="19"/>
        <v>0</v>
      </c>
      <c r="AW12" s="26">
        <f t="shared" si="20"/>
        <v>0</v>
      </c>
      <c r="AX12" s="26">
        <f t="shared" si="21"/>
        <v>2</v>
      </c>
      <c r="AY12" s="27">
        <f t="shared" si="22"/>
        <v>20</v>
      </c>
      <c r="AZ12" s="26">
        <f t="shared" si="23"/>
        <v>2</v>
      </c>
      <c r="BA12" s="26">
        <f t="shared" si="24"/>
        <v>4</v>
      </c>
      <c r="BB12" s="26">
        <f t="shared" si="25"/>
        <v>3</v>
      </c>
      <c r="BC12" s="28"/>
      <c r="BD12" s="339">
        <f t="shared" si="26"/>
        <v>5.1339285714285712</v>
      </c>
      <c r="BE12" s="340">
        <f t="shared" si="27"/>
        <v>159.15178571428569</v>
      </c>
      <c r="BF12" s="341">
        <f t="shared" si="28"/>
        <v>102.67857142857142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438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 t="shared" si="12"/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3-3</f>
        <v>0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20</v>
      </c>
      <c r="AV13" s="26">
        <f t="shared" si="19"/>
        <v>0</v>
      </c>
      <c r="AW13" s="26">
        <f t="shared" si="20"/>
        <v>0</v>
      </c>
      <c r="AX13" s="26">
        <f t="shared" si="21"/>
        <v>0</v>
      </c>
      <c r="AY13" s="27">
        <f t="shared" si="22"/>
        <v>0</v>
      </c>
      <c r="AZ13" s="26">
        <f t="shared" si="23"/>
        <v>0</v>
      </c>
      <c r="BA13" s="26">
        <f t="shared" si="24"/>
        <v>0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17</v>
      </c>
      <c r="E14" s="42">
        <v>1</v>
      </c>
      <c r="F14" s="44">
        <f t="shared" si="1"/>
        <v>9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1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>
        <v>19</v>
      </c>
      <c r="R14" s="348">
        <v>24</v>
      </c>
      <c r="S14" s="44">
        <f t="shared" si="6"/>
        <v>5</v>
      </c>
      <c r="T14" s="42">
        <v>2</v>
      </c>
      <c r="U14" s="45">
        <f t="shared" si="7"/>
        <v>8</v>
      </c>
      <c r="V14" s="20">
        <f t="shared" si="8"/>
        <v>7</v>
      </c>
      <c r="W14" s="347">
        <v>7</v>
      </c>
      <c r="X14" s="346">
        <v>17</v>
      </c>
      <c r="Y14" s="42">
        <v>1</v>
      </c>
      <c r="Z14" s="44">
        <f t="shared" si="9"/>
        <v>9</v>
      </c>
      <c r="AA14" s="344"/>
      <c r="AB14" s="344"/>
      <c r="AC14" s="46">
        <f t="shared" si="10"/>
        <v>0</v>
      </c>
      <c r="AD14" s="42"/>
      <c r="AE14" s="45">
        <f t="shared" si="11"/>
        <v>8</v>
      </c>
      <c r="AF14" s="20">
        <f t="shared" si="12"/>
        <v>1</v>
      </c>
      <c r="AG14" s="37"/>
      <c r="AH14" s="342"/>
      <c r="AI14" s="30"/>
      <c r="AJ14" s="38">
        <f t="shared" si="13"/>
        <v>0</v>
      </c>
      <c r="AK14" s="342"/>
      <c r="AL14" s="342"/>
      <c r="AM14" s="31">
        <f t="shared" si="14"/>
        <v>0</v>
      </c>
      <c r="AN14" s="47"/>
      <c r="AO14" s="40">
        <f t="shared" si="15"/>
        <v>0</v>
      </c>
      <c r="AP14" s="1282">
        <f t="shared" si="16"/>
        <v>27</v>
      </c>
      <c r="AQ14" s="1283"/>
      <c r="AR14" s="1284">
        <f t="shared" si="17"/>
        <v>112.5</v>
      </c>
      <c r="AS14" s="1285"/>
      <c r="AT14" s="345">
        <f t="shared" si="18"/>
        <v>24</v>
      </c>
      <c r="AV14" s="26">
        <f t="shared" si="19"/>
        <v>1</v>
      </c>
      <c r="AW14" s="26">
        <f t="shared" si="20"/>
        <v>7</v>
      </c>
      <c r="AX14" s="26">
        <f t="shared" si="21"/>
        <v>1</v>
      </c>
      <c r="AY14" s="27">
        <f t="shared" si="22"/>
        <v>0</v>
      </c>
      <c r="AZ14" s="26">
        <f t="shared" si="23"/>
        <v>2</v>
      </c>
      <c r="BA14" s="26">
        <f t="shared" si="24"/>
        <v>2</v>
      </c>
      <c r="BB14" s="26">
        <f t="shared" si="25"/>
        <v>14</v>
      </c>
      <c r="BC14" s="28"/>
      <c r="BD14" s="339">
        <f t="shared" si="26"/>
        <v>4.1666785714285712</v>
      </c>
      <c r="BE14" s="340">
        <f t="shared" si="27"/>
        <v>112.50032142857143</v>
      </c>
      <c r="BF14" s="341">
        <f t="shared" si="28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17</v>
      </c>
      <c r="E15" s="30">
        <v>1</v>
      </c>
      <c r="F15" s="31">
        <f t="shared" si="1"/>
        <v>8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0</v>
      </c>
      <c r="M15" s="438">
        <v>7</v>
      </c>
      <c r="N15" s="342">
        <v>16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19</v>
      </c>
      <c r="Y15" s="30">
        <v>1</v>
      </c>
      <c r="Z15" s="31">
        <f t="shared" si="9"/>
        <v>10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 t="shared" si="12"/>
        <v>2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4</v>
      </c>
      <c r="AQ15" s="1295"/>
      <c r="AR15" s="1284">
        <f t="shared" si="17"/>
        <v>20.5</v>
      </c>
      <c r="AS15" s="1285"/>
      <c r="AT15" s="345">
        <f t="shared" si="18"/>
        <v>24</v>
      </c>
      <c r="AV15" s="26">
        <f t="shared" si="19"/>
        <v>0</v>
      </c>
      <c r="AW15" s="26">
        <f t="shared" si="20"/>
        <v>0</v>
      </c>
      <c r="AX15" s="26">
        <f t="shared" si="21"/>
        <v>2</v>
      </c>
      <c r="AY15" s="27">
        <f t="shared" si="22"/>
        <v>0</v>
      </c>
      <c r="AZ15" s="26">
        <f t="shared" si="23"/>
        <v>0</v>
      </c>
      <c r="BA15" s="26">
        <f t="shared" si="24"/>
        <v>1</v>
      </c>
      <c r="BB15" s="26">
        <f t="shared" si="25"/>
        <v>1</v>
      </c>
      <c r="BC15" s="28"/>
      <c r="BD15" s="339">
        <f t="shared" si="26"/>
        <v>5.1339285714285712</v>
      </c>
      <c r="BE15" s="349">
        <f t="shared" si="27"/>
        <v>20.535714285714285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8</v>
      </c>
      <c r="X16" s="346">
        <v>14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0</v>
      </c>
      <c r="AQ16" s="1283"/>
      <c r="AR16" s="1284">
        <f>ROUND(BD16*AP16,1)</f>
        <v>0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24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0</v>
      </c>
      <c r="BA20" s="69">
        <f>+V45</f>
        <v>-1</v>
      </c>
      <c r="BB20" s="69">
        <f>+AF45</f>
        <v>13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37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>
        <v>7</v>
      </c>
      <c r="D23" s="342">
        <v>16</v>
      </c>
      <c r="E23" s="30">
        <v>1</v>
      </c>
      <c r="F23" s="31">
        <f>+D23-C23-E23</f>
        <v>8</v>
      </c>
      <c r="G23" s="342"/>
      <c r="H23" s="342"/>
      <c r="I23" s="31">
        <f>+H23-G23</f>
        <v>0</v>
      </c>
      <c r="J23" s="30"/>
      <c r="K23" s="32">
        <f>+I23+F23-L23</f>
        <v>8</v>
      </c>
      <c r="L23" s="20">
        <f t="shared" si="4"/>
        <v>0</v>
      </c>
      <c r="M23" s="334">
        <v>7</v>
      </c>
      <c r="N23" s="342">
        <v>14</v>
      </c>
      <c r="O23" s="30">
        <v>1</v>
      </c>
      <c r="P23" s="31">
        <f>+N23-M23-O23</f>
        <v>6</v>
      </c>
      <c r="Q23" s="346"/>
      <c r="R23" s="346"/>
      <c r="S23" s="31">
        <f>+R23-Q23</f>
        <v>0</v>
      </c>
      <c r="T23" s="30"/>
      <c r="U23" s="32">
        <f>+S23+P23-V23</f>
        <v>8</v>
      </c>
      <c r="V23" s="20">
        <f>IF(M23&gt;0,(P23+S23)+IF(U$5&gt;0,P23,-8),0)+IF(AE$5&gt;0,S23,0)</f>
        <v>-2</v>
      </c>
      <c r="W23" s="342">
        <v>7</v>
      </c>
      <c r="X23" s="342">
        <v>11</v>
      </c>
      <c r="Y23" s="30">
        <v>0</v>
      </c>
      <c r="Z23" s="44">
        <f>+X23-W23-Y23</f>
        <v>4</v>
      </c>
      <c r="AA23" s="346"/>
      <c r="AB23" s="35">
        <v>2</v>
      </c>
      <c r="AC23" s="31">
        <f>+AB23-AA23</f>
        <v>2</v>
      </c>
      <c r="AD23" s="30"/>
      <c r="AE23" s="32">
        <f>+AC23+Z23-IF(AE$5&gt;0,AF23/2,AF23)</f>
        <v>10</v>
      </c>
      <c r="AF23" s="20">
        <f t="shared" si="30"/>
        <v>-4</v>
      </c>
      <c r="AG23" s="342"/>
      <c r="AH23" s="342"/>
      <c r="AI23" s="30"/>
      <c r="AJ23" s="38">
        <f t="shared" si="13"/>
        <v>0</v>
      </c>
      <c r="AK23" s="346"/>
      <c r="AL23" s="346"/>
      <c r="AM23" s="44">
        <f>+AL23-AK23</f>
        <v>0</v>
      </c>
      <c r="AN23" s="47"/>
      <c r="AO23" s="40">
        <f>(AJ23*2+AM23)</f>
        <v>0</v>
      </c>
      <c r="AP23" s="1282">
        <f t="shared" si="16"/>
        <v>6</v>
      </c>
      <c r="AQ23" s="1283"/>
      <c r="AR23" s="1284">
        <f>ROUND(BD23*AP23,1)</f>
        <v>21.2</v>
      </c>
      <c r="AS23" s="1285"/>
      <c r="AT23" s="345">
        <f>IF(AT45&gt;0,AT45*$AT$10,0)</f>
        <v>24</v>
      </c>
      <c r="AV23" s="69">
        <f>+L23</f>
        <v>0</v>
      </c>
      <c r="AW23" s="69">
        <f>+V23</f>
        <v>-2</v>
      </c>
      <c r="AX23" s="69">
        <f>+AF23</f>
        <v>-4</v>
      </c>
      <c r="AY23" s="70">
        <f>+AO23</f>
        <v>0</v>
      </c>
      <c r="AZ23" s="69">
        <f>+L45</f>
        <v>0</v>
      </c>
      <c r="BA23" s="69">
        <f>+V45</f>
        <v>-1</v>
      </c>
      <c r="BB23" s="69">
        <f>+AF45</f>
        <v>13</v>
      </c>
      <c r="BC23" s="54"/>
      <c r="BD23" s="339">
        <f t="shared" si="31"/>
        <v>3.5416625000000002</v>
      </c>
      <c r="BE23" s="351">
        <f>+BD23*AP23</f>
        <v>21.249974999999999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313.4377964285714</v>
      </c>
      <c r="BF26" s="1242">
        <f>SUM(BF11:BF25)</f>
        <v>102.67857142857142</v>
      </c>
    </row>
    <row r="27" spans="1:58" ht="10.9" customHeight="1">
      <c r="B27" s="1244" t="s">
        <v>1</v>
      </c>
      <c r="C27" s="1140">
        <f>1+AG5</f>
        <v>43129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43130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43131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43125</v>
      </c>
      <c r="AJ27" s="1218">
        <f t="shared" ref="AJ27:AO27" si="32">1+AI27</f>
        <v>43126</v>
      </c>
      <c r="AK27" s="1218">
        <f t="shared" si="32"/>
        <v>43127</v>
      </c>
      <c r="AL27" s="1219">
        <f t="shared" si="32"/>
        <v>43128</v>
      </c>
      <c r="AM27" s="1219">
        <f t="shared" si="32"/>
        <v>43129</v>
      </c>
      <c r="AN27" s="1220">
        <f t="shared" si="32"/>
        <v>43130</v>
      </c>
      <c r="AO27" s="1220">
        <f t="shared" si="32"/>
        <v>43131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43128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80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60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2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15</v>
      </c>
      <c r="E33" s="30">
        <v>1</v>
      </c>
      <c r="F33" s="31">
        <f t="shared" ref="F33:F47" si="34">+D33-C33-E33</f>
        <v>7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-1</v>
      </c>
      <c r="M33" s="342">
        <v>7</v>
      </c>
      <c r="N33" s="342">
        <v>15</v>
      </c>
      <c r="O33" s="30">
        <v>1</v>
      </c>
      <c r="P33" s="31">
        <f t="shared" ref="P33:P47" si="37">+N33-M33-O33</f>
        <v>7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-1</v>
      </c>
      <c r="W33" s="369">
        <v>7</v>
      </c>
      <c r="X33" s="370">
        <v>17</v>
      </c>
      <c r="Y33" s="108">
        <v>1</v>
      </c>
      <c r="Z33" s="109">
        <f t="shared" ref="Z33:Z47" si="41">+X33-W33-Y33</f>
        <v>9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1</v>
      </c>
      <c r="AG33" s="55"/>
      <c r="AH33" s="112">
        <v>0</v>
      </c>
      <c r="AI33" s="113">
        <f t="shared" ref="AI33:AI47" si="45">+K11+(IF(ISBLANK($K$5),-8,0))</f>
        <v>-8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-8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5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20</v>
      </c>
      <c r="O34" s="30">
        <v>1</v>
      </c>
      <c r="P34" s="31">
        <f t="shared" si="37"/>
        <v>12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4</v>
      </c>
      <c r="W34" s="334">
        <v>7</v>
      </c>
      <c r="X34" s="342">
        <v>19</v>
      </c>
      <c r="Y34" s="30">
        <v>1</v>
      </c>
      <c r="Z34" s="31">
        <f t="shared" si="41"/>
        <v>11</v>
      </c>
      <c r="AA34" s="342"/>
      <c r="AB34" s="116"/>
      <c r="AC34" s="31">
        <f t="shared" si="42"/>
        <v>0</v>
      </c>
      <c r="AD34" s="30"/>
      <c r="AE34" s="32">
        <f t="shared" si="43"/>
        <v>8</v>
      </c>
      <c r="AF34" s="20">
        <f t="shared" si="44"/>
        <v>3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0</v>
      </c>
      <c r="AS34" s="1160"/>
      <c r="AT34" s="117">
        <f t="shared" si="53"/>
        <v>7</v>
      </c>
      <c r="AU34" s="55"/>
      <c r="AV34" s="55"/>
      <c r="AW34" s="1134">
        <v>-20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16</v>
      </c>
      <c r="O35" s="30">
        <v>1</v>
      </c>
      <c r="P35" s="31">
        <f t="shared" si="37"/>
        <v>8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0</v>
      </c>
      <c r="W35" s="334">
        <v>7</v>
      </c>
      <c r="X35" s="342">
        <v>16</v>
      </c>
      <c r="Y35" s="30">
        <v>1</v>
      </c>
      <c r="Z35" s="31">
        <f t="shared" si="41"/>
        <v>8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0</v>
      </c>
      <c r="AG35" s="55"/>
      <c r="AH35" s="112">
        <v>0</v>
      </c>
      <c r="AI35" s="113">
        <f t="shared" si="45"/>
        <v>0</v>
      </c>
      <c r="AJ35" s="113">
        <f t="shared" si="46"/>
        <v>0</v>
      </c>
      <c r="AK35" s="113">
        <f>IF(ISBLANK($AE$5),-8,0)+AE13</f>
        <v>-8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0</v>
      </c>
      <c r="AP35" s="114">
        <f t="shared" si="51"/>
        <v>-8</v>
      </c>
      <c r="AQ35" s="55"/>
      <c r="AR35" s="1159">
        <f t="shared" si="52"/>
        <v>0</v>
      </c>
      <c r="AS35" s="1160"/>
      <c r="AT35" s="118">
        <f t="shared" si="53"/>
        <v>5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18</v>
      </c>
      <c r="E36" s="119">
        <v>1</v>
      </c>
      <c r="F36" s="120">
        <f t="shared" si="34"/>
        <v>10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2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7</v>
      </c>
      <c r="X36" s="342">
        <v>24</v>
      </c>
      <c r="Y36" s="30">
        <v>2</v>
      </c>
      <c r="Z36" s="31">
        <f t="shared" si="41"/>
        <v>15</v>
      </c>
      <c r="AA36" s="342">
        <v>0</v>
      </c>
      <c r="AB36" s="342">
        <v>7</v>
      </c>
      <c r="AC36" s="31">
        <f t="shared" si="42"/>
        <v>7</v>
      </c>
      <c r="AD36" s="30">
        <v>8</v>
      </c>
      <c r="AE36" s="32">
        <f t="shared" si="43"/>
        <v>8</v>
      </c>
      <c r="AF36" s="20">
        <f t="shared" si="44"/>
        <v>14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0</v>
      </c>
      <c r="AQ36" s="55"/>
      <c r="AR36" s="1159">
        <f t="shared" si="52"/>
        <v>6.1457142857142877</v>
      </c>
      <c r="AS36" s="1160"/>
      <c r="AT36" s="118">
        <f t="shared" si="53"/>
        <v>6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16</v>
      </c>
      <c r="E37" s="30">
        <v>1</v>
      </c>
      <c r="F37" s="31">
        <f t="shared" si="34"/>
        <v>8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0</v>
      </c>
      <c r="M37" s="342">
        <v>8</v>
      </c>
      <c r="N37" s="342">
        <v>18</v>
      </c>
      <c r="O37" s="30">
        <v>1</v>
      </c>
      <c r="P37" s="31">
        <f t="shared" si="37"/>
        <v>9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1</v>
      </c>
      <c r="W37" s="334">
        <v>8</v>
      </c>
      <c r="X37" s="342">
        <v>18</v>
      </c>
      <c r="Y37" s="30">
        <v>1</v>
      </c>
      <c r="Z37" s="31">
        <f t="shared" si="41"/>
        <v>9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1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0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0</v>
      </c>
      <c r="AQ37" s="55"/>
      <c r="AR37" s="1159">
        <f t="shared" si="52"/>
        <v>0</v>
      </c>
      <c r="AS37" s="1160"/>
      <c r="AT37" s="118">
        <f t="shared" si="53"/>
        <v>6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-8</v>
      </c>
      <c r="AN39" s="113">
        <f t="shared" si="49"/>
        <v>-8</v>
      </c>
      <c r="AO39" s="113">
        <f t="shared" si="50"/>
        <v>-8</v>
      </c>
      <c r="AP39" s="114">
        <f t="shared" si="51"/>
        <v>-48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>
        <v>7</v>
      </c>
      <c r="D45" s="348">
        <v>16</v>
      </c>
      <c r="E45" s="119">
        <v>1</v>
      </c>
      <c r="F45" s="120">
        <f t="shared" si="34"/>
        <v>8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0</v>
      </c>
      <c r="M45" s="342">
        <v>8</v>
      </c>
      <c r="N45" s="342">
        <v>16</v>
      </c>
      <c r="O45" s="30">
        <v>1</v>
      </c>
      <c r="P45" s="31">
        <f t="shared" si="37"/>
        <v>7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-1</v>
      </c>
      <c r="W45" s="334">
        <v>8</v>
      </c>
      <c r="X45" s="342">
        <v>24</v>
      </c>
      <c r="Y45" s="30">
        <v>2</v>
      </c>
      <c r="Z45" s="31">
        <f t="shared" si="41"/>
        <v>14</v>
      </c>
      <c r="AA45" s="342">
        <v>0</v>
      </c>
      <c r="AB45" s="342">
        <v>7</v>
      </c>
      <c r="AC45" s="44">
        <f t="shared" si="42"/>
        <v>7</v>
      </c>
      <c r="AD45" s="30">
        <v>8</v>
      </c>
      <c r="AE45" s="32">
        <f t="shared" si="43"/>
        <v>8</v>
      </c>
      <c r="AF45" s="20">
        <f t="shared" si="44"/>
        <v>13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2</v>
      </c>
      <c r="AL45" s="113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2</v>
      </c>
      <c r="AQ45" s="55"/>
      <c r="AR45" s="1159">
        <f>+X84*Q84</f>
        <v>9.9166999999999987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68</v>
      </c>
      <c r="AS48" s="1162"/>
      <c r="AT48" s="167">
        <f>SUM(AT33:AT47)</f>
        <v>41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20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43125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43126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43127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43128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43129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43130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43131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-112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36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36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36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36"/>
      <c r="AB70" s="436"/>
      <c r="AC70" s="436"/>
      <c r="AD70" s="436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36"/>
      <c r="AB71" s="436"/>
      <c r="AC71" s="436"/>
      <c r="AD71" s="436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36"/>
      <c r="AB72" s="436"/>
      <c r="AC72" s="436"/>
      <c r="AD72" s="436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40</v>
      </c>
      <c r="V73" s="239">
        <v>48</v>
      </c>
      <c r="W73" s="240">
        <f t="shared" ref="W73:W88" si="62">+V73-U73</f>
        <v>8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68</v>
      </c>
      <c r="V74" s="239">
        <v>48</v>
      </c>
      <c r="W74" s="240">
        <f t="shared" si="62"/>
        <v>-20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40</v>
      </c>
      <c r="V75" s="239">
        <v>48</v>
      </c>
      <c r="W75" s="240">
        <f t="shared" si="62"/>
        <v>8</v>
      </c>
      <c r="X75" s="241">
        <f t="shared" si="63"/>
        <v>0</v>
      </c>
      <c r="Z75" s="389"/>
      <c r="AA75" s="434"/>
      <c r="AB75" s="434"/>
      <c r="AC75" s="434"/>
      <c r="AD75" s="434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48</v>
      </c>
      <c r="V76" s="239">
        <v>48</v>
      </c>
      <c r="W76" s="240">
        <f t="shared" si="62"/>
        <v>0</v>
      </c>
      <c r="X76" s="241">
        <f t="shared" si="63"/>
        <v>10</v>
      </c>
      <c r="Z76" s="1045" t="s">
        <v>53</v>
      </c>
      <c r="AA76" s="1045"/>
      <c r="AB76" s="1045"/>
      <c r="AC76" s="1045"/>
      <c r="AD76" s="389" t="s">
        <v>54</v>
      </c>
      <c r="AE76" s="434"/>
      <c r="AF76" s="386"/>
      <c r="AG76" s="391"/>
      <c r="AH76" s="391"/>
      <c r="AI76" s="386"/>
      <c r="AJ76" s="386"/>
      <c r="AK76" s="433"/>
      <c r="AL76" s="433"/>
      <c r="AM76" s="433"/>
      <c r="AN76" s="433"/>
      <c r="AO76" s="433"/>
      <c r="AP76" s="433"/>
      <c r="AQ76" s="433"/>
      <c r="AR76" s="433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48</v>
      </c>
      <c r="V77" s="239">
        <v>48</v>
      </c>
      <c r="W77" s="240">
        <f t="shared" si="62"/>
        <v>0</v>
      </c>
      <c r="X77" s="241">
        <f t="shared" si="63"/>
        <v>0</v>
      </c>
      <c r="Z77" s="434"/>
      <c r="AA77" s="434"/>
      <c r="AB77" s="434"/>
      <c r="AC77" s="434"/>
      <c r="AD77" s="434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434"/>
      <c r="AA79" s="434"/>
      <c r="AB79" s="434"/>
      <c r="AC79" s="434"/>
      <c r="AD79" s="434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36"/>
      <c r="T80" s="436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36"/>
      <c r="Z80" s="434"/>
      <c r="AA80" s="434"/>
      <c r="AB80" s="434"/>
      <c r="AC80" s="434"/>
      <c r="AD80" s="434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34"/>
      <c r="AC81" s="434"/>
      <c r="AD81" s="434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50</v>
      </c>
      <c r="V82" s="239">
        <v>48</v>
      </c>
      <c r="W82" s="240">
        <f>+V82-U82</f>
        <v>-2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34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34"/>
      <c r="AD83" s="434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8</v>
      </c>
      <c r="Z84" s="1045">
        <f>+K84/G84</f>
        <v>30</v>
      </c>
      <c r="AA84" s="1045"/>
      <c r="AB84" s="1045"/>
      <c r="AC84" s="1045"/>
      <c r="AD84" s="434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43131</v>
      </c>
      <c r="V85" s="239">
        <v>48</v>
      </c>
      <c r="W85" s="240">
        <f t="shared" si="62"/>
        <v>-43083</v>
      </c>
      <c r="X85" s="241">
        <f>+J27+T27+AD27+J49+T49+AD49</f>
        <v>0</v>
      </c>
      <c r="Z85" s="246"/>
      <c r="AA85" s="246"/>
      <c r="AB85" s="434"/>
      <c r="AC85" s="434"/>
      <c r="AD85" s="434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 t="shared" si="62"/>
        <v>48</v>
      </c>
      <c r="X86" s="241">
        <f>+J24+T24+AD24+J46+T46+AD46</f>
        <v>0</v>
      </c>
      <c r="Y86" s="248"/>
      <c r="Z86" s="434"/>
      <c r="AA86" s="434"/>
      <c r="AB86" s="434"/>
      <c r="AC86" s="434"/>
      <c r="AD86" s="434"/>
      <c r="AE86" s="386"/>
      <c r="AF86" s="386"/>
      <c r="AG86" s="391"/>
      <c r="AH86" s="391"/>
      <c r="AI86" s="386"/>
      <c r="AJ86" s="386"/>
      <c r="AK86" s="433"/>
      <c r="AL86" s="433"/>
      <c r="AM86" s="433"/>
      <c r="AN86" s="433"/>
      <c r="AO86" s="433"/>
      <c r="AP86" s="433"/>
      <c r="AQ86" s="433"/>
      <c r="AR86" s="433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34"/>
      <c r="AC87" s="434"/>
      <c r="AD87" s="434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34"/>
      <c r="AA88" s="434"/>
      <c r="AB88" s="434"/>
      <c r="AC88" s="434"/>
      <c r="AD88" s="434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34"/>
      <c r="AA89" s="434"/>
      <c r="AB89" s="434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34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33"/>
      <c r="AM102" s="391"/>
      <c r="AN102" s="433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33"/>
      <c r="AM120" s="391"/>
      <c r="AN120" s="433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33"/>
      <c r="AM140" s="391"/>
      <c r="AN140" s="433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35"/>
      <c r="E150" s="304"/>
      <c r="F150" s="305"/>
      <c r="G150" s="435"/>
      <c r="H150" s="435"/>
      <c r="I150" s="305"/>
      <c r="J150" s="435"/>
      <c r="K150" s="306"/>
      <c r="L150" s="306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5"/>
      <c r="Y150" s="435"/>
      <c r="Z150" s="435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33"/>
      <c r="AM159" s="391"/>
      <c r="AN159" s="433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35"/>
      <c r="E168" s="304"/>
      <c r="F168" s="305"/>
      <c r="G168" s="435"/>
      <c r="H168" s="435"/>
      <c r="I168" s="305"/>
      <c r="J168" s="435"/>
      <c r="K168" s="306"/>
      <c r="L168" s="306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5"/>
      <c r="Y168" s="435"/>
      <c r="Z168" s="435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9 AH62 AP62 AH33:AH50 AP33:AP50">
    <cfRule type="cellIs" dxfId="131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130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129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128" priority="19" stopIfTrue="1" operator="lessThanOrEqual">
      <formula>0</formula>
    </cfRule>
  </conditionalFormatting>
  <conditionalFormatting sqref="AM58:AM59 AC62 I62 AC58:AC60 S62:S68 S58:S60 I58:I60 S11:S27 I11:I26 AC11:AC27 AM11:AM27 I33:I50 S33:S55 AC33:AC50">
    <cfRule type="cellIs" dxfId="127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126" priority="17" stopIfTrue="1" operator="lessThanOrEqual">
      <formula>0</formula>
    </cfRule>
  </conditionalFormatting>
  <conditionalFormatting sqref="Z51:AA55 Z63:AA68 W76:X85 W87:X89">
    <cfRule type="cellIs" dxfId="125" priority="16" stopIfTrue="1" operator="lessThan">
      <formula>0</formula>
    </cfRule>
  </conditionalFormatting>
  <conditionalFormatting sqref="X51:X55 X63:X68 U76:U85 U87:U89">
    <cfRule type="cellIs" dxfId="124" priority="15" stopIfTrue="1" operator="greaterThan">
      <formula>48</formula>
    </cfRule>
  </conditionalFormatting>
  <conditionalFormatting sqref="C183:C187 C195:D198 C126:D126 D183:D194 C90:D109">
    <cfRule type="cellIs" dxfId="123" priority="14" stopIfTrue="1" operator="lessThan">
      <formula>$C$73</formula>
    </cfRule>
  </conditionalFormatting>
  <conditionalFormatting sqref="AI62:AO62 AI33:AO50">
    <cfRule type="cellIs" dxfId="122" priority="12" stopIfTrue="1" operator="equal">
      <formula>0</formula>
    </cfRule>
    <cfRule type="cellIs" dxfId="121" priority="13" stopIfTrue="1" operator="lessThan">
      <formula>0</formula>
    </cfRule>
  </conditionalFormatting>
  <conditionalFormatting sqref="AT62 AT33:AT47">
    <cfRule type="cellIs" dxfId="120" priority="10" stopIfTrue="1" operator="greaterThan">
      <formula>0</formula>
    </cfRule>
    <cfRule type="cellIs" dxfId="119" priority="11" stopIfTrue="1" operator="lessThan">
      <formula>1</formula>
    </cfRule>
  </conditionalFormatting>
  <conditionalFormatting sqref="K86:L86 K83:L83 K73:L81">
    <cfRule type="cellIs" dxfId="118" priority="9" stopIfTrue="1" operator="greaterThanOrEqual">
      <formula>$K$71</formula>
    </cfRule>
  </conditionalFormatting>
  <conditionalFormatting sqref="AF58:AF59 AF11:AF13 L12:L25 V12:V25 AF15:AF25 L34:L47 V34:V47 AF34:AF47">
    <cfRule type="cellIs" dxfId="117" priority="7" stopIfTrue="1" operator="equal">
      <formula>0</formula>
    </cfRule>
    <cfRule type="cellIs" dxfId="116" priority="8" stopIfTrue="1" operator="lessThan">
      <formula>0</formula>
    </cfRule>
  </conditionalFormatting>
  <conditionalFormatting sqref="V33">
    <cfRule type="cellIs" dxfId="115" priority="5" stopIfTrue="1" operator="equal">
      <formula>0</formula>
    </cfRule>
    <cfRule type="cellIs" dxfId="114" priority="6" stopIfTrue="1" operator="lessThan">
      <formula>0</formula>
    </cfRule>
  </conditionalFormatting>
  <conditionalFormatting sqref="L33">
    <cfRule type="cellIs" dxfId="113" priority="3" stopIfTrue="1" operator="equal">
      <formula>0</formula>
    </cfRule>
    <cfRule type="cellIs" dxfId="112" priority="4" stopIfTrue="1" operator="lessThan">
      <formula>0</formula>
    </cfRule>
  </conditionalFormatting>
  <conditionalFormatting sqref="AF14">
    <cfRule type="cellIs" dxfId="111" priority="1" stopIfTrue="1" operator="equal">
      <formula>0</formula>
    </cfRule>
    <cfRule type="cellIs" dxfId="110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BC32 AE33:AV46 AY33:BC46" formula="1"/>
  </ignoredErrors>
  <drawing r:id="rId3"/>
  <legacyDrawing r:id="rId4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T33" sqref="AT33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30" customWidth="1"/>
    <col min="5" max="5" width="4.28515625" style="3" customWidth="1"/>
    <col min="6" max="6" width="4.28515625" style="4" customWidth="1"/>
    <col min="7" max="8" width="4.28515625" style="430" customWidth="1"/>
    <col min="9" max="9" width="4.28515625" style="4" customWidth="1"/>
    <col min="10" max="10" width="4.28515625" style="430" customWidth="1"/>
    <col min="11" max="12" width="4.28515625" style="5" customWidth="1"/>
    <col min="13" max="26" width="4.28515625" style="430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43124</v>
      </c>
      <c r="C1" s="430" t="s">
        <v>0</v>
      </c>
      <c r="AN1" s="7"/>
      <c r="AO1" s="7"/>
      <c r="AR1" s="1340">
        <f>+AR48+AT48</f>
        <v>186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43125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30">
        <v>0</v>
      </c>
    </row>
    <row r="5" spans="1:58" ht="10.9" customHeight="1">
      <c r="B5" s="1244" t="s">
        <v>1</v>
      </c>
      <c r="C5" s="1140">
        <v>43118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43119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43120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43121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43118</v>
      </c>
      <c r="AW7" s="1296">
        <f>+M5</f>
        <v>43119</v>
      </c>
      <c r="AX7" s="1296">
        <f>+W5</f>
        <v>43120</v>
      </c>
      <c r="AY7" s="1309">
        <f>+AG5</f>
        <v>43121</v>
      </c>
      <c r="AZ7" s="1296">
        <f>+C27</f>
        <v>43122</v>
      </c>
      <c r="BA7" s="1296">
        <f>+M27</f>
        <v>43123</v>
      </c>
      <c r="BB7" s="1296">
        <f>+W27</f>
        <v>43124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/>
      <c r="D11" s="335"/>
      <c r="E11" s="16"/>
      <c r="F11" s="17">
        <f t="shared" ref="F11:F21" si="1">+D11-C11-E11</f>
        <v>0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0</v>
      </c>
      <c r="L11" s="20">
        <f t="shared" ref="L11:L25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1" si="5">+N11-M11-O11</f>
        <v>7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-1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0</v>
      </c>
      <c r="AG11" s="337">
        <v>8</v>
      </c>
      <c r="AH11" s="337">
        <v>16</v>
      </c>
      <c r="AI11" s="23">
        <v>1</v>
      </c>
      <c r="AJ11" s="24">
        <f t="shared" ref="AJ11:AJ25" si="13">+AH11-AG11-AI11</f>
        <v>7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14</v>
      </c>
      <c r="AP11" s="1297">
        <f t="shared" ref="AP11:AP25" si="16">+L11+V11+AF11+AO11+L33+V33+AF33-AN11</f>
        <v>13</v>
      </c>
      <c r="AQ11" s="1298"/>
      <c r="AR11" s="1299">
        <f t="shared" ref="AR11:AR21" si="17">ROUND(BD11*AP11,1)</f>
        <v>59.1</v>
      </c>
      <c r="AS11" s="1300"/>
      <c r="AT11" s="338">
        <f t="shared" ref="AT11:AT19" si="18">IF(AT33&gt;0,AT33*$AT$10,0)</f>
        <v>24</v>
      </c>
      <c r="AV11" s="26">
        <f t="shared" ref="AV11:AV21" si="19">+L11</f>
        <v>0</v>
      </c>
      <c r="AW11" s="26">
        <f t="shared" ref="AW11:AW21" si="20">+V11</f>
        <v>-1</v>
      </c>
      <c r="AX11" s="26">
        <f t="shared" ref="AX11:AX21" si="21">+AF11</f>
        <v>0</v>
      </c>
      <c r="AY11" s="27">
        <f t="shared" ref="AY11:AY21" si="22">+AO11</f>
        <v>14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59.103571428571421</v>
      </c>
      <c r="BF11" s="341">
        <f t="shared" ref="BF11:BF21" si="28">+BD11*AY11</f>
        <v>63.649999999999991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16</v>
      </c>
      <c r="E12" s="30">
        <v>1</v>
      </c>
      <c r="F12" s="31">
        <f t="shared" si="1"/>
        <v>8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0</v>
      </c>
      <c r="M12" s="432">
        <v>7</v>
      </c>
      <c r="N12" s="342">
        <v>15</v>
      </c>
      <c r="O12" s="30">
        <v>1</v>
      </c>
      <c r="P12" s="31">
        <f t="shared" si="5"/>
        <v>7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-1</v>
      </c>
      <c r="W12" s="342">
        <v>8</v>
      </c>
      <c r="X12" s="342">
        <v>18</v>
      </c>
      <c r="Y12" s="30">
        <v>1</v>
      </c>
      <c r="Z12" s="31">
        <f t="shared" si="9"/>
        <v>9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1</v>
      </c>
      <c r="AG12" s="37">
        <v>7</v>
      </c>
      <c r="AH12" s="342">
        <v>19</v>
      </c>
      <c r="AI12" s="30">
        <v>1</v>
      </c>
      <c r="AJ12" s="38">
        <f>+AH12-AG12-AI12</f>
        <v>11</v>
      </c>
      <c r="AK12" s="342"/>
      <c r="AL12" s="342"/>
      <c r="AM12" s="31">
        <f t="shared" si="14"/>
        <v>0</v>
      </c>
      <c r="AN12" s="39"/>
      <c r="AO12" s="40">
        <f t="shared" si="15"/>
        <v>22</v>
      </c>
      <c r="AP12" s="1282">
        <f t="shared" si="16"/>
        <v>30</v>
      </c>
      <c r="AQ12" s="1283"/>
      <c r="AR12" s="1284">
        <f t="shared" si="17"/>
        <v>154</v>
      </c>
      <c r="AS12" s="1285"/>
      <c r="AT12" s="345">
        <f t="shared" si="18"/>
        <v>28</v>
      </c>
      <c r="AV12" s="26">
        <f t="shared" si="19"/>
        <v>0</v>
      </c>
      <c r="AW12" s="26">
        <f t="shared" si="20"/>
        <v>-1</v>
      </c>
      <c r="AX12" s="26">
        <f t="shared" si="21"/>
        <v>1</v>
      </c>
      <c r="AY12" s="27">
        <f t="shared" si="22"/>
        <v>22</v>
      </c>
      <c r="AZ12" s="26">
        <f t="shared" si="23"/>
        <v>2</v>
      </c>
      <c r="BA12" s="26">
        <f t="shared" si="24"/>
        <v>2</v>
      </c>
      <c r="BB12" s="26">
        <f t="shared" si="25"/>
        <v>4</v>
      </c>
      <c r="BC12" s="28"/>
      <c r="BD12" s="339">
        <f t="shared" si="26"/>
        <v>5.1339285714285712</v>
      </c>
      <c r="BE12" s="340">
        <f t="shared" si="27"/>
        <v>154.01785714285714</v>
      </c>
      <c r="BF12" s="341">
        <f t="shared" si="28"/>
        <v>112.94642857142857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432">
        <v>8</v>
      </c>
      <c r="N13" s="342">
        <v>18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v>3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24</v>
      </c>
      <c r="AV13" s="26">
        <f t="shared" si="19"/>
        <v>2</v>
      </c>
      <c r="AW13" s="26">
        <f t="shared" si="20"/>
        <v>1</v>
      </c>
      <c r="AX13" s="26">
        <f t="shared" si="21"/>
        <v>0</v>
      </c>
      <c r="AY13" s="27">
        <f t="shared" si="22"/>
        <v>0</v>
      </c>
      <c r="AZ13" s="26">
        <f t="shared" si="23"/>
        <v>0</v>
      </c>
      <c r="BA13" s="26">
        <f t="shared" si="24"/>
        <v>0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/>
      <c r="D14" s="346"/>
      <c r="E14" s="42"/>
      <c r="F14" s="44">
        <f t="shared" si="1"/>
        <v>0</v>
      </c>
      <c r="G14" s="346"/>
      <c r="H14" s="346"/>
      <c r="I14" s="44">
        <f t="shared" si="2"/>
        <v>0</v>
      </c>
      <c r="J14" s="42"/>
      <c r="K14" s="45">
        <f t="shared" si="3"/>
        <v>0</v>
      </c>
      <c r="L14" s="20">
        <f t="shared" si="4"/>
        <v>0</v>
      </c>
      <c r="M14" s="347">
        <v>7</v>
      </c>
      <c r="N14" s="346">
        <v>24</v>
      </c>
      <c r="O14" s="42">
        <v>3</v>
      </c>
      <c r="P14" s="44">
        <f t="shared" si="5"/>
        <v>14</v>
      </c>
      <c r="Q14" s="346">
        <v>0</v>
      </c>
      <c r="R14" s="348">
        <v>13</v>
      </c>
      <c r="S14" s="44">
        <f t="shared" si="6"/>
        <v>13</v>
      </c>
      <c r="T14" s="42">
        <v>8</v>
      </c>
      <c r="U14" s="45">
        <f t="shared" si="7"/>
        <v>8</v>
      </c>
      <c r="V14" s="20">
        <f t="shared" si="8"/>
        <v>19</v>
      </c>
      <c r="W14" s="347">
        <v>18</v>
      </c>
      <c r="X14" s="346">
        <v>24</v>
      </c>
      <c r="Y14" s="42">
        <v>1</v>
      </c>
      <c r="Z14" s="44">
        <f t="shared" si="9"/>
        <v>5</v>
      </c>
      <c r="AA14" s="344">
        <v>0</v>
      </c>
      <c r="AB14" s="344">
        <v>8</v>
      </c>
      <c r="AC14" s="46">
        <f t="shared" si="10"/>
        <v>8</v>
      </c>
      <c r="AD14" s="42">
        <v>8</v>
      </c>
      <c r="AE14" s="45">
        <f t="shared" si="11"/>
        <v>3</v>
      </c>
      <c r="AF14" s="20">
        <f t="shared" si="12"/>
        <v>10</v>
      </c>
      <c r="AG14" s="37">
        <v>18</v>
      </c>
      <c r="AH14" s="342">
        <v>24</v>
      </c>
      <c r="AI14" s="30">
        <v>1</v>
      </c>
      <c r="AJ14" s="38">
        <f t="shared" si="13"/>
        <v>5</v>
      </c>
      <c r="AK14" s="342">
        <v>0</v>
      </c>
      <c r="AL14" s="342">
        <v>7</v>
      </c>
      <c r="AM14" s="31">
        <f t="shared" si="14"/>
        <v>7</v>
      </c>
      <c r="AN14" s="47"/>
      <c r="AO14" s="40">
        <f t="shared" si="15"/>
        <v>17</v>
      </c>
      <c r="AP14" s="1282">
        <f t="shared" si="16"/>
        <v>54</v>
      </c>
      <c r="AQ14" s="1283"/>
      <c r="AR14" s="1284">
        <f t="shared" si="17"/>
        <v>225</v>
      </c>
      <c r="AS14" s="1285"/>
      <c r="AT14" s="345">
        <f t="shared" si="18"/>
        <v>24</v>
      </c>
      <c r="AV14" s="26">
        <f t="shared" si="19"/>
        <v>0</v>
      </c>
      <c r="AW14" s="26">
        <f t="shared" si="20"/>
        <v>19</v>
      </c>
      <c r="AX14" s="26">
        <f t="shared" si="21"/>
        <v>10</v>
      </c>
      <c r="AY14" s="27">
        <f t="shared" si="22"/>
        <v>17</v>
      </c>
      <c r="AZ14" s="26">
        <f t="shared" si="23"/>
        <v>4</v>
      </c>
      <c r="BA14" s="26">
        <f t="shared" si="24"/>
        <v>0</v>
      </c>
      <c r="BB14" s="26">
        <f t="shared" si="25"/>
        <v>4</v>
      </c>
      <c r="BC14" s="28"/>
      <c r="BD14" s="339">
        <f t="shared" si="26"/>
        <v>4.1666785714285712</v>
      </c>
      <c r="BE14" s="340">
        <f t="shared" si="27"/>
        <v>225.00064285714285</v>
      </c>
      <c r="BF14" s="341">
        <f t="shared" si="28"/>
        <v>70.833535714285716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18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432">
        <v>8</v>
      </c>
      <c r="N15" s="342">
        <v>16</v>
      </c>
      <c r="O15" s="30">
        <v>1</v>
      </c>
      <c r="P15" s="31">
        <f t="shared" si="5"/>
        <v>7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-1</v>
      </c>
      <c r="W15" s="342">
        <v>7</v>
      </c>
      <c r="X15" s="342">
        <v>16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 t="shared" si="12"/>
        <v>0</v>
      </c>
      <c r="AG15" s="37">
        <v>8</v>
      </c>
      <c r="AH15" s="342">
        <v>17</v>
      </c>
      <c r="AI15" s="30">
        <v>1</v>
      </c>
      <c r="AJ15" s="38">
        <f t="shared" si="13"/>
        <v>8</v>
      </c>
      <c r="AK15" s="342"/>
      <c r="AL15" s="342"/>
      <c r="AM15" s="31">
        <f t="shared" si="14"/>
        <v>0</v>
      </c>
      <c r="AN15" s="39"/>
      <c r="AO15" s="40">
        <f t="shared" si="15"/>
        <v>16</v>
      </c>
      <c r="AP15" s="1294">
        <f t="shared" si="16"/>
        <v>17</v>
      </c>
      <c r="AQ15" s="1295"/>
      <c r="AR15" s="1284">
        <f t="shared" si="17"/>
        <v>87.3</v>
      </c>
      <c r="AS15" s="1285"/>
      <c r="AT15" s="345">
        <f t="shared" si="18"/>
        <v>28</v>
      </c>
      <c r="AV15" s="26">
        <f t="shared" si="19"/>
        <v>2</v>
      </c>
      <c r="AW15" s="26">
        <f t="shared" si="20"/>
        <v>-1</v>
      </c>
      <c r="AX15" s="26">
        <f t="shared" si="21"/>
        <v>0</v>
      </c>
      <c r="AY15" s="27">
        <f t="shared" si="22"/>
        <v>16</v>
      </c>
      <c r="AZ15" s="26">
        <f t="shared" si="23"/>
        <v>-1</v>
      </c>
      <c r="BA15" s="26">
        <f t="shared" si="24"/>
        <v>1</v>
      </c>
      <c r="BB15" s="26">
        <f t="shared" si="25"/>
        <v>0</v>
      </c>
      <c r="BC15" s="28"/>
      <c r="BD15" s="339">
        <f t="shared" si="26"/>
        <v>5.1339285714285712</v>
      </c>
      <c r="BE15" s="349">
        <f t="shared" si="27"/>
        <v>87.276785714285708</v>
      </c>
      <c r="BF15" s="350">
        <f t="shared" si="28"/>
        <v>82.142857142857139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8</v>
      </c>
      <c r="D16" s="342">
        <v>16</v>
      </c>
      <c r="E16" s="30">
        <v>1</v>
      </c>
      <c r="F16" s="31">
        <f>+D16-C16-E16</f>
        <v>7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-1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14</v>
      </c>
      <c r="Y16" s="42">
        <v>1</v>
      </c>
      <c r="Z16" s="44">
        <f>+X16-W16-Y16</f>
        <v>6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1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-1</v>
      </c>
      <c r="AQ16" s="1283"/>
      <c r="AR16" s="1284">
        <f>ROUND(BD16*AP16,1)</f>
        <v>-5.0999999999999996</v>
      </c>
      <c r="AS16" s="1285"/>
      <c r="AT16" s="345">
        <f t="shared" si="18"/>
        <v>24</v>
      </c>
      <c r="AU16" s="6"/>
      <c r="AV16" s="26">
        <f>+L16</f>
        <v>-1</v>
      </c>
      <c r="AW16" s="26">
        <f>+V16</f>
        <v>0</v>
      </c>
      <c r="AX16" s="26">
        <f>+AF16</f>
        <v>1</v>
      </c>
      <c r="AY16" s="27">
        <f>+AO16</f>
        <v>0</v>
      </c>
      <c r="AZ16" s="26">
        <f t="shared" si="23"/>
        <v>0</v>
      </c>
      <c r="BA16" s="26">
        <f t="shared" si="24"/>
        <v>-1</v>
      </c>
      <c r="BB16" s="26">
        <f t="shared" si="25"/>
        <v>0</v>
      </c>
      <c r="BC16" s="54"/>
      <c r="BD16" s="339">
        <f t="shared" si="26"/>
        <v>5.1339285714285712</v>
      </c>
      <c r="BE16" s="351">
        <f>+BD16*AP16</f>
        <v>-5.1339285714285712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24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1</v>
      </c>
      <c r="BA20" s="69">
        <f>+V45</f>
        <v>0</v>
      </c>
      <c r="BB20" s="69">
        <f>+AF45</f>
        <v>0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31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>
        <v>11</v>
      </c>
      <c r="D23" s="342">
        <v>16</v>
      </c>
      <c r="E23" s="30"/>
      <c r="F23" s="31">
        <f>+D23-C23-E23</f>
        <v>5</v>
      </c>
      <c r="G23" s="342"/>
      <c r="H23" s="342"/>
      <c r="I23" s="31">
        <f>+H23-G23</f>
        <v>0</v>
      </c>
      <c r="J23" s="30"/>
      <c r="K23" s="32">
        <f>+I23+F23-L23</f>
        <v>8</v>
      </c>
      <c r="L23" s="20">
        <f t="shared" si="4"/>
        <v>-3</v>
      </c>
      <c r="M23" s="334">
        <v>8</v>
      </c>
      <c r="N23" s="342">
        <v>24</v>
      </c>
      <c r="O23" s="30">
        <v>3</v>
      </c>
      <c r="P23" s="31">
        <f>+N23-M23-O23</f>
        <v>13</v>
      </c>
      <c r="Q23" s="346">
        <v>0</v>
      </c>
      <c r="R23" s="346">
        <v>13</v>
      </c>
      <c r="S23" s="31">
        <f>+R23-Q23</f>
        <v>13</v>
      </c>
      <c r="T23" s="30">
        <v>8</v>
      </c>
      <c r="U23" s="32">
        <f>+S23+P23-V23</f>
        <v>8</v>
      </c>
      <c r="V23" s="20">
        <f>IF(M23&gt;0,(P23+S23)+IF(U$5&gt;0,P23,-8),0)+IF(AE$5&gt;0,S23,0)</f>
        <v>18</v>
      </c>
      <c r="W23" s="342">
        <v>21</v>
      </c>
      <c r="X23" s="342">
        <v>24</v>
      </c>
      <c r="Y23" s="30">
        <v>1</v>
      </c>
      <c r="Z23" s="44">
        <f>+X23-W23-Y23</f>
        <v>2</v>
      </c>
      <c r="AA23" s="346">
        <v>0</v>
      </c>
      <c r="AB23" s="344">
        <v>8</v>
      </c>
      <c r="AC23" s="31">
        <f>+AB23-AA23</f>
        <v>8</v>
      </c>
      <c r="AD23" s="30">
        <v>8</v>
      </c>
      <c r="AE23" s="32">
        <f>+AC23+Z23-IF(AE$5&gt;0,AF23/2,AF23)</f>
        <v>6</v>
      </c>
      <c r="AF23" s="20">
        <f t="shared" si="30"/>
        <v>4</v>
      </c>
      <c r="AG23" s="342">
        <v>22</v>
      </c>
      <c r="AH23" s="342">
        <v>24</v>
      </c>
      <c r="AI23" s="30">
        <v>1</v>
      </c>
      <c r="AJ23" s="38">
        <f t="shared" si="13"/>
        <v>1</v>
      </c>
      <c r="AK23" s="346">
        <v>0</v>
      </c>
      <c r="AL23" s="346">
        <v>7</v>
      </c>
      <c r="AM23" s="44">
        <f>+AL23-AK23</f>
        <v>7</v>
      </c>
      <c r="AN23" s="47"/>
      <c r="AO23" s="40">
        <f>(AJ23*2+AM23)</f>
        <v>9</v>
      </c>
      <c r="AP23" s="1282">
        <f t="shared" si="16"/>
        <v>29</v>
      </c>
      <c r="AQ23" s="1283"/>
      <c r="AR23" s="1284">
        <f>ROUND(BD23*AP23,1)</f>
        <v>102.7</v>
      </c>
      <c r="AS23" s="1285"/>
      <c r="AT23" s="345">
        <f>IF(AT45&gt;0,AT45*$AT$10,0)</f>
        <v>24</v>
      </c>
      <c r="AV23" s="69">
        <f>+L23</f>
        <v>-3</v>
      </c>
      <c r="AW23" s="69">
        <f>+V23</f>
        <v>18</v>
      </c>
      <c r="AX23" s="69">
        <f>+AF23</f>
        <v>4</v>
      </c>
      <c r="AY23" s="70">
        <f>+AO23</f>
        <v>9</v>
      </c>
      <c r="AZ23" s="69">
        <f>+L45</f>
        <v>1</v>
      </c>
      <c r="BA23" s="69">
        <f>+V45</f>
        <v>0</v>
      </c>
      <c r="BB23" s="69">
        <f>+AF45</f>
        <v>0</v>
      </c>
      <c r="BC23" s="54"/>
      <c r="BD23" s="339">
        <f t="shared" si="31"/>
        <v>3.5416625000000002</v>
      </c>
      <c r="BE23" s="351">
        <f>+BD23*AP23</f>
        <v>102.7082125</v>
      </c>
      <c r="BF23" s="352">
        <f>+BD23*AY23</f>
        <v>31.874962500000002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622.97314107142847</v>
      </c>
      <c r="BF26" s="1242">
        <f>SUM(BF11:BF25)</f>
        <v>361.44778392857137</v>
      </c>
    </row>
    <row r="27" spans="1:58" ht="10.9" customHeight="1">
      <c r="B27" s="1244" t="s">
        <v>1</v>
      </c>
      <c r="C27" s="1140">
        <f>1+AG5</f>
        <v>43122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43123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43124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43118</v>
      </c>
      <c r="AJ27" s="1218">
        <f t="shared" ref="AJ27:AO27" si="32">1+AI27</f>
        <v>43119</v>
      </c>
      <c r="AK27" s="1218">
        <f t="shared" si="32"/>
        <v>43120</v>
      </c>
      <c r="AL27" s="1219">
        <f t="shared" si="32"/>
        <v>43121</v>
      </c>
      <c r="AM27" s="1219">
        <f t="shared" si="32"/>
        <v>43122</v>
      </c>
      <c r="AN27" s="1220">
        <f t="shared" si="32"/>
        <v>43123</v>
      </c>
      <c r="AO27" s="1220">
        <f t="shared" si="32"/>
        <v>43124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43121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146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68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1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4">+D33-C33-E33</f>
        <v>8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-8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-8</v>
      </c>
      <c r="AQ33" s="55"/>
      <c r="AR33" s="1159">
        <f t="shared" ref="AR33:AR39" si="52">+X73*Q73</f>
        <v>0</v>
      </c>
      <c r="AS33" s="1197"/>
      <c r="AT33" s="117">
        <f t="shared" ref="AT33:AT43" si="53">IF(K11+L11&gt;0,1,0)+IF(U11+V11&gt;0,1,0)+IF(AE11+AF11&gt;0,1,0)+IF(AO11&gt;3,1,0)+IF(K33+L33&gt;0,1,0)+IF(U33+V33&gt;0,1,0)+IF(AE33+AF33&gt;0,1,0)</f>
        <v>6</v>
      </c>
      <c r="AU33" s="55"/>
      <c r="AV33" s="55"/>
      <c r="AW33" s="1134">
        <v>-14</v>
      </c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18</v>
      </c>
      <c r="O34" s="30">
        <v>1</v>
      </c>
      <c r="P34" s="31">
        <f t="shared" si="37"/>
        <v>10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2</v>
      </c>
      <c r="W34" s="334">
        <v>7</v>
      </c>
      <c r="X34" s="342">
        <v>20</v>
      </c>
      <c r="Y34" s="30">
        <v>1</v>
      </c>
      <c r="Z34" s="31">
        <f t="shared" si="41"/>
        <v>12</v>
      </c>
      <c r="AA34" s="342"/>
      <c r="AB34" s="116"/>
      <c r="AC34" s="31">
        <f t="shared" si="42"/>
        <v>0</v>
      </c>
      <c r="AD34" s="30"/>
      <c r="AE34" s="32">
        <f t="shared" si="43"/>
        <v>8</v>
      </c>
      <c r="AF34" s="20">
        <f t="shared" si="44"/>
        <v>4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0</v>
      </c>
      <c r="AS34" s="1160"/>
      <c r="AT34" s="117">
        <f t="shared" si="53"/>
        <v>7</v>
      </c>
      <c r="AU34" s="55"/>
      <c r="AV34" s="55"/>
      <c r="AW34" s="1134">
        <v>-22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16</v>
      </c>
      <c r="O35" s="30">
        <v>1</v>
      </c>
      <c r="P35" s="31">
        <f t="shared" si="37"/>
        <v>8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0</v>
      </c>
      <c r="W35" s="334">
        <v>7</v>
      </c>
      <c r="X35" s="342">
        <v>16</v>
      </c>
      <c r="Y35" s="30">
        <v>1</v>
      </c>
      <c r="Z35" s="31">
        <f t="shared" si="41"/>
        <v>8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0</v>
      </c>
      <c r="AG35" s="55"/>
      <c r="AH35" s="112">
        <v>0</v>
      </c>
      <c r="AI35" s="113">
        <f t="shared" si="45"/>
        <v>0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0</v>
      </c>
      <c r="AP35" s="114">
        <f t="shared" si="51"/>
        <v>0</v>
      </c>
      <c r="AQ35" s="55"/>
      <c r="AR35" s="1159">
        <f t="shared" si="52"/>
        <v>0</v>
      </c>
      <c r="AS35" s="1160"/>
      <c r="AT35" s="118">
        <f t="shared" si="53"/>
        <v>6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18</v>
      </c>
      <c r="D36" s="348">
        <v>24</v>
      </c>
      <c r="E36" s="119">
        <v>1</v>
      </c>
      <c r="F36" s="120">
        <f t="shared" si="34"/>
        <v>5</v>
      </c>
      <c r="G36" s="346">
        <v>0</v>
      </c>
      <c r="H36" s="346">
        <v>7</v>
      </c>
      <c r="I36" s="120">
        <f t="shared" si="35"/>
        <v>7</v>
      </c>
      <c r="J36" s="119">
        <v>8</v>
      </c>
      <c r="K36" s="121">
        <f t="shared" si="36"/>
        <v>8</v>
      </c>
      <c r="L36" s="20">
        <f t="shared" si="54"/>
        <v>4</v>
      </c>
      <c r="M36" s="342">
        <v>7</v>
      </c>
      <c r="N36" s="342">
        <v>16</v>
      </c>
      <c r="O36" s="30">
        <v>1</v>
      </c>
      <c r="P36" s="31">
        <f t="shared" si="37"/>
        <v>8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0</v>
      </c>
      <c r="W36" s="334">
        <v>7</v>
      </c>
      <c r="X36" s="342">
        <v>20</v>
      </c>
      <c r="Y36" s="30">
        <v>1</v>
      </c>
      <c r="Z36" s="31">
        <f t="shared" si="41"/>
        <v>12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4</v>
      </c>
      <c r="AG36" s="55"/>
      <c r="AH36" s="112">
        <v>0</v>
      </c>
      <c r="AI36" s="113">
        <f t="shared" si="45"/>
        <v>-8</v>
      </c>
      <c r="AJ36" s="113">
        <f t="shared" si="46"/>
        <v>0</v>
      </c>
      <c r="AK36" s="113">
        <f>IF(ISBLANK($AE$5),-8,0)+AE14</f>
        <v>-5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-13</v>
      </c>
      <c r="AQ36" s="55"/>
      <c r="AR36" s="1159">
        <f t="shared" si="52"/>
        <v>14.74971428571429</v>
      </c>
      <c r="AS36" s="1160"/>
      <c r="AT36" s="118">
        <f t="shared" si="53"/>
        <v>6</v>
      </c>
      <c r="AU36" s="55"/>
      <c r="AV36" s="55"/>
      <c r="AW36" s="1195">
        <v>-17</v>
      </c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8</v>
      </c>
      <c r="D37" s="342">
        <v>16</v>
      </c>
      <c r="E37" s="30">
        <v>1</v>
      </c>
      <c r="F37" s="31">
        <f t="shared" si="34"/>
        <v>7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-1</v>
      </c>
      <c r="M37" s="342">
        <v>8</v>
      </c>
      <c r="N37" s="342">
        <v>18</v>
      </c>
      <c r="O37" s="30">
        <v>1</v>
      </c>
      <c r="P37" s="31">
        <f t="shared" si="37"/>
        <v>9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1</v>
      </c>
      <c r="W37" s="334">
        <v>8</v>
      </c>
      <c r="X37" s="342">
        <v>17</v>
      </c>
      <c r="Y37" s="30">
        <v>1</v>
      </c>
      <c r="Z37" s="31">
        <f t="shared" si="41"/>
        <v>8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0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0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0</v>
      </c>
      <c r="AQ37" s="55"/>
      <c r="AR37" s="1159">
        <f t="shared" si="52"/>
        <v>0</v>
      </c>
      <c r="AS37" s="1160"/>
      <c r="AT37" s="118">
        <f t="shared" si="53"/>
        <v>7</v>
      </c>
      <c r="AU37" s="55"/>
      <c r="AV37" s="55"/>
      <c r="AW37" s="1195">
        <v>-16</v>
      </c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8</v>
      </c>
      <c r="N38" s="342">
        <v>16</v>
      </c>
      <c r="O38" s="30">
        <v>1</v>
      </c>
      <c r="P38" s="31">
        <f>+N38-M38-O38</f>
        <v>7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-1</v>
      </c>
      <c r="W38" s="334">
        <v>7</v>
      </c>
      <c r="X38" s="342">
        <v>16</v>
      </c>
      <c r="Y38" s="30">
        <v>1</v>
      </c>
      <c r="Z38" s="31">
        <f>+X38-W38-Y38</f>
        <v>8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0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-8</v>
      </c>
      <c r="AN39" s="113">
        <f t="shared" si="49"/>
        <v>-8</v>
      </c>
      <c r="AO39" s="113">
        <f t="shared" si="50"/>
        <v>-8</v>
      </c>
      <c r="AP39" s="114">
        <f t="shared" si="51"/>
        <v>-48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>
        <v>21</v>
      </c>
      <c r="D45" s="348">
        <v>24</v>
      </c>
      <c r="E45" s="119">
        <v>1</v>
      </c>
      <c r="F45" s="120">
        <f t="shared" si="34"/>
        <v>2</v>
      </c>
      <c r="G45" s="141">
        <v>0</v>
      </c>
      <c r="H45" s="348">
        <v>7</v>
      </c>
      <c r="I45" s="120">
        <f t="shared" si="35"/>
        <v>7</v>
      </c>
      <c r="J45" s="119">
        <v>8</v>
      </c>
      <c r="K45" s="121">
        <f t="shared" si="36"/>
        <v>8</v>
      </c>
      <c r="L45" s="142">
        <f t="shared" si="54"/>
        <v>1</v>
      </c>
      <c r="M45" s="342"/>
      <c r="N45" s="342"/>
      <c r="O45" s="30"/>
      <c r="P45" s="31">
        <f t="shared" si="37"/>
        <v>0</v>
      </c>
      <c r="Q45" s="348"/>
      <c r="R45" s="348"/>
      <c r="S45" s="88">
        <f t="shared" si="38"/>
        <v>0</v>
      </c>
      <c r="T45" s="87"/>
      <c r="U45" s="32">
        <f t="shared" si="39"/>
        <v>0</v>
      </c>
      <c r="V45" s="89">
        <f t="shared" si="40"/>
        <v>0</v>
      </c>
      <c r="W45" s="334">
        <v>7</v>
      </c>
      <c r="X45" s="342">
        <v>16</v>
      </c>
      <c r="Y45" s="30">
        <v>1</v>
      </c>
      <c r="Z45" s="31">
        <f t="shared" si="41"/>
        <v>8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0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-2</v>
      </c>
      <c r="AL45" s="113">
        <f t="shared" si="47"/>
        <v>0</v>
      </c>
      <c r="AM45" s="144">
        <f t="shared" si="48"/>
        <v>0</v>
      </c>
      <c r="AN45" s="144">
        <f t="shared" si="49"/>
        <v>-8</v>
      </c>
      <c r="AO45" s="144">
        <f t="shared" si="50"/>
        <v>0</v>
      </c>
      <c r="AP45" s="145">
        <f t="shared" si="51"/>
        <v>-10</v>
      </c>
      <c r="AQ45" s="55"/>
      <c r="AR45" s="1159">
        <f>+X84*Q84</f>
        <v>29.750099999999996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>
        <v>-9</v>
      </c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142</v>
      </c>
      <c r="AS48" s="1162"/>
      <c r="AT48" s="167">
        <f>SUM(AT33:AT47)</f>
        <v>44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78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43118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43119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43120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43121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43122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43123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43124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-117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30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30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30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30"/>
      <c r="AB70" s="430"/>
      <c r="AC70" s="430"/>
      <c r="AD70" s="430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30"/>
      <c r="AB71" s="430"/>
      <c r="AC71" s="430"/>
      <c r="AD71" s="430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30"/>
      <c r="AB72" s="430"/>
      <c r="AC72" s="430"/>
      <c r="AD72" s="430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54</v>
      </c>
      <c r="V73" s="239">
        <v>48</v>
      </c>
      <c r="W73" s="240">
        <f t="shared" ref="W73:W88" si="62">+V73-U73</f>
        <v>-6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70</v>
      </c>
      <c r="V74" s="239">
        <v>48</v>
      </c>
      <c r="W74" s="240">
        <f t="shared" si="62"/>
        <v>-22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48</v>
      </c>
      <c r="V75" s="239">
        <v>48</v>
      </c>
      <c r="W75" s="240">
        <f t="shared" si="62"/>
        <v>0</v>
      </c>
      <c r="X75" s="241">
        <f t="shared" si="63"/>
        <v>0</v>
      </c>
      <c r="Z75" s="389"/>
      <c r="AA75" s="428"/>
      <c r="AB75" s="428"/>
      <c r="AC75" s="428"/>
      <c r="AD75" s="428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52</v>
      </c>
      <c r="V76" s="239">
        <v>48</v>
      </c>
      <c r="W76" s="240">
        <f t="shared" si="62"/>
        <v>-4</v>
      </c>
      <c r="X76" s="241">
        <f t="shared" si="63"/>
        <v>24</v>
      </c>
      <c r="Z76" s="1045" t="s">
        <v>53</v>
      </c>
      <c r="AA76" s="1045"/>
      <c r="AB76" s="1045"/>
      <c r="AC76" s="1045"/>
      <c r="AD76" s="389" t="s">
        <v>54</v>
      </c>
      <c r="AE76" s="428"/>
      <c r="AF76" s="386"/>
      <c r="AG76" s="391"/>
      <c r="AH76" s="391"/>
      <c r="AI76" s="386"/>
      <c r="AJ76" s="386"/>
      <c r="AK76" s="427"/>
      <c r="AL76" s="427"/>
      <c r="AM76" s="427"/>
      <c r="AN76" s="427"/>
      <c r="AO76" s="427"/>
      <c r="AP76" s="427"/>
      <c r="AQ76" s="427"/>
      <c r="AR76" s="427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64</v>
      </c>
      <c r="V77" s="239">
        <v>48</v>
      </c>
      <c r="W77" s="240">
        <f t="shared" si="62"/>
        <v>-16</v>
      </c>
      <c r="X77" s="241">
        <f t="shared" si="63"/>
        <v>0</v>
      </c>
      <c r="Z77" s="428"/>
      <c r="AA77" s="428"/>
      <c r="AB77" s="428"/>
      <c r="AC77" s="428"/>
      <c r="AD77" s="428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428"/>
      <c r="AA79" s="428"/>
      <c r="AB79" s="428"/>
      <c r="AC79" s="428"/>
      <c r="AD79" s="428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30"/>
      <c r="T80" s="430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30"/>
      <c r="Z80" s="428"/>
      <c r="AA80" s="428"/>
      <c r="AB80" s="428"/>
      <c r="AC80" s="428"/>
      <c r="AD80" s="428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28"/>
      <c r="AC81" s="428"/>
      <c r="AD81" s="428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47</v>
      </c>
      <c r="V82" s="239">
        <v>48</v>
      </c>
      <c r="W82" s="240">
        <f>+V82-U82</f>
        <v>1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28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28"/>
      <c r="AD83" s="428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24</v>
      </c>
      <c r="Z84" s="1045">
        <f>+K84/G84</f>
        <v>30</v>
      </c>
      <c r="AA84" s="1045"/>
      <c r="AB84" s="1045"/>
      <c r="AC84" s="1045"/>
      <c r="AD84" s="428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43124</v>
      </c>
      <c r="V85" s="239">
        <v>48</v>
      </c>
      <c r="W85" s="240">
        <f t="shared" si="62"/>
        <v>-43076</v>
      </c>
      <c r="X85" s="241">
        <f>+J27+T27+AD27+J49+T49+AD49</f>
        <v>0</v>
      </c>
      <c r="Z85" s="246"/>
      <c r="AA85" s="246"/>
      <c r="AB85" s="428"/>
      <c r="AC85" s="428"/>
      <c r="AD85" s="428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+AE46+U46+K46+AO24+AE24+U24+K24</f>
        <v>0</v>
      </c>
      <c r="V86" s="239">
        <v>48</v>
      </c>
      <c r="W86" s="240">
        <f>+V86-U86</f>
        <v>48</v>
      </c>
      <c r="X86" s="241">
        <f>+J24+T24+AD24+J46+T46+AD46</f>
        <v>0</v>
      </c>
      <c r="Y86" s="248"/>
      <c r="Z86" s="428"/>
      <c r="AA86" s="428"/>
      <c r="AB86" s="428"/>
      <c r="AC86" s="428"/>
      <c r="AD86" s="428"/>
      <c r="AE86" s="386"/>
      <c r="AF86" s="386"/>
      <c r="AG86" s="391"/>
      <c r="AH86" s="391"/>
      <c r="AI86" s="386"/>
      <c r="AJ86" s="386"/>
      <c r="AK86" s="427"/>
      <c r="AL86" s="427"/>
      <c r="AM86" s="427"/>
      <c r="AN86" s="427"/>
      <c r="AO86" s="427"/>
      <c r="AP86" s="427"/>
      <c r="AQ86" s="427"/>
      <c r="AR86" s="427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28"/>
      <c r="AC87" s="428"/>
      <c r="AD87" s="428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28"/>
      <c r="AA88" s="428"/>
      <c r="AB88" s="428"/>
      <c r="AC88" s="428"/>
      <c r="AD88" s="428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28"/>
      <c r="AA89" s="428"/>
      <c r="AB89" s="428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28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27"/>
      <c r="AM102" s="391"/>
      <c r="AN102" s="427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27"/>
      <c r="AM120" s="391"/>
      <c r="AN120" s="427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27"/>
      <c r="AM140" s="391"/>
      <c r="AN140" s="427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29"/>
      <c r="E150" s="304"/>
      <c r="F150" s="305"/>
      <c r="G150" s="429"/>
      <c r="H150" s="429"/>
      <c r="I150" s="305"/>
      <c r="J150" s="429"/>
      <c r="K150" s="306"/>
      <c r="L150" s="306"/>
      <c r="M150" s="429"/>
      <c r="N150" s="429"/>
      <c r="O150" s="429"/>
      <c r="P150" s="429"/>
      <c r="Q150" s="429"/>
      <c r="R150" s="429"/>
      <c r="S150" s="429"/>
      <c r="T150" s="429"/>
      <c r="U150" s="429"/>
      <c r="V150" s="429"/>
      <c r="W150" s="429"/>
      <c r="X150" s="429"/>
      <c r="Y150" s="429"/>
      <c r="Z150" s="429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27"/>
      <c r="AM159" s="391"/>
      <c r="AN159" s="427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29"/>
      <c r="E168" s="304"/>
      <c r="F168" s="305"/>
      <c r="G168" s="429"/>
      <c r="H168" s="429"/>
      <c r="I168" s="305"/>
      <c r="J168" s="429"/>
      <c r="K168" s="306"/>
      <c r="L168" s="306"/>
      <c r="M168" s="429"/>
      <c r="N168" s="429"/>
      <c r="O168" s="429"/>
      <c r="P168" s="429"/>
      <c r="Q168" s="429"/>
      <c r="R168" s="429"/>
      <c r="S168" s="429"/>
      <c r="T168" s="429"/>
      <c r="U168" s="429"/>
      <c r="V168" s="429"/>
      <c r="W168" s="429"/>
      <c r="X168" s="429"/>
      <c r="Y168" s="429"/>
      <c r="Z168" s="429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9 AH62 AP62 AH33:AH50 AP33:AP50">
    <cfRule type="cellIs" dxfId="109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108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107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106" priority="19" stopIfTrue="1" operator="lessThanOrEqual">
      <formula>0</formula>
    </cfRule>
  </conditionalFormatting>
  <conditionalFormatting sqref="AM58:AM59 AC62 I62 AC58:AC60 S62:S68 S58:S60 I58:I60 S11:S27 I11:I26 AC11:AC27 AM11:AM27 I33:I50 S33:S55 AC33:AC50">
    <cfRule type="cellIs" dxfId="105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104" priority="17" stopIfTrue="1" operator="lessThanOrEqual">
      <formula>0</formula>
    </cfRule>
  </conditionalFormatting>
  <conditionalFormatting sqref="Z51:AA55 Z63:AA68 W76:X85 W87:X89">
    <cfRule type="cellIs" dxfId="103" priority="16" stopIfTrue="1" operator="lessThan">
      <formula>0</formula>
    </cfRule>
  </conditionalFormatting>
  <conditionalFormatting sqref="X51:X55 X63:X68 U76:U85 U87:U89">
    <cfRule type="cellIs" dxfId="102" priority="15" stopIfTrue="1" operator="greaterThan">
      <formula>48</formula>
    </cfRule>
  </conditionalFormatting>
  <conditionalFormatting sqref="C183:C187 C195:D198 C126:D126 D183:D194 C90:D109">
    <cfRule type="cellIs" dxfId="101" priority="14" stopIfTrue="1" operator="lessThan">
      <formula>$C$73</formula>
    </cfRule>
  </conditionalFormatting>
  <conditionalFormatting sqref="AI62:AO62 AI33:AO50">
    <cfRule type="cellIs" dxfId="100" priority="12" stopIfTrue="1" operator="equal">
      <formula>0</formula>
    </cfRule>
    <cfRule type="cellIs" dxfId="99" priority="13" stopIfTrue="1" operator="lessThan">
      <formula>0</formula>
    </cfRule>
  </conditionalFormatting>
  <conditionalFormatting sqref="AT62 AT33:AT47">
    <cfRule type="cellIs" dxfId="98" priority="10" stopIfTrue="1" operator="greaterThan">
      <formula>0</formula>
    </cfRule>
    <cfRule type="cellIs" dxfId="97" priority="11" stopIfTrue="1" operator="lessThan">
      <formula>1</formula>
    </cfRule>
  </conditionalFormatting>
  <conditionalFormatting sqref="K86:L86 K83:L83 K73:L81">
    <cfRule type="cellIs" dxfId="96" priority="9" stopIfTrue="1" operator="greaterThanOrEqual">
      <formula>$K$71</formula>
    </cfRule>
  </conditionalFormatting>
  <conditionalFormatting sqref="AF58:AF59 AF11:AF13 L12:L25 V12:V25 AF15:AF25 L34:L47 V34:V47 AF34:AF47">
    <cfRule type="cellIs" dxfId="95" priority="7" stopIfTrue="1" operator="equal">
      <formula>0</formula>
    </cfRule>
    <cfRule type="cellIs" dxfId="94" priority="8" stopIfTrue="1" operator="lessThan">
      <formula>0</formula>
    </cfRule>
  </conditionalFormatting>
  <conditionalFormatting sqref="V33">
    <cfRule type="cellIs" dxfId="93" priority="5" stopIfTrue="1" operator="equal">
      <formula>0</formula>
    </cfRule>
    <cfRule type="cellIs" dxfId="92" priority="6" stopIfTrue="1" operator="lessThan">
      <formula>0</formula>
    </cfRule>
  </conditionalFormatting>
  <conditionalFormatting sqref="L33">
    <cfRule type="cellIs" dxfId="91" priority="3" stopIfTrue="1" operator="equal">
      <formula>0</formula>
    </cfRule>
    <cfRule type="cellIs" dxfId="90" priority="4" stopIfTrue="1" operator="lessThan">
      <formula>0</formula>
    </cfRule>
  </conditionalFormatting>
  <conditionalFormatting sqref="AF14">
    <cfRule type="cellIs" dxfId="89" priority="1" stopIfTrue="1" operator="equal">
      <formula>0</formula>
    </cfRule>
    <cfRule type="cellIs" dxfId="88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BC22 AE24:BC32 AE23:AF23 AJ23 AM23:BC23 AE35:BC35 AE33:AS33 AX33:BC33 AE34:AV34 AX34:BC34 AE38:BC44 AE36:AV36 AX36:BC36 AE37:AV37 AX37:BC37 AE45:AK45 AY45:BC45 AM45:AV45 AU33:AV33" formula="1"/>
  </ignoredErrors>
  <drawing r:id="rId3"/>
  <legacyDrawing r:id="rId4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M16" sqref="M16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425" customWidth="1"/>
    <col min="5" max="5" width="4.28515625" style="3" customWidth="1"/>
    <col min="6" max="6" width="4.28515625" style="4" customWidth="1"/>
    <col min="7" max="8" width="4.28515625" style="425" customWidth="1"/>
    <col min="9" max="9" width="4.28515625" style="4" customWidth="1"/>
    <col min="10" max="10" width="4.28515625" style="425" customWidth="1"/>
    <col min="11" max="12" width="4.28515625" style="5" customWidth="1"/>
    <col min="13" max="26" width="4.28515625" style="425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43117</v>
      </c>
      <c r="C1" s="425" t="s">
        <v>0</v>
      </c>
      <c r="AN1" s="7"/>
      <c r="AO1" s="7"/>
      <c r="AR1" s="1340">
        <f>+AR48+AT48</f>
        <v>78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43118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425">
        <v>0</v>
      </c>
    </row>
    <row r="5" spans="1:58" ht="10.9" customHeight="1">
      <c r="B5" s="1244" t="s">
        <v>1</v>
      </c>
      <c r="C5" s="1140">
        <v>43111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43112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43113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43114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43111</v>
      </c>
      <c r="AW7" s="1296">
        <f>+M5</f>
        <v>43112</v>
      </c>
      <c r="AX7" s="1296">
        <f>+W5</f>
        <v>43113</v>
      </c>
      <c r="AY7" s="1309">
        <f>+AG5</f>
        <v>43114</v>
      </c>
      <c r="AZ7" s="1296">
        <f>+C27</f>
        <v>43115</v>
      </c>
      <c r="BA7" s="1296">
        <f>+M27</f>
        <v>43116</v>
      </c>
      <c r="BB7" s="1296">
        <f>+W27</f>
        <v>43117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16</v>
      </c>
      <c r="E11" s="16">
        <v>1</v>
      </c>
      <c r="F11" s="17">
        <f t="shared" ref="F11:F21" si="1">+D11-C11-E11</f>
        <v>8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1" si="9">+X11-W11-Y11</f>
        <v>8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8</v>
      </c>
      <c r="AF11" s="20">
        <f t="shared" ref="AF11:AF18" si="12"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-1</v>
      </c>
      <c r="AQ11" s="1298"/>
      <c r="AR11" s="1299">
        <f t="shared" ref="AR11:AR21" si="17">ROUND(BD11*AP11,1)</f>
        <v>-4.5</v>
      </c>
      <c r="AS11" s="1300"/>
      <c r="AT11" s="338">
        <f t="shared" ref="AT11:AT19" si="18">IF(AT33&gt;0,AT33*$AT$10,0)</f>
        <v>24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0</v>
      </c>
      <c r="AY11" s="27">
        <f t="shared" ref="AY11:AY21" si="22">+AO11</f>
        <v>0</v>
      </c>
      <c r="AZ11" s="26">
        <f t="shared" ref="AZ11:AZ19" si="23">+L33</f>
        <v>-1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-4.5464285714285708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421">
        <v>7</v>
      </c>
      <c r="N12" s="342">
        <v>16</v>
      </c>
      <c r="O12" s="30">
        <v>1</v>
      </c>
      <c r="P12" s="31">
        <f t="shared" si="5"/>
        <v>8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0</v>
      </c>
      <c r="AG12" s="37">
        <v>7</v>
      </c>
      <c r="AH12" s="342">
        <v>16</v>
      </c>
      <c r="AI12" s="30">
        <v>1</v>
      </c>
      <c r="AJ12" s="38">
        <f>+AH12-AG12-AI12</f>
        <v>8</v>
      </c>
      <c r="AK12" s="342"/>
      <c r="AL12" s="342"/>
      <c r="AM12" s="31">
        <f t="shared" si="14"/>
        <v>0</v>
      </c>
      <c r="AN12" s="39"/>
      <c r="AO12" s="40">
        <f t="shared" si="15"/>
        <v>16</v>
      </c>
      <c r="AP12" s="1282">
        <f t="shared" si="16"/>
        <v>17</v>
      </c>
      <c r="AQ12" s="1283"/>
      <c r="AR12" s="1284">
        <f t="shared" si="17"/>
        <v>87.3</v>
      </c>
      <c r="AS12" s="1285"/>
      <c r="AT12" s="345">
        <f t="shared" si="18"/>
        <v>28</v>
      </c>
      <c r="AV12" s="26">
        <f t="shared" si="19"/>
        <v>2</v>
      </c>
      <c r="AW12" s="26">
        <f t="shared" si="20"/>
        <v>0</v>
      </c>
      <c r="AX12" s="26">
        <f t="shared" si="21"/>
        <v>0</v>
      </c>
      <c r="AY12" s="27">
        <f t="shared" si="22"/>
        <v>16</v>
      </c>
      <c r="AZ12" s="26">
        <f t="shared" si="23"/>
        <v>0</v>
      </c>
      <c r="BA12" s="26">
        <f t="shared" si="24"/>
        <v>0</v>
      </c>
      <c r="BB12" s="26">
        <f t="shared" si="25"/>
        <v>-1</v>
      </c>
      <c r="BC12" s="28"/>
      <c r="BD12" s="339">
        <f t="shared" si="26"/>
        <v>5.1339285714285712</v>
      </c>
      <c r="BE12" s="340">
        <f t="shared" si="27"/>
        <v>87.276785714285708</v>
      </c>
      <c r="BF12" s="341">
        <f t="shared" si="28"/>
        <v>82.142857142857139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421"/>
      <c r="N13" s="342"/>
      <c r="O13" s="30"/>
      <c r="P13" s="31">
        <f t="shared" si="5"/>
        <v>0</v>
      </c>
      <c r="Q13" s="33"/>
      <c r="R13" s="346"/>
      <c r="S13" s="31">
        <f t="shared" si="6"/>
        <v>0</v>
      </c>
      <c r="T13" s="30"/>
      <c r="U13" s="32">
        <f t="shared" si="7"/>
        <v>0</v>
      </c>
      <c r="V13" s="20">
        <f t="shared" si="8"/>
        <v>0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0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4"/>
        <v>0</v>
      </c>
      <c r="AN13" s="43">
        <f>4+8+4</f>
        <v>16</v>
      </c>
      <c r="AO13" s="40">
        <f t="shared" si="15"/>
        <v>16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20</v>
      </c>
      <c r="AV13" s="26">
        <f t="shared" si="19"/>
        <v>0</v>
      </c>
      <c r="AW13" s="26">
        <f t="shared" si="20"/>
        <v>0</v>
      </c>
      <c r="AX13" s="26">
        <f t="shared" si="21"/>
        <v>0</v>
      </c>
      <c r="AY13" s="27">
        <f t="shared" si="22"/>
        <v>16</v>
      </c>
      <c r="AZ13" s="26">
        <f t="shared" si="23"/>
        <v>0</v>
      </c>
      <c r="BA13" s="26">
        <f t="shared" si="24"/>
        <v>0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41"/>
      <c r="AC14" s="46">
        <f t="shared" si="10"/>
        <v>0</v>
      </c>
      <c r="AD14" s="42"/>
      <c r="AE14" s="45">
        <f t="shared" si="11"/>
        <v>8</v>
      </c>
      <c r="AF14" s="20">
        <f t="shared" si="12"/>
        <v>0</v>
      </c>
      <c r="AG14" s="37">
        <v>7</v>
      </c>
      <c r="AH14" s="342">
        <v>16</v>
      </c>
      <c r="AI14" s="30">
        <v>1</v>
      </c>
      <c r="AJ14" s="38">
        <f t="shared" si="13"/>
        <v>8</v>
      </c>
      <c r="AK14" s="342"/>
      <c r="AL14" s="342"/>
      <c r="AM14" s="31">
        <f t="shared" si="14"/>
        <v>0</v>
      </c>
      <c r="AN14" s="47"/>
      <c r="AO14" s="40">
        <f t="shared" si="15"/>
        <v>16</v>
      </c>
      <c r="AP14" s="1282">
        <f t="shared" si="16"/>
        <v>23</v>
      </c>
      <c r="AQ14" s="1283"/>
      <c r="AR14" s="1284">
        <f t="shared" si="17"/>
        <v>95.8</v>
      </c>
      <c r="AS14" s="1285"/>
      <c r="AT14" s="345">
        <f t="shared" si="18"/>
        <v>28</v>
      </c>
      <c r="AV14" s="26">
        <f t="shared" si="19"/>
        <v>2</v>
      </c>
      <c r="AW14" s="26">
        <f t="shared" si="20"/>
        <v>1</v>
      </c>
      <c r="AX14" s="26">
        <f t="shared" si="21"/>
        <v>0</v>
      </c>
      <c r="AY14" s="27">
        <f t="shared" si="22"/>
        <v>16</v>
      </c>
      <c r="AZ14" s="26">
        <f t="shared" si="23"/>
        <v>0</v>
      </c>
      <c r="BA14" s="26">
        <f t="shared" si="24"/>
        <v>2</v>
      </c>
      <c r="BB14" s="26">
        <f t="shared" si="25"/>
        <v>2</v>
      </c>
      <c r="BC14" s="28"/>
      <c r="BD14" s="339">
        <f t="shared" si="26"/>
        <v>4.1666785714285712</v>
      </c>
      <c r="BE14" s="340">
        <f t="shared" si="27"/>
        <v>95.833607142857133</v>
      </c>
      <c r="BF14" s="341">
        <f t="shared" si="28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/>
      <c r="D15" s="342"/>
      <c r="E15" s="30"/>
      <c r="F15" s="31">
        <f t="shared" si="1"/>
        <v>0</v>
      </c>
      <c r="G15" s="342"/>
      <c r="H15" s="342"/>
      <c r="I15" s="31">
        <f t="shared" si="2"/>
        <v>0</v>
      </c>
      <c r="J15" s="30"/>
      <c r="K15" s="32">
        <f t="shared" si="3"/>
        <v>0</v>
      </c>
      <c r="L15" s="20">
        <f t="shared" si="4"/>
        <v>0</v>
      </c>
      <c r="M15" s="421">
        <v>7</v>
      </c>
      <c r="N15" s="342">
        <v>17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7</v>
      </c>
      <c r="X15" s="342">
        <v>16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 t="shared" si="12"/>
        <v>0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>
        <v>4</v>
      </c>
      <c r="AO15" s="40">
        <f t="shared" si="15"/>
        <v>0</v>
      </c>
      <c r="AP15" s="1294">
        <f t="shared" si="16"/>
        <v>-1</v>
      </c>
      <c r="AQ15" s="1295"/>
      <c r="AR15" s="1284">
        <f t="shared" si="17"/>
        <v>-5.0999999999999996</v>
      </c>
      <c r="AS15" s="1285"/>
      <c r="AT15" s="345">
        <f t="shared" si="18"/>
        <v>20</v>
      </c>
      <c r="AV15" s="26">
        <f t="shared" si="19"/>
        <v>0</v>
      </c>
      <c r="AW15" s="26">
        <f t="shared" si="20"/>
        <v>1</v>
      </c>
      <c r="AX15" s="26">
        <f t="shared" si="21"/>
        <v>0</v>
      </c>
      <c r="AY15" s="27">
        <f t="shared" si="22"/>
        <v>0</v>
      </c>
      <c r="AZ15" s="26">
        <f t="shared" si="23"/>
        <v>-1</v>
      </c>
      <c r="BA15" s="26">
        <f t="shared" si="24"/>
        <v>1</v>
      </c>
      <c r="BB15" s="26">
        <f t="shared" si="25"/>
        <v>2</v>
      </c>
      <c r="BC15" s="28"/>
      <c r="BD15" s="339">
        <f t="shared" si="26"/>
        <v>5.1339285714285712</v>
      </c>
      <c r="BE15" s="349">
        <f t="shared" si="27"/>
        <v>-5.1339285714285712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-2</v>
      </c>
      <c r="AQ16" s="1283"/>
      <c r="AR16" s="1284">
        <f>ROUND(BD16*AP16,1)</f>
        <v>-10.3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3"/>
        <v>-1</v>
      </c>
      <c r="BA16" s="26">
        <f t="shared" si="24"/>
        <v>0</v>
      </c>
      <c r="BB16" s="26">
        <f t="shared" si="25"/>
        <v>-1</v>
      </c>
      <c r="BC16" s="54"/>
      <c r="BD16" s="339">
        <f t="shared" si="26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24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0</v>
      </c>
      <c r="BA20" s="69">
        <f>+V45</f>
        <v>-1</v>
      </c>
      <c r="BB20" s="69">
        <f>+AF45</f>
        <v>2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422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>
        <v>8</v>
      </c>
      <c r="D23" s="342">
        <v>16</v>
      </c>
      <c r="E23" s="30">
        <v>1</v>
      </c>
      <c r="F23" s="31">
        <f>+D23-C23-E23</f>
        <v>7</v>
      </c>
      <c r="G23" s="342"/>
      <c r="H23" s="342"/>
      <c r="I23" s="31">
        <f>+H23-G23</f>
        <v>0</v>
      </c>
      <c r="J23" s="30"/>
      <c r="K23" s="32">
        <f>+I23+F23-L23</f>
        <v>8</v>
      </c>
      <c r="L23" s="20">
        <f t="shared" si="4"/>
        <v>-1</v>
      </c>
      <c r="M23" s="334">
        <v>8</v>
      </c>
      <c r="N23" s="342">
        <v>17</v>
      </c>
      <c r="O23" s="30">
        <v>1</v>
      </c>
      <c r="P23" s="31">
        <f>+N23-M23-O23</f>
        <v>8</v>
      </c>
      <c r="Q23" s="346"/>
      <c r="R23" s="346"/>
      <c r="S23" s="31">
        <f>+R23-Q23</f>
        <v>0</v>
      </c>
      <c r="T23" s="30"/>
      <c r="U23" s="32">
        <f>+S23+P23-V23</f>
        <v>8</v>
      </c>
      <c r="V23" s="20">
        <f>IF(M23&gt;0,(P23+S23)+IF(U$5&gt;0,P23,-8),0)+IF(AE$5&gt;0,S23,0)</f>
        <v>0</v>
      </c>
      <c r="W23" s="342">
        <v>7</v>
      </c>
      <c r="X23" s="342">
        <v>16</v>
      </c>
      <c r="Y23" s="30">
        <v>1</v>
      </c>
      <c r="Z23" s="44">
        <f>+X23-W23-Y23</f>
        <v>8</v>
      </c>
      <c r="AA23" s="346"/>
      <c r="AB23" s="344"/>
      <c r="AC23" s="31">
        <f>+AB23-AA23</f>
        <v>0</v>
      </c>
      <c r="AD23" s="30"/>
      <c r="AE23" s="32">
        <f>+AC23+Z23-IF(AE$5&gt;0,AF23/2,AF23)</f>
        <v>8</v>
      </c>
      <c r="AF23" s="20">
        <f t="shared" si="30"/>
        <v>0</v>
      </c>
      <c r="AG23" s="342"/>
      <c r="AH23" s="342"/>
      <c r="AI23" s="30"/>
      <c r="AJ23" s="38">
        <f t="shared" si="13"/>
        <v>0</v>
      </c>
      <c r="AK23" s="346"/>
      <c r="AL23" s="346"/>
      <c r="AM23" s="44">
        <f>+AL23-AK23</f>
        <v>0</v>
      </c>
      <c r="AN23" s="47"/>
      <c r="AO23" s="40">
        <f>(AJ23*2+AM23)</f>
        <v>0</v>
      </c>
      <c r="AP23" s="1282">
        <f t="shared" si="16"/>
        <v>0</v>
      </c>
      <c r="AQ23" s="1283"/>
      <c r="AR23" s="1284">
        <f>ROUND(BD23*AP23,1)</f>
        <v>0</v>
      </c>
      <c r="AS23" s="1285"/>
      <c r="AT23" s="345">
        <f>IF(AT45&gt;0,AT45*$AT$10,0)</f>
        <v>24</v>
      </c>
      <c r="AV23" s="69">
        <f>+L23</f>
        <v>-1</v>
      </c>
      <c r="AW23" s="69">
        <f>+V23</f>
        <v>0</v>
      </c>
      <c r="AX23" s="69">
        <f>+AF23</f>
        <v>0</v>
      </c>
      <c r="AY23" s="70">
        <f>+AO23</f>
        <v>0</v>
      </c>
      <c r="AZ23" s="69">
        <f>+L45</f>
        <v>0</v>
      </c>
      <c r="BA23" s="69">
        <f>+V45</f>
        <v>-1</v>
      </c>
      <c r="BB23" s="69">
        <f>+AF45</f>
        <v>2</v>
      </c>
      <c r="BC23" s="54"/>
      <c r="BD23" s="339">
        <f t="shared" si="31"/>
        <v>3.5416625000000002</v>
      </c>
      <c r="BE23" s="351">
        <f>+BD23*AP23</f>
        <v>0</v>
      </c>
      <c r="BF23" s="352">
        <f>+BD23*AY23</f>
        <v>0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163.16217857142857</v>
      </c>
      <c r="BF26" s="1242">
        <f>SUM(BF11:BF25)</f>
        <v>230.95257142857142</v>
      </c>
    </row>
    <row r="27" spans="1:58" ht="10.9" customHeight="1">
      <c r="B27" s="1244" t="s">
        <v>1</v>
      </c>
      <c r="C27" s="1140">
        <f>1+AG5</f>
        <v>43115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43116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43117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43111</v>
      </c>
      <c r="AJ27" s="1218">
        <f t="shared" ref="AJ27:AO27" si="32">1+AI27</f>
        <v>43112</v>
      </c>
      <c r="AK27" s="1218">
        <f t="shared" si="32"/>
        <v>43113</v>
      </c>
      <c r="AL27" s="1219">
        <f t="shared" si="32"/>
        <v>43114</v>
      </c>
      <c r="AM27" s="1219">
        <f t="shared" si="32"/>
        <v>43115</v>
      </c>
      <c r="AN27" s="1220">
        <f t="shared" si="32"/>
        <v>43116</v>
      </c>
      <c r="AO27" s="1220">
        <f t="shared" si="32"/>
        <v>43117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43114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57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9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1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8</v>
      </c>
      <c r="D33" s="342">
        <v>16</v>
      </c>
      <c r="E33" s="30">
        <v>1</v>
      </c>
      <c r="F33" s="31">
        <f t="shared" ref="F33:F47" si="34">+D33-C33-E33</f>
        <v>7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-1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0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0</v>
      </c>
      <c r="AQ33" s="55"/>
      <c r="AR33" s="1159">
        <f t="shared" ref="AR33:AR39" si="52">+X73*Q73</f>
        <v>0</v>
      </c>
      <c r="AS33" s="1197"/>
      <c r="AT33" s="371">
        <f>IF(K11+L11&gt;0,1,0)+IF(U11+V11&gt;0,1,0)+IF(AE11+AF11&gt;0,1,0)+IF(AO11&gt;3,1,0)+IF(K33+L33&gt;0,1,0)+IF(U33+V33&gt;0,1,0)+IF(AE33+AF33&gt;0,1,0)</f>
        <v>6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16</v>
      </c>
      <c r="E34" s="30">
        <v>1</v>
      </c>
      <c r="F34" s="31">
        <f t="shared" si="34"/>
        <v>8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0</v>
      </c>
      <c r="M34" s="342">
        <v>7</v>
      </c>
      <c r="N34" s="342">
        <v>16</v>
      </c>
      <c r="O34" s="30">
        <v>1</v>
      </c>
      <c r="P34" s="31">
        <f t="shared" si="37"/>
        <v>8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0</v>
      </c>
      <c r="W34" s="334">
        <v>7</v>
      </c>
      <c r="X34" s="342">
        <v>15</v>
      </c>
      <c r="Y34" s="30">
        <v>1</v>
      </c>
      <c r="Z34" s="31">
        <f t="shared" si="41"/>
        <v>7</v>
      </c>
      <c r="AA34" s="342"/>
      <c r="AB34" s="116"/>
      <c r="AC34" s="31">
        <f t="shared" si="42"/>
        <v>0</v>
      </c>
      <c r="AD34" s="30"/>
      <c r="AE34" s="32">
        <f t="shared" si="43"/>
        <v>8</v>
      </c>
      <c r="AF34" s="20">
        <f t="shared" si="44"/>
        <v>-1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0</v>
      </c>
      <c r="AQ34" s="55"/>
      <c r="AR34" s="1159">
        <f t="shared" si="52"/>
        <v>0</v>
      </c>
      <c r="AS34" s="1160"/>
      <c r="AT34" s="117">
        <f t="shared" ref="AT34:AT43" si="53">IF(K12+L12&gt;0,1,0)+IF(U12+V12&gt;0,1,0)+IF(AE12+AF12&gt;0,1,0)+IF(AO12&gt;3,1,0)+IF(K34+L34&gt;0,1,0)+IF(U34+V34&gt;0,1,0)+IF(AE34+AF34&gt;0,1,0)</f>
        <v>7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16</v>
      </c>
      <c r="O35" s="30">
        <v>1</v>
      </c>
      <c r="P35" s="31">
        <f t="shared" si="37"/>
        <v>8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0</v>
      </c>
      <c r="W35" s="334">
        <v>7</v>
      </c>
      <c r="X35" s="342">
        <v>16</v>
      </c>
      <c r="Y35" s="30">
        <v>1</v>
      </c>
      <c r="Z35" s="31">
        <f t="shared" si="41"/>
        <v>8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0</v>
      </c>
      <c r="AG35" s="55"/>
      <c r="AH35" s="112">
        <v>0</v>
      </c>
      <c r="AI35" s="113">
        <f t="shared" si="45"/>
        <v>-8</v>
      </c>
      <c r="AJ35" s="113">
        <f t="shared" si="46"/>
        <v>-8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0</v>
      </c>
      <c r="AP35" s="114">
        <f t="shared" si="51"/>
        <v>-16</v>
      </c>
      <c r="AQ35" s="55"/>
      <c r="AR35" s="1159">
        <f t="shared" si="52"/>
        <v>0</v>
      </c>
      <c r="AS35" s="1160"/>
      <c r="AT35" s="118">
        <f t="shared" si="53"/>
        <v>5</v>
      </c>
      <c r="AU35" s="55"/>
      <c r="AV35" s="55"/>
      <c r="AW35" s="1134">
        <v>-16</v>
      </c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16</v>
      </c>
      <c r="E36" s="119">
        <v>1</v>
      </c>
      <c r="F36" s="120">
        <f t="shared" si="34"/>
        <v>8</v>
      </c>
      <c r="G36" s="346"/>
      <c r="H36" s="346"/>
      <c r="I36" s="120">
        <f t="shared" si="35"/>
        <v>0</v>
      </c>
      <c r="J36" s="119"/>
      <c r="K36" s="121">
        <f t="shared" si="36"/>
        <v>8</v>
      </c>
      <c r="L36" s="20">
        <f t="shared" si="54"/>
        <v>0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7</v>
      </c>
      <c r="X36" s="342">
        <v>18</v>
      </c>
      <c r="Y36" s="30">
        <v>1</v>
      </c>
      <c r="Z36" s="31">
        <f t="shared" si="41"/>
        <v>10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2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0</v>
      </c>
      <c r="AN36" s="113">
        <f t="shared" si="49"/>
        <v>0</v>
      </c>
      <c r="AO36" s="113">
        <f t="shared" si="50"/>
        <v>0</v>
      </c>
      <c r="AP36" s="114">
        <f t="shared" si="51"/>
        <v>0</v>
      </c>
      <c r="AQ36" s="55"/>
      <c r="AR36" s="1159">
        <f t="shared" si="52"/>
        <v>0</v>
      </c>
      <c r="AS36" s="1160"/>
      <c r="AT36" s="118">
        <f t="shared" si="53"/>
        <v>7</v>
      </c>
      <c r="AU36" s="55"/>
      <c r="AV36" s="55"/>
      <c r="AW36" s="1195">
        <v>-16</v>
      </c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8</v>
      </c>
      <c r="D37" s="342">
        <v>16</v>
      </c>
      <c r="E37" s="30">
        <v>1</v>
      </c>
      <c r="F37" s="31">
        <f t="shared" si="34"/>
        <v>7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-1</v>
      </c>
      <c r="M37" s="342">
        <v>7</v>
      </c>
      <c r="N37" s="342">
        <v>17</v>
      </c>
      <c r="O37" s="30">
        <v>1</v>
      </c>
      <c r="P37" s="31">
        <f t="shared" si="37"/>
        <v>9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1</v>
      </c>
      <c r="W37" s="334">
        <v>7</v>
      </c>
      <c r="X37" s="342">
        <v>18</v>
      </c>
      <c r="Y37" s="30">
        <v>1</v>
      </c>
      <c r="Z37" s="31">
        <f t="shared" si="41"/>
        <v>10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2</v>
      </c>
      <c r="AG37" s="55"/>
      <c r="AH37" s="112">
        <v>0</v>
      </c>
      <c r="AI37" s="113">
        <f t="shared" si="45"/>
        <v>-8</v>
      </c>
      <c r="AJ37" s="113">
        <f t="shared" si="46"/>
        <v>0</v>
      </c>
      <c r="AK37" s="113">
        <f>IF(ISBLANK($AE$5),-8,0)+AE15</f>
        <v>0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-8</v>
      </c>
      <c r="AQ37" s="55"/>
      <c r="AR37" s="1159">
        <f t="shared" si="52"/>
        <v>0</v>
      </c>
      <c r="AS37" s="1160"/>
      <c r="AT37" s="118">
        <f t="shared" si="53"/>
        <v>5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8</v>
      </c>
      <c r="D38" s="342">
        <v>16</v>
      </c>
      <c r="E38" s="30">
        <v>1</v>
      </c>
      <c r="F38" s="31">
        <f>+D38-C38-E38</f>
        <v>7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-1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8</v>
      </c>
      <c r="X38" s="342">
        <v>16</v>
      </c>
      <c r="Y38" s="30">
        <v>1</v>
      </c>
      <c r="Z38" s="31">
        <f>+X38-W38-Y38</f>
        <v>7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-1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-8</v>
      </c>
      <c r="AN39" s="113">
        <f t="shared" si="49"/>
        <v>-8</v>
      </c>
      <c r="AO39" s="113">
        <f t="shared" si="50"/>
        <v>-8</v>
      </c>
      <c r="AP39" s="114">
        <f t="shared" si="51"/>
        <v>-48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>
        <v>7</v>
      </c>
      <c r="D45" s="348">
        <v>16</v>
      </c>
      <c r="E45" s="119">
        <v>1</v>
      </c>
      <c r="F45" s="120">
        <f t="shared" si="34"/>
        <v>8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0</v>
      </c>
      <c r="M45" s="342">
        <v>8</v>
      </c>
      <c r="N45" s="342">
        <v>16</v>
      </c>
      <c r="O45" s="30">
        <v>1</v>
      </c>
      <c r="P45" s="31">
        <f t="shared" si="37"/>
        <v>7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-1</v>
      </c>
      <c r="W45" s="334">
        <v>8</v>
      </c>
      <c r="X45" s="342">
        <v>19</v>
      </c>
      <c r="Y45" s="30">
        <v>1</v>
      </c>
      <c r="Z45" s="31">
        <f t="shared" si="41"/>
        <v>10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2</v>
      </c>
      <c r="AG45" s="55"/>
      <c r="AH45" s="143">
        <v>0</v>
      </c>
      <c r="AI45" s="144">
        <f t="shared" si="45"/>
        <v>0</v>
      </c>
      <c r="AJ45" s="144">
        <f t="shared" si="46"/>
        <v>0</v>
      </c>
      <c r="AK45" s="144">
        <f t="shared" si="55"/>
        <v>0</v>
      </c>
      <c r="AL45" s="144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0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/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36</v>
      </c>
      <c r="AS48" s="1162"/>
      <c r="AT48" s="167">
        <f>SUM(AT33:AT47)</f>
        <v>42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48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43111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43112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43113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43114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43115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43116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43117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-120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425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425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425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425"/>
      <c r="AB70" s="425"/>
      <c r="AC70" s="425"/>
      <c r="AD70" s="425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425"/>
      <c r="AB71" s="425"/>
      <c r="AC71" s="425"/>
      <c r="AD71" s="425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425"/>
      <c r="AB72" s="425"/>
      <c r="AC72" s="425"/>
      <c r="AD72" s="425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48</v>
      </c>
      <c r="V73" s="239">
        <v>48</v>
      </c>
      <c r="W73" s="240">
        <f t="shared" ref="W73:W88" si="62">+V73-U73</f>
        <v>0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64</v>
      </c>
      <c r="V74" s="239">
        <v>48</v>
      </c>
      <c r="W74" s="240">
        <f t="shared" si="62"/>
        <v>-16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48</v>
      </c>
      <c r="V75" s="239">
        <v>48</v>
      </c>
      <c r="W75" s="240">
        <f t="shared" si="62"/>
        <v>0</v>
      </c>
      <c r="X75" s="241">
        <f t="shared" si="63"/>
        <v>0</v>
      </c>
      <c r="Z75" s="389"/>
      <c r="AA75" s="426"/>
      <c r="AB75" s="426"/>
      <c r="AC75" s="426"/>
      <c r="AD75" s="426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64</v>
      </c>
      <c r="V76" s="239">
        <v>48</v>
      </c>
      <c r="W76" s="240">
        <f t="shared" si="62"/>
        <v>-16</v>
      </c>
      <c r="X76" s="241">
        <f t="shared" si="63"/>
        <v>0</v>
      </c>
      <c r="Z76" s="1045" t="s">
        <v>53</v>
      </c>
      <c r="AA76" s="1045"/>
      <c r="AB76" s="1045"/>
      <c r="AC76" s="1045"/>
      <c r="AD76" s="389" t="s">
        <v>54</v>
      </c>
      <c r="AE76" s="426"/>
      <c r="AF76" s="386"/>
      <c r="AG76" s="391"/>
      <c r="AH76" s="391"/>
      <c r="AI76" s="386"/>
      <c r="AJ76" s="386"/>
      <c r="AK76" s="423"/>
      <c r="AL76" s="423"/>
      <c r="AM76" s="423"/>
      <c r="AN76" s="423"/>
      <c r="AO76" s="423"/>
      <c r="AP76" s="423"/>
      <c r="AQ76" s="423"/>
      <c r="AR76" s="423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40</v>
      </c>
      <c r="V77" s="239">
        <v>48</v>
      </c>
      <c r="W77" s="240">
        <f t="shared" si="62"/>
        <v>8</v>
      </c>
      <c r="X77" s="241">
        <f t="shared" si="63"/>
        <v>0</v>
      </c>
      <c r="Z77" s="426"/>
      <c r="AA77" s="426"/>
      <c r="AB77" s="426"/>
      <c r="AC77" s="426"/>
      <c r="AD77" s="426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426"/>
      <c r="AA79" s="426"/>
      <c r="AB79" s="426"/>
      <c r="AC79" s="426"/>
      <c r="AD79" s="426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425"/>
      <c r="T80" s="425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425"/>
      <c r="Z80" s="426"/>
      <c r="AA80" s="426"/>
      <c r="AB80" s="426"/>
      <c r="AC80" s="426"/>
      <c r="AD80" s="426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426"/>
      <c r="AC81" s="426"/>
      <c r="AD81" s="426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48</v>
      </c>
      <c r="V82" s="239">
        <v>48</v>
      </c>
      <c r="W82" s="240">
        <f>+V82-U82</f>
        <v>0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426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426"/>
      <c r="AD83" s="426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426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43117</v>
      </c>
      <c r="V85" s="239">
        <v>48</v>
      </c>
      <c r="W85" s="240">
        <f t="shared" si="62"/>
        <v>-43069</v>
      </c>
      <c r="X85" s="241">
        <f>+J27+T27+AD27+J49+T49+AD49</f>
        <v>0</v>
      </c>
      <c r="Z85" s="246"/>
      <c r="AA85" s="246"/>
      <c r="AB85" s="426"/>
      <c r="AC85" s="426"/>
      <c r="AD85" s="426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+AE45+U45+K45+AO23+AE23+U23+K23</f>
        <v>48</v>
      </c>
      <c r="V86" s="239">
        <v>48</v>
      </c>
      <c r="W86" s="240">
        <f>+V86-U86</f>
        <v>0</v>
      </c>
      <c r="X86" s="241">
        <f>+J23+T23+AD23+J45+T45+AD45</f>
        <v>0</v>
      </c>
      <c r="Y86" s="248"/>
      <c r="Z86" s="426"/>
      <c r="AA86" s="426"/>
      <c r="AB86" s="426"/>
      <c r="AC86" s="426"/>
      <c r="AD86" s="426"/>
      <c r="AE86" s="386"/>
      <c r="AF86" s="386"/>
      <c r="AG86" s="391"/>
      <c r="AH86" s="391"/>
      <c r="AI86" s="386"/>
      <c r="AJ86" s="386"/>
      <c r="AK86" s="423"/>
      <c r="AL86" s="423"/>
      <c r="AM86" s="423"/>
      <c r="AN86" s="423"/>
      <c r="AO86" s="423"/>
      <c r="AP86" s="423"/>
      <c r="AQ86" s="423"/>
      <c r="AR86" s="423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426"/>
      <c r="AC87" s="426"/>
      <c r="AD87" s="426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426"/>
      <c r="AA88" s="426"/>
      <c r="AB88" s="426"/>
      <c r="AC88" s="426"/>
      <c r="AD88" s="42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426"/>
      <c r="AA89" s="426"/>
      <c r="AB89" s="426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426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423"/>
      <c r="AM102" s="391"/>
      <c r="AN102" s="423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423"/>
      <c r="AM120" s="391"/>
      <c r="AN120" s="423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423"/>
      <c r="AM140" s="391"/>
      <c r="AN140" s="423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424"/>
      <c r="E150" s="304"/>
      <c r="F150" s="305"/>
      <c r="G150" s="424"/>
      <c r="H150" s="424"/>
      <c r="I150" s="305"/>
      <c r="J150" s="424"/>
      <c r="K150" s="306"/>
      <c r="L150" s="306"/>
      <c r="M150" s="424"/>
      <c r="N150" s="424"/>
      <c r="O150" s="424"/>
      <c r="P150" s="424"/>
      <c r="Q150" s="424"/>
      <c r="R150" s="424"/>
      <c r="S150" s="424"/>
      <c r="T150" s="424"/>
      <c r="U150" s="424"/>
      <c r="V150" s="424"/>
      <c r="W150" s="424"/>
      <c r="X150" s="424"/>
      <c r="Y150" s="424"/>
      <c r="Z150" s="424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423"/>
      <c r="AM159" s="391"/>
      <c r="AN159" s="423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424"/>
      <c r="E168" s="304"/>
      <c r="F168" s="305"/>
      <c r="G168" s="424"/>
      <c r="H168" s="424"/>
      <c r="I168" s="305"/>
      <c r="J168" s="424"/>
      <c r="K168" s="306"/>
      <c r="L168" s="306"/>
      <c r="M168" s="424"/>
      <c r="N168" s="424"/>
      <c r="O168" s="424"/>
      <c r="P168" s="424"/>
      <c r="Q168" s="424"/>
      <c r="R168" s="424"/>
      <c r="S168" s="424"/>
      <c r="T168" s="424"/>
      <c r="U168" s="424"/>
      <c r="V168" s="424"/>
      <c r="W168" s="424"/>
      <c r="X168" s="424"/>
      <c r="Y168" s="424"/>
      <c r="Z168" s="424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69 AH62 AP62 AH33:AH50 AP33:AP50">
    <cfRule type="cellIs" dxfId="87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86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85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84" priority="19" stopIfTrue="1" operator="lessThanOrEqual">
      <formula>0</formula>
    </cfRule>
  </conditionalFormatting>
  <conditionalFormatting sqref="AM58:AM59 AC62 I62 AC58:AC60 S62:S68 S58:S60 I58:I60 S11:S27 I11:I26 AC11:AC27 AM11:AM27 I33:I50 S33:S55 AC33:AC50">
    <cfRule type="cellIs" dxfId="83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82" priority="17" stopIfTrue="1" operator="lessThanOrEqual">
      <formula>0</formula>
    </cfRule>
  </conditionalFormatting>
  <conditionalFormatting sqref="Z51:AA55 Z63:AA68 W76:X89">
    <cfRule type="cellIs" dxfId="81" priority="16" stopIfTrue="1" operator="lessThan">
      <formula>0</formula>
    </cfRule>
  </conditionalFormatting>
  <conditionalFormatting sqref="X51:X55 X63:X68 U76:U89">
    <cfRule type="cellIs" dxfId="80" priority="15" stopIfTrue="1" operator="greaterThan">
      <formula>48</formula>
    </cfRule>
  </conditionalFormatting>
  <conditionalFormatting sqref="C183:C187 C195:D198 C126:D126 D183:D194 C90:D109">
    <cfRule type="cellIs" dxfId="79" priority="14" stopIfTrue="1" operator="lessThan">
      <formula>$C$73</formula>
    </cfRule>
  </conditionalFormatting>
  <conditionalFormatting sqref="AI62:AO62 AI33:AO50">
    <cfRule type="cellIs" dxfId="78" priority="12" stopIfTrue="1" operator="equal">
      <formula>0</formula>
    </cfRule>
    <cfRule type="cellIs" dxfId="77" priority="13" stopIfTrue="1" operator="lessThan">
      <formula>0</formula>
    </cfRule>
  </conditionalFormatting>
  <conditionalFormatting sqref="AT62 AT33:AT47">
    <cfRule type="cellIs" dxfId="76" priority="10" stopIfTrue="1" operator="greaterThan">
      <formula>0</formula>
    </cfRule>
    <cfRule type="cellIs" dxfId="75" priority="11" stopIfTrue="1" operator="lessThan">
      <formula>1</formula>
    </cfRule>
  </conditionalFormatting>
  <conditionalFormatting sqref="K86:L86 K83:L83 K73:L81">
    <cfRule type="cellIs" dxfId="74" priority="9" stopIfTrue="1" operator="greaterThanOrEqual">
      <formula>$K$71</formula>
    </cfRule>
  </conditionalFormatting>
  <conditionalFormatting sqref="AF58:AF59 AF11:AF13 L12:L25 V12:V25 AF15:AF25 L34:L47 V34:V47 AF34:AF47">
    <cfRule type="cellIs" dxfId="73" priority="7" stopIfTrue="1" operator="equal">
      <formula>0</formula>
    </cfRule>
    <cfRule type="cellIs" dxfId="72" priority="8" stopIfTrue="1" operator="lessThan">
      <formula>0</formula>
    </cfRule>
  </conditionalFormatting>
  <conditionalFormatting sqref="V33">
    <cfRule type="cellIs" dxfId="71" priority="5" stopIfTrue="1" operator="equal">
      <formula>0</formula>
    </cfRule>
    <cfRule type="cellIs" dxfId="70" priority="6" stopIfTrue="1" operator="lessThan">
      <formula>0</formula>
    </cfRule>
  </conditionalFormatting>
  <conditionalFormatting sqref="L33">
    <cfRule type="cellIs" dxfId="69" priority="3" stopIfTrue="1" operator="equal">
      <formula>0</formula>
    </cfRule>
    <cfRule type="cellIs" dxfId="68" priority="4" stopIfTrue="1" operator="lessThan">
      <formula>0</formula>
    </cfRule>
  </conditionalFormatting>
  <conditionalFormatting sqref="AF14">
    <cfRule type="cellIs" dxfId="67" priority="1" stopIfTrue="1" operator="equal">
      <formula>0</formula>
    </cfRule>
    <cfRule type="cellIs" dxfId="66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BC22 AE37:BC47 AE34:AV34 AX34:BC34 AE35:AV35 AX35:BC35 AE36:AV36 AX36:BC36 AE24:BC33 AE23:AM23 AO23:BC23" formula="1"/>
  </ignoredErrors>
  <drawing r:id="rId3"/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N13" sqref="AN13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332" customWidth="1"/>
    <col min="5" max="5" width="4.28515625" style="3" customWidth="1"/>
    <col min="6" max="6" width="4.28515625" style="4" customWidth="1"/>
    <col min="7" max="8" width="4.28515625" style="332" customWidth="1"/>
    <col min="9" max="9" width="4.28515625" style="4" customWidth="1"/>
    <col min="10" max="10" width="4.28515625" style="332" customWidth="1"/>
    <col min="11" max="12" width="4.28515625" style="5" customWidth="1"/>
    <col min="13" max="26" width="4.28515625" style="332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+W27</f>
        <v>43110</v>
      </c>
      <c r="C1" s="332" t="s">
        <v>0</v>
      </c>
      <c r="AN1" s="7"/>
      <c r="AO1" s="7"/>
      <c r="AR1" s="1340">
        <f>+AR48+AT48</f>
        <v>68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43111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332">
        <v>0</v>
      </c>
    </row>
    <row r="5" spans="1:58" ht="10.9" customHeight="1">
      <c r="B5" s="1244" t="s">
        <v>1</v>
      </c>
      <c r="C5" s="1140">
        <v>43104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43105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43106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43107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43104</v>
      </c>
      <c r="AW7" s="1296">
        <f>+M5</f>
        <v>43105</v>
      </c>
      <c r="AX7" s="1296">
        <f>+W5</f>
        <v>43106</v>
      </c>
      <c r="AY7" s="1309">
        <f>+AG5</f>
        <v>43107</v>
      </c>
      <c r="AZ7" s="1296">
        <f>+C27</f>
        <v>43108</v>
      </c>
      <c r="BA7" s="1296">
        <f>+M27</f>
        <v>43109</v>
      </c>
      <c r="BB7" s="1296">
        <f>+W27</f>
        <v>43110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>
        <v>7</v>
      </c>
      <c r="D11" s="335">
        <v>15</v>
      </c>
      <c r="E11" s="16">
        <v>1</v>
      </c>
      <c r="F11" s="17">
        <f t="shared" ref="F11:F21" si="1">+D11-C11-E11</f>
        <v>7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8</v>
      </c>
      <c r="L11" s="20">
        <f t="shared" ref="L11:L25" si="4">IF(C11&gt;0,(F11+I11)+IF(K$5&gt;0,F11,-8),0)+IF(U$5&gt;0,I11,0)</f>
        <v>-1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8</v>
      </c>
      <c r="X11" s="337">
        <v>16</v>
      </c>
      <c r="Y11" s="23">
        <v>1</v>
      </c>
      <c r="Z11" s="17">
        <f t="shared" ref="Z11:Z21" si="9">+X11-W11-Y11</f>
        <v>7</v>
      </c>
      <c r="AA11" s="337"/>
      <c r="AB11" s="330"/>
      <c r="AC11" s="17">
        <f t="shared" ref="AC11:AC21" si="10">+AB11-AA11</f>
        <v>0</v>
      </c>
      <c r="AD11" s="16"/>
      <c r="AE11" s="19">
        <f t="shared" ref="AE11:AE21" si="11">+AC11+Z11-IF(AE$5&gt;0,AF11/2,AF11)</f>
        <v>9</v>
      </c>
      <c r="AF11" s="20">
        <f t="shared" ref="AF11:AF18" si="12">IF(W11&gt;0,IF(AE$5&gt;0,(Z11+AC11)*2,(Z11+AC11-8)),0)*IF(Z11&lt;9,IF(AE$5&gt;0,1,2),1)+IF(Z11&gt;8,AC11,0)</f>
        <v>-2</v>
      </c>
      <c r="AG11" s="337">
        <v>8</v>
      </c>
      <c r="AH11" s="337">
        <v>16</v>
      </c>
      <c r="AI11" s="23">
        <v>1</v>
      </c>
      <c r="AJ11" s="24">
        <f t="shared" ref="AJ11:AJ25" si="13">+AH11-AG11-AI11</f>
        <v>7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14</v>
      </c>
      <c r="AP11" s="1297">
        <f t="shared" ref="AP11:AP25" si="16">+L11+V11+AF11+AO11+L33+V33+AF33-AN11</f>
        <v>11</v>
      </c>
      <c r="AQ11" s="1298"/>
      <c r="AR11" s="1299">
        <f t="shared" ref="AR11:AR21" si="17">ROUND(BD11*AP11,1)</f>
        <v>50</v>
      </c>
      <c r="AS11" s="1300"/>
      <c r="AT11" s="338">
        <f t="shared" ref="AT11:AT19" si="18">IF(AT33&gt;0,AT33*$AT$10,0)</f>
        <v>28</v>
      </c>
      <c r="AV11" s="26">
        <f t="shared" ref="AV11:AV21" si="19">+L11</f>
        <v>-1</v>
      </c>
      <c r="AW11" s="26">
        <f t="shared" ref="AW11:AW21" si="20">+V11</f>
        <v>0</v>
      </c>
      <c r="AX11" s="26">
        <f t="shared" ref="AX11:AX21" si="21">+AF11</f>
        <v>-2</v>
      </c>
      <c r="AY11" s="27">
        <f t="shared" ref="AY11:AY21" si="22">+AO11</f>
        <v>14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50.010714285714279</v>
      </c>
      <c r="BF11" s="341">
        <f t="shared" ref="BF11:BF21" si="28">+BD11*AY11</f>
        <v>63.649999999999991</v>
      </c>
    </row>
    <row r="12" spans="1:58" ht="14.1" customHeight="1">
      <c r="A12" s="1">
        <v>2</v>
      </c>
      <c r="B12" s="29" t="str">
        <f t="shared" si="0"/>
        <v>Cesar Mendez M.</v>
      </c>
      <c r="C12" s="334"/>
      <c r="D12" s="342"/>
      <c r="E12" s="30"/>
      <c r="F12" s="31">
        <f t="shared" si="1"/>
        <v>0</v>
      </c>
      <c r="G12" s="342"/>
      <c r="H12" s="342"/>
      <c r="I12" s="31">
        <f t="shared" si="2"/>
        <v>0</v>
      </c>
      <c r="J12" s="30"/>
      <c r="K12" s="32">
        <f t="shared" si="3"/>
        <v>0</v>
      </c>
      <c r="L12" s="20">
        <f t="shared" si="4"/>
        <v>0</v>
      </c>
      <c r="M12" s="343"/>
      <c r="N12" s="342"/>
      <c r="O12" s="30"/>
      <c r="P12" s="31">
        <f t="shared" si="5"/>
        <v>0</v>
      </c>
      <c r="Q12" s="33"/>
      <c r="R12" s="34"/>
      <c r="S12" s="31">
        <f t="shared" si="6"/>
        <v>0</v>
      </c>
      <c r="T12" s="30"/>
      <c r="U12" s="32">
        <f t="shared" si="7"/>
        <v>0</v>
      </c>
      <c r="V12" s="20">
        <f t="shared" si="8"/>
        <v>0</v>
      </c>
      <c r="W12" s="342"/>
      <c r="X12" s="342"/>
      <c r="Y12" s="30"/>
      <c r="Z12" s="31">
        <f t="shared" si="9"/>
        <v>0</v>
      </c>
      <c r="AA12" s="344"/>
      <c r="AB12" s="35"/>
      <c r="AC12" s="36">
        <f t="shared" si="10"/>
        <v>0</v>
      </c>
      <c r="AD12" s="30"/>
      <c r="AE12" s="32">
        <f t="shared" si="11"/>
        <v>0</v>
      </c>
      <c r="AF12" s="20">
        <f t="shared" si="12"/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4"/>
        <v>0</v>
      </c>
      <c r="AN12" s="39"/>
      <c r="AO12" s="40">
        <f t="shared" si="15"/>
        <v>0</v>
      </c>
      <c r="AP12" s="1282">
        <f t="shared" si="16"/>
        <v>3</v>
      </c>
      <c r="AQ12" s="1283"/>
      <c r="AR12" s="1284">
        <f t="shared" si="17"/>
        <v>15.4</v>
      </c>
      <c r="AS12" s="1285"/>
      <c r="AT12" s="345">
        <f t="shared" si="18"/>
        <v>12</v>
      </c>
      <c r="AV12" s="26">
        <f t="shared" si="19"/>
        <v>0</v>
      </c>
      <c r="AW12" s="26">
        <f t="shared" si="20"/>
        <v>0</v>
      </c>
      <c r="AX12" s="26">
        <f t="shared" si="21"/>
        <v>0</v>
      </c>
      <c r="AY12" s="27">
        <f t="shared" si="22"/>
        <v>0</v>
      </c>
      <c r="AZ12" s="26">
        <f t="shared" si="23"/>
        <v>2</v>
      </c>
      <c r="BA12" s="26">
        <f t="shared" si="24"/>
        <v>1</v>
      </c>
      <c r="BB12" s="26">
        <f t="shared" si="25"/>
        <v>0</v>
      </c>
      <c r="BC12" s="28"/>
      <c r="BD12" s="339">
        <f t="shared" si="26"/>
        <v>5.1339285714285712</v>
      </c>
      <c r="BE12" s="340">
        <f t="shared" si="27"/>
        <v>15.401785714285714</v>
      </c>
      <c r="BF12" s="341">
        <f t="shared" si="28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343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f>8-5</f>
        <v>3</v>
      </c>
      <c r="AO13" s="40">
        <f t="shared" si="15"/>
        <v>0</v>
      </c>
      <c r="AP13" s="1282">
        <f t="shared" si="16"/>
        <v>0</v>
      </c>
      <c r="AQ13" s="1283"/>
      <c r="AR13" s="1284">
        <f t="shared" si="17"/>
        <v>0</v>
      </c>
      <c r="AS13" s="1285"/>
      <c r="AT13" s="345">
        <f t="shared" si="18"/>
        <v>20</v>
      </c>
      <c r="AV13" s="26">
        <f t="shared" si="19"/>
        <v>2</v>
      </c>
      <c r="AW13" s="26">
        <f t="shared" si="20"/>
        <v>0</v>
      </c>
      <c r="AX13" s="26">
        <f t="shared" si="21"/>
        <v>0</v>
      </c>
      <c r="AY13" s="27">
        <f t="shared" si="22"/>
        <v>0</v>
      </c>
      <c r="AZ13" s="26">
        <f t="shared" si="23"/>
        <v>0</v>
      </c>
      <c r="BA13" s="26">
        <f t="shared" si="24"/>
        <v>1</v>
      </c>
      <c r="BB13" s="26">
        <f t="shared" si="25"/>
        <v>0</v>
      </c>
      <c r="BC13" s="28"/>
      <c r="BD13" s="339">
        <f t="shared" si="26"/>
        <v>5.1339285714285712</v>
      </c>
      <c r="BE13" s="340">
        <f t="shared" si="27"/>
        <v>0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16</v>
      </c>
      <c r="E14" s="42">
        <v>1</v>
      </c>
      <c r="F14" s="44">
        <f t="shared" si="1"/>
        <v>8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0</v>
      </c>
      <c r="M14" s="347">
        <v>7</v>
      </c>
      <c r="N14" s="346">
        <v>16</v>
      </c>
      <c r="O14" s="42">
        <v>1</v>
      </c>
      <c r="P14" s="44">
        <f t="shared" si="5"/>
        <v>8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0</v>
      </c>
      <c r="W14" s="347">
        <v>7</v>
      </c>
      <c r="X14" s="346">
        <v>18</v>
      </c>
      <c r="Y14" s="42">
        <v>1</v>
      </c>
      <c r="Z14" s="44">
        <f t="shared" si="9"/>
        <v>10</v>
      </c>
      <c r="AA14" s="344"/>
      <c r="AB14" s="41"/>
      <c r="AC14" s="46">
        <f t="shared" si="10"/>
        <v>0</v>
      </c>
      <c r="AD14" s="42"/>
      <c r="AE14" s="45">
        <f t="shared" si="11"/>
        <v>8</v>
      </c>
      <c r="AF14" s="20">
        <f t="shared" si="12"/>
        <v>2</v>
      </c>
      <c r="AG14" s="37"/>
      <c r="AH14" s="342"/>
      <c r="AI14" s="30"/>
      <c r="AJ14" s="38">
        <f t="shared" si="13"/>
        <v>0</v>
      </c>
      <c r="AK14" s="342"/>
      <c r="AL14" s="342"/>
      <c r="AM14" s="31">
        <f t="shared" si="14"/>
        <v>0</v>
      </c>
      <c r="AN14" s="47"/>
      <c r="AO14" s="40">
        <f t="shared" si="15"/>
        <v>0</v>
      </c>
      <c r="AP14" s="1282">
        <f t="shared" si="16"/>
        <v>5</v>
      </c>
      <c r="AQ14" s="1283"/>
      <c r="AR14" s="1284">
        <f t="shared" si="17"/>
        <v>20.8</v>
      </c>
      <c r="AS14" s="1285"/>
      <c r="AT14" s="345">
        <f t="shared" si="18"/>
        <v>20</v>
      </c>
      <c r="AV14" s="26">
        <f t="shared" si="19"/>
        <v>0</v>
      </c>
      <c r="AW14" s="26">
        <f t="shared" si="20"/>
        <v>0</v>
      </c>
      <c r="AX14" s="26">
        <f t="shared" si="21"/>
        <v>2</v>
      </c>
      <c r="AY14" s="27">
        <f t="shared" si="22"/>
        <v>0</v>
      </c>
      <c r="AZ14" s="26">
        <f t="shared" si="23"/>
        <v>0</v>
      </c>
      <c r="BA14" s="26">
        <f t="shared" si="24"/>
        <v>2</v>
      </c>
      <c r="BB14" s="26">
        <f t="shared" si="25"/>
        <v>1</v>
      </c>
      <c r="BC14" s="28"/>
      <c r="BD14" s="339">
        <f t="shared" si="26"/>
        <v>4.1666785714285712</v>
      </c>
      <c r="BE14" s="340">
        <f t="shared" si="27"/>
        <v>20.833392857142854</v>
      </c>
      <c r="BF14" s="341">
        <f t="shared" si="28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18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343">
        <v>7</v>
      </c>
      <c r="N15" s="342">
        <v>16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>
        <v>0.5</v>
      </c>
      <c r="AC15" s="31">
        <f t="shared" si="10"/>
        <v>0.5</v>
      </c>
      <c r="AD15" s="30"/>
      <c r="AE15" s="32">
        <f t="shared" si="11"/>
        <v>8.5</v>
      </c>
      <c r="AF15" s="20">
        <f t="shared" si="12"/>
        <v>-1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/>
      <c r="AO15" s="40">
        <f t="shared" si="15"/>
        <v>0</v>
      </c>
      <c r="AP15" s="1294">
        <f t="shared" si="16"/>
        <v>5</v>
      </c>
      <c r="AQ15" s="1295"/>
      <c r="AR15" s="1284">
        <f t="shared" si="17"/>
        <v>25.7</v>
      </c>
      <c r="AS15" s="1285"/>
      <c r="AT15" s="345">
        <f t="shared" si="18"/>
        <v>24</v>
      </c>
      <c r="AV15" s="26">
        <f t="shared" si="19"/>
        <v>2</v>
      </c>
      <c r="AW15" s="26">
        <f t="shared" si="20"/>
        <v>0</v>
      </c>
      <c r="AX15" s="26">
        <f t="shared" si="21"/>
        <v>-1</v>
      </c>
      <c r="AY15" s="27">
        <f t="shared" si="22"/>
        <v>0</v>
      </c>
      <c r="AZ15" s="26">
        <f t="shared" si="23"/>
        <v>0</v>
      </c>
      <c r="BA15" s="26">
        <f t="shared" si="24"/>
        <v>2</v>
      </c>
      <c r="BB15" s="26">
        <f t="shared" si="25"/>
        <v>2</v>
      </c>
      <c r="BC15" s="28"/>
      <c r="BD15" s="339">
        <f t="shared" si="26"/>
        <v>5.1339285714285712</v>
      </c>
      <c r="BE15" s="349">
        <f t="shared" si="27"/>
        <v>25.669642857142854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-2</v>
      </c>
      <c r="AQ16" s="1283"/>
      <c r="AR16" s="1284">
        <f>ROUND(BD16*AP16,1)</f>
        <v>-10.3</v>
      </c>
      <c r="AS16" s="1285"/>
      <c r="AT16" s="345">
        <f t="shared" si="18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3"/>
        <v>0</v>
      </c>
      <c r="BA16" s="26">
        <f t="shared" si="24"/>
        <v>-1</v>
      </c>
      <c r="BB16" s="26">
        <f t="shared" si="25"/>
        <v>-1</v>
      </c>
      <c r="BC16" s="54"/>
      <c r="BD16" s="339">
        <f t="shared" si="26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 xml:space="preserve"> 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0</v>
      </c>
      <c r="AV19" s="26">
        <f t="shared" si="19"/>
        <v>0</v>
      </c>
      <c r="AW19" s="26">
        <f t="shared" si="20"/>
        <v>0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 xml:space="preserve">   .  -  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24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0</v>
      </c>
      <c r="BA20" s="69">
        <f>+V45</f>
        <v>0</v>
      </c>
      <c r="BB20" s="69">
        <f>+AF45</f>
        <v>-1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333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>
        <v>8</v>
      </c>
      <c r="D23" s="342">
        <v>18</v>
      </c>
      <c r="E23" s="30">
        <v>1</v>
      </c>
      <c r="F23" s="31">
        <f>+D23-C23-E23</f>
        <v>9</v>
      </c>
      <c r="G23" s="342"/>
      <c r="H23" s="342"/>
      <c r="I23" s="31">
        <f>+H23-G23</f>
        <v>0</v>
      </c>
      <c r="J23" s="30"/>
      <c r="K23" s="32">
        <f>+I23+F23-L23</f>
        <v>8</v>
      </c>
      <c r="L23" s="20">
        <f t="shared" si="4"/>
        <v>1</v>
      </c>
      <c r="M23" s="334"/>
      <c r="N23" s="342"/>
      <c r="O23" s="30"/>
      <c r="P23" s="31">
        <f>+N23-M23-O23</f>
        <v>0</v>
      </c>
      <c r="Q23" s="346"/>
      <c r="R23" s="346"/>
      <c r="S23" s="31">
        <f>+R23-Q23</f>
        <v>0</v>
      </c>
      <c r="T23" s="30"/>
      <c r="U23" s="32">
        <f>+S23+P23-V23</f>
        <v>0</v>
      </c>
      <c r="V23" s="20">
        <f>IF(M23&gt;0,(P23+S23)+IF(U$5&gt;0,P23,-8),0)+IF(AE$5&gt;0,S23,0)</f>
        <v>0</v>
      </c>
      <c r="W23" s="342">
        <v>8</v>
      </c>
      <c r="X23" s="342">
        <v>17</v>
      </c>
      <c r="Y23" s="30">
        <v>1</v>
      </c>
      <c r="Z23" s="44">
        <f>+X23-W23-Y23</f>
        <v>8</v>
      </c>
      <c r="AA23" s="346"/>
      <c r="AB23" s="344"/>
      <c r="AC23" s="31">
        <f>+AB23-AA23</f>
        <v>0</v>
      </c>
      <c r="AD23" s="30"/>
      <c r="AE23" s="32">
        <f>+AC23+Z23-IF(AE$5&gt;0,AF23/2,AF23)</f>
        <v>8</v>
      </c>
      <c r="AF23" s="20">
        <f t="shared" si="30"/>
        <v>0</v>
      </c>
      <c r="AG23" s="342">
        <v>8</v>
      </c>
      <c r="AH23" s="342">
        <v>16</v>
      </c>
      <c r="AI23" s="30">
        <v>1</v>
      </c>
      <c r="AJ23" s="38">
        <f t="shared" si="13"/>
        <v>7</v>
      </c>
      <c r="AK23" s="346"/>
      <c r="AL23" s="346"/>
      <c r="AM23" s="44">
        <f>+AL23-AK23</f>
        <v>0</v>
      </c>
      <c r="AN23" s="47">
        <v>6</v>
      </c>
      <c r="AO23" s="40">
        <f>(AJ23*2+AM23)</f>
        <v>14</v>
      </c>
      <c r="AP23" s="1282">
        <f t="shared" si="16"/>
        <v>8</v>
      </c>
      <c r="AQ23" s="1283"/>
      <c r="AR23" s="1284">
        <f>ROUND(BD23*AP23,1)</f>
        <v>28.3</v>
      </c>
      <c r="AS23" s="1285"/>
      <c r="AT23" s="345">
        <f>IF(AT45&gt;0,AT45*$AT$10,0)</f>
        <v>24</v>
      </c>
      <c r="AV23" s="69">
        <f>+L23</f>
        <v>1</v>
      </c>
      <c r="AW23" s="69">
        <f>+V23</f>
        <v>0</v>
      </c>
      <c r="AX23" s="69">
        <f>+AF23</f>
        <v>0</v>
      </c>
      <c r="AY23" s="70">
        <f>+AO23</f>
        <v>14</v>
      </c>
      <c r="AZ23" s="69">
        <f>+L45</f>
        <v>0</v>
      </c>
      <c r="BA23" s="69">
        <f>+V45</f>
        <v>0</v>
      </c>
      <c r="BB23" s="69">
        <f>+AF45</f>
        <v>-1</v>
      </c>
      <c r="BC23" s="54"/>
      <c r="BD23" s="339">
        <f t="shared" si="31"/>
        <v>3.5416625000000002</v>
      </c>
      <c r="BE23" s="351">
        <f>+BD23*AP23</f>
        <v>28.333300000000001</v>
      </c>
      <c r="BF23" s="352">
        <f>+BD23*AY23</f>
        <v>49.583275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129.98097857142858</v>
      </c>
      <c r="BF26" s="1242">
        <f>SUM(BF11:BF25)</f>
        <v>113.23327499999999</v>
      </c>
    </row>
    <row r="27" spans="1:58" ht="10.9" customHeight="1">
      <c r="B27" s="1244" t="s">
        <v>1</v>
      </c>
      <c r="C27" s="1140">
        <f>1+AG5</f>
        <v>43108</v>
      </c>
      <c r="D27" s="1140"/>
      <c r="E27" s="1140"/>
      <c r="F27" s="1140"/>
      <c r="G27" s="1140"/>
      <c r="H27" s="1140"/>
      <c r="I27" s="1140"/>
      <c r="J27" s="1140"/>
      <c r="K27" s="1247"/>
      <c r="L27" s="1248"/>
      <c r="M27" s="1147">
        <f>1+C27</f>
        <v>43109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43110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43104</v>
      </c>
      <c r="AJ27" s="1218">
        <f t="shared" ref="AJ27:AO27" si="32">1+AI27</f>
        <v>43105</v>
      </c>
      <c r="AK27" s="1218">
        <f t="shared" si="32"/>
        <v>43106</v>
      </c>
      <c r="AL27" s="1219">
        <f t="shared" si="32"/>
        <v>43107</v>
      </c>
      <c r="AM27" s="1219">
        <f t="shared" si="32"/>
        <v>43108</v>
      </c>
      <c r="AN27" s="1220">
        <f t="shared" si="32"/>
        <v>43109</v>
      </c>
      <c r="AO27" s="1220">
        <f t="shared" si="32"/>
        <v>43110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43107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142"/>
      <c r="D28" s="1142"/>
      <c r="E28" s="1142"/>
      <c r="F28" s="1142"/>
      <c r="G28" s="1142"/>
      <c r="H28" s="1142"/>
      <c r="I28" s="1142"/>
      <c r="J28" s="1142"/>
      <c r="K28" s="1249"/>
      <c r="L28" s="1250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38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10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1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>
        <v>7</v>
      </c>
      <c r="D33" s="342">
        <v>16</v>
      </c>
      <c r="E33" s="30">
        <v>1</v>
      </c>
      <c r="F33" s="31">
        <f t="shared" ref="F33:F47" si="34">+D33-C33-E33</f>
        <v>8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8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0</v>
      </c>
      <c r="AJ33" s="113">
        <f t="shared" ref="AJ33:AJ47" si="46">IF(ISBLANK($U$5),-8,0)+U11</f>
        <v>0</v>
      </c>
      <c r="AK33" s="113">
        <f>IF(ISBLANK($AE$5),-8,0)+AE11</f>
        <v>1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1</v>
      </c>
      <c r="AQ33" s="55"/>
      <c r="AR33" s="1159">
        <f t="shared" ref="AR33:AR39" si="52">+X73*Q73</f>
        <v>0</v>
      </c>
      <c r="AS33" s="1197"/>
      <c r="AT33" s="371">
        <f>IF(K11+L11&gt;0,1,0)+IF(U11+V11&gt;0,1,0)+IF(AE11+AF11&gt;0,1,0)+IF(AO11&gt;3,1,0)+IF(K33+L33&gt;0,1,0)+IF(U33+V33&gt;0,1,0)+IF(AE33+AF33&gt;0,1,0)</f>
        <v>7</v>
      </c>
      <c r="AU33" s="55"/>
      <c r="AV33" s="55"/>
      <c r="AW33" s="1134">
        <v>-14</v>
      </c>
      <c r="AX33" s="1135"/>
      <c r="BD33" s="115"/>
    </row>
    <row r="34" spans="1:56" ht="14.1" customHeight="1">
      <c r="B34" s="29" t="str">
        <f t="shared" si="33"/>
        <v>Cesar Mendez M.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3"/>
      <c r="H34" s="346"/>
      <c r="I34" s="31">
        <f t="shared" si="35"/>
        <v>0</v>
      </c>
      <c r="J34" s="30"/>
      <c r="K34" s="32">
        <f t="shared" si="36"/>
        <v>8</v>
      </c>
      <c r="L34" s="20">
        <f>IF(C34&gt;0,(F34+I34)+IF(K$27&gt;0,F34,-8),0)+IF(U$27&gt;0,I34,0)</f>
        <v>2</v>
      </c>
      <c r="M34" s="342">
        <v>7</v>
      </c>
      <c r="N34" s="342">
        <v>17</v>
      </c>
      <c r="O34" s="30">
        <v>1</v>
      </c>
      <c r="P34" s="31">
        <f t="shared" si="37"/>
        <v>9</v>
      </c>
      <c r="Q34" s="346"/>
      <c r="R34" s="346"/>
      <c r="S34" s="31">
        <f t="shared" si="38"/>
        <v>0</v>
      </c>
      <c r="T34" s="30"/>
      <c r="U34" s="32">
        <f t="shared" si="39"/>
        <v>8</v>
      </c>
      <c r="V34" s="20">
        <f t="shared" si="40"/>
        <v>1</v>
      </c>
      <c r="W34" s="334">
        <v>7</v>
      </c>
      <c r="X34" s="342">
        <v>16</v>
      </c>
      <c r="Y34" s="30">
        <v>1</v>
      </c>
      <c r="Z34" s="31">
        <f t="shared" si="41"/>
        <v>8</v>
      </c>
      <c r="AA34" s="342"/>
      <c r="AB34" s="116"/>
      <c r="AC34" s="31">
        <f t="shared" si="42"/>
        <v>0</v>
      </c>
      <c r="AD34" s="30"/>
      <c r="AE34" s="32">
        <f t="shared" si="43"/>
        <v>8</v>
      </c>
      <c r="AF34" s="20">
        <f t="shared" si="44"/>
        <v>0</v>
      </c>
      <c r="AG34" s="55"/>
      <c r="AH34" s="112">
        <v>0</v>
      </c>
      <c r="AI34" s="113">
        <f t="shared" si="45"/>
        <v>-8</v>
      </c>
      <c r="AJ34" s="113">
        <f t="shared" si="46"/>
        <v>-8</v>
      </c>
      <c r="AK34" s="113">
        <f>IF(ISBLANK($AE$5),-8,0)+AE12</f>
        <v>-8</v>
      </c>
      <c r="AL34" s="113">
        <f t="shared" si="47"/>
        <v>0</v>
      </c>
      <c r="AM34" s="113">
        <f t="shared" si="48"/>
        <v>0</v>
      </c>
      <c r="AN34" s="113">
        <f t="shared" si="49"/>
        <v>0</v>
      </c>
      <c r="AO34" s="113">
        <f t="shared" si="50"/>
        <v>0</v>
      </c>
      <c r="AP34" s="114">
        <f t="shared" si="51"/>
        <v>-24</v>
      </c>
      <c r="AQ34" s="55"/>
      <c r="AR34" s="1159">
        <f t="shared" si="52"/>
        <v>0</v>
      </c>
      <c r="AS34" s="1160"/>
      <c r="AT34" s="117">
        <f t="shared" ref="AT34:AT43" si="53">IF(K12+L12&gt;0,1,0)+IF(U12+V12&gt;0,1,0)+IF(AE12+AF12&gt;0,1,0)+IF(AO12&gt;3,1,0)+IF(K34+L34&gt;0,1,0)+IF(U34+V34&gt;0,1,0)+IF(AE34+AF34&gt;0,1,0)</f>
        <v>3</v>
      </c>
      <c r="AU34" s="55"/>
      <c r="AV34" s="55"/>
      <c r="AW34" s="1134"/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8</v>
      </c>
      <c r="L35" s="20">
        <f t="shared" ref="L35:L47" si="54">IF(C35&gt;0,(F35+I35)+IF(K$27&gt;0,F35,-8),0)+IF(U$27&gt;0,I35,0)</f>
        <v>0</v>
      </c>
      <c r="M35" s="334">
        <v>7</v>
      </c>
      <c r="N35" s="342">
        <v>17</v>
      </c>
      <c r="O35" s="30">
        <v>1</v>
      </c>
      <c r="P35" s="31">
        <f t="shared" si="37"/>
        <v>9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1</v>
      </c>
      <c r="W35" s="334"/>
      <c r="X35" s="342"/>
      <c r="Y35" s="30"/>
      <c r="Z35" s="31">
        <f t="shared" si="41"/>
        <v>0</v>
      </c>
      <c r="AA35" s="342"/>
      <c r="AB35" s="116"/>
      <c r="AC35" s="31">
        <f t="shared" si="42"/>
        <v>0</v>
      </c>
      <c r="AD35" s="30"/>
      <c r="AE35" s="32">
        <f t="shared" si="43"/>
        <v>0</v>
      </c>
      <c r="AF35" s="20">
        <f t="shared" si="44"/>
        <v>0</v>
      </c>
      <c r="AG35" s="55"/>
      <c r="AH35" s="112">
        <v>0</v>
      </c>
      <c r="AI35" s="113">
        <f t="shared" si="45"/>
        <v>0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0</v>
      </c>
      <c r="AN35" s="113">
        <f t="shared" si="49"/>
        <v>0</v>
      </c>
      <c r="AO35" s="113">
        <f t="shared" si="50"/>
        <v>-8</v>
      </c>
      <c r="AP35" s="114">
        <f t="shared" si="51"/>
        <v>-8</v>
      </c>
      <c r="AQ35" s="55"/>
      <c r="AR35" s="1159">
        <f t="shared" si="52"/>
        <v>0</v>
      </c>
      <c r="AS35" s="1160"/>
      <c r="AT35" s="118">
        <f t="shared" si="53"/>
        <v>5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/>
      <c r="D36" s="348"/>
      <c r="E36" s="119"/>
      <c r="F36" s="120">
        <f t="shared" si="34"/>
        <v>0</v>
      </c>
      <c r="G36" s="346"/>
      <c r="H36" s="346"/>
      <c r="I36" s="120">
        <f t="shared" si="35"/>
        <v>0</v>
      </c>
      <c r="J36" s="119"/>
      <c r="K36" s="121">
        <f t="shared" si="36"/>
        <v>0</v>
      </c>
      <c r="L36" s="20">
        <f t="shared" si="54"/>
        <v>0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2</v>
      </c>
      <c r="W36" s="334">
        <v>7</v>
      </c>
      <c r="X36" s="342">
        <v>17</v>
      </c>
      <c r="Y36" s="30">
        <v>1</v>
      </c>
      <c r="Z36" s="31">
        <f t="shared" si="41"/>
        <v>9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1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-8</v>
      </c>
      <c r="AN36" s="113">
        <f t="shared" si="49"/>
        <v>0</v>
      </c>
      <c r="AO36" s="113">
        <f t="shared" si="50"/>
        <v>0</v>
      </c>
      <c r="AP36" s="114">
        <f t="shared" si="51"/>
        <v>-8</v>
      </c>
      <c r="AQ36" s="55"/>
      <c r="AR36" s="1159">
        <f t="shared" si="52"/>
        <v>0</v>
      </c>
      <c r="AS36" s="1160"/>
      <c r="AT36" s="118">
        <f t="shared" si="53"/>
        <v>5</v>
      </c>
      <c r="AU36" s="55"/>
      <c r="AV36" s="55"/>
      <c r="AW36" s="1195"/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>
        <v>7</v>
      </c>
      <c r="D37" s="342">
        <v>16</v>
      </c>
      <c r="E37" s="30">
        <v>1</v>
      </c>
      <c r="F37" s="31">
        <f t="shared" si="34"/>
        <v>8</v>
      </c>
      <c r="G37" s="33"/>
      <c r="H37" s="47"/>
      <c r="I37" s="31">
        <f t="shared" si="35"/>
        <v>0</v>
      </c>
      <c r="J37" s="30"/>
      <c r="K37" s="32">
        <f t="shared" si="36"/>
        <v>8</v>
      </c>
      <c r="L37" s="20">
        <f t="shared" si="54"/>
        <v>0</v>
      </c>
      <c r="M37" s="342">
        <v>7</v>
      </c>
      <c r="N37" s="342">
        <v>18</v>
      </c>
      <c r="O37" s="30">
        <v>1</v>
      </c>
      <c r="P37" s="31">
        <f t="shared" si="37"/>
        <v>10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2</v>
      </c>
      <c r="W37" s="334">
        <v>7</v>
      </c>
      <c r="X37" s="342">
        <v>18</v>
      </c>
      <c r="Y37" s="30">
        <v>1</v>
      </c>
      <c r="Z37" s="31">
        <f t="shared" si="41"/>
        <v>10</v>
      </c>
      <c r="AA37" s="342"/>
      <c r="AB37" s="342"/>
      <c r="AC37" s="31">
        <f t="shared" si="42"/>
        <v>0</v>
      </c>
      <c r="AD37" s="30"/>
      <c r="AE37" s="32">
        <f t="shared" si="43"/>
        <v>8</v>
      </c>
      <c r="AF37" s="20">
        <f t="shared" si="44"/>
        <v>2</v>
      </c>
      <c r="AG37" s="55"/>
      <c r="AH37" s="112">
        <v>0</v>
      </c>
      <c r="AI37" s="113">
        <f t="shared" si="45"/>
        <v>0</v>
      </c>
      <c r="AJ37" s="113">
        <f t="shared" si="46"/>
        <v>0</v>
      </c>
      <c r="AK37" s="113">
        <f>IF(ISBLANK($AE$5),-8,0)+AE15</f>
        <v>0.5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0</v>
      </c>
      <c r="AP37" s="114">
        <f t="shared" si="51"/>
        <v>0.5</v>
      </c>
      <c r="AQ37" s="55"/>
      <c r="AR37" s="1159">
        <f t="shared" si="52"/>
        <v>0</v>
      </c>
      <c r="AS37" s="1160"/>
      <c r="AT37" s="118">
        <f t="shared" si="53"/>
        <v>6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>
        <v>7</v>
      </c>
      <c r="D38" s="342">
        <v>16</v>
      </c>
      <c r="E38" s="30">
        <v>1</v>
      </c>
      <c r="F38" s="31">
        <f>+D38-C38-E38</f>
        <v>8</v>
      </c>
      <c r="G38" s="33"/>
      <c r="H38" s="346"/>
      <c r="I38" s="31">
        <f>+H38-G38</f>
        <v>0</v>
      </c>
      <c r="J38" s="30"/>
      <c r="K38" s="32">
        <f>+I38+F38-L38</f>
        <v>8</v>
      </c>
      <c r="L38" s="20">
        <f t="shared" si="54"/>
        <v>0</v>
      </c>
      <c r="M38" s="342">
        <v>8</v>
      </c>
      <c r="N38" s="342">
        <v>16</v>
      </c>
      <c r="O38" s="30">
        <v>1</v>
      </c>
      <c r="P38" s="31">
        <f>+N38-M38-O38</f>
        <v>7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-1</v>
      </c>
      <c r="W38" s="334">
        <v>8</v>
      </c>
      <c r="X38" s="342">
        <v>16</v>
      </c>
      <c r="Y38" s="30">
        <v>1</v>
      </c>
      <c r="Z38" s="31">
        <f>+X38-W38-Y38</f>
        <v>7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-1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0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0</v>
      </c>
      <c r="AQ38" s="55"/>
      <c r="AR38" s="1159">
        <f t="shared" si="52"/>
        <v>0</v>
      </c>
      <c r="AS38" s="1160"/>
      <c r="AT38" s="118">
        <f t="shared" si="53"/>
        <v>6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-8</v>
      </c>
      <c r="AN39" s="113">
        <f t="shared" si="49"/>
        <v>-8</v>
      </c>
      <c r="AO39" s="113">
        <f t="shared" si="50"/>
        <v>-8</v>
      </c>
      <c r="AP39" s="114">
        <f t="shared" si="51"/>
        <v>-48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-8</v>
      </c>
      <c r="AN40" s="125">
        <f t="shared" si="49"/>
        <v>-8</v>
      </c>
      <c r="AO40" s="125">
        <f t="shared" si="50"/>
        <v>-8</v>
      </c>
      <c r="AP40" s="114">
        <f t="shared" si="51"/>
        <v>-48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 xml:space="preserve">   .  -  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-8</v>
      </c>
      <c r="AJ41" s="113">
        <f t="shared" si="46"/>
        <v>-8</v>
      </c>
      <c r="AK41" s="128">
        <f t="shared" si="55"/>
        <v>-8</v>
      </c>
      <c r="AL41" s="113">
        <f t="shared" si="47"/>
        <v>0</v>
      </c>
      <c r="AM41" s="113">
        <f t="shared" si="48"/>
        <v>-8</v>
      </c>
      <c r="AN41" s="113">
        <f t="shared" si="49"/>
        <v>-8</v>
      </c>
      <c r="AO41" s="113">
        <f t="shared" si="50"/>
        <v>-8</v>
      </c>
      <c r="AP41" s="114">
        <f t="shared" si="51"/>
        <v>-48</v>
      </c>
      <c r="AQ41" s="55"/>
      <c r="AR41" s="1159">
        <f>+X80*Q80</f>
        <v>0</v>
      </c>
      <c r="AS41" s="1160"/>
      <c r="AT41" s="118">
        <f t="shared" si="53"/>
        <v>0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 xml:space="preserve">   .  -  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-8</v>
      </c>
      <c r="AN42" s="113">
        <f t="shared" si="49"/>
        <v>-8</v>
      </c>
      <c r="AO42" s="113">
        <f t="shared" si="50"/>
        <v>-8</v>
      </c>
      <c r="AP42" s="114">
        <f t="shared" si="51"/>
        <v>-48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-8</v>
      </c>
      <c r="AN43" s="113">
        <f t="shared" si="49"/>
        <v>-8</v>
      </c>
      <c r="AO43" s="113">
        <f t="shared" si="50"/>
        <v>-8</v>
      </c>
      <c r="AP43" s="114">
        <f t="shared" si="51"/>
        <v>-48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-8</v>
      </c>
      <c r="AN44" s="136">
        <f t="shared" si="49"/>
        <v>-8</v>
      </c>
      <c r="AO44" s="136">
        <f t="shared" si="50"/>
        <v>-8</v>
      </c>
      <c r="AP44" s="137">
        <f t="shared" si="51"/>
        <v>-48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>
        <v>7</v>
      </c>
      <c r="D45" s="348">
        <v>16</v>
      </c>
      <c r="E45" s="119">
        <v>1</v>
      </c>
      <c r="F45" s="120">
        <f t="shared" si="34"/>
        <v>8</v>
      </c>
      <c r="G45" s="141"/>
      <c r="H45" s="348"/>
      <c r="I45" s="120">
        <f t="shared" si="35"/>
        <v>0</v>
      </c>
      <c r="J45" s="119"/>
      <c r="K45" s="121">
        <f t="shared" si="36"/>
        <v>8</v>
      </c>
      <c r="L45" s="142">
        <f t="shared" si="54"/>
        <v>0</v>
      </c>
      <c r="M45" s="342">
        <v>7</v>
      </c>
      <c r="N45" s="342">
        <v>16</v>
      </c>
      <c r="O45" s="30">
        <v>1</v>
      </c>
      <c r="P45" s="31">
        <f t="shared" si="37"/>
        <v>8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0</v>
      </c>
      <c r="W45" s="334">
        <v>8</v>
      </c>
      <c r="X45" s="342">
        <v>16</v>
      </c>
      <c r="Y45" s="30">
        <v>1</v>
      </c>
      <c r="Z45" s="31">
        <f t="shared" si="41"/>
        <v>7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-1</v>
      </c>
      <c r="AG45" s="55"/>
      <c r="AH45" s="143">
        <v>0</v>
      </c>
      <c r="AI45" s="144">
        <f t="shared" si="45"/>
        <v>0</v>
      </c>
      <c r="AJ45" s="144">
        <f t="shared" si="46"/>
        <v>-8</v>
      </c>
      <c r="AK45" s="144">
        <f t="shared" si="55"/>
        <v>0</v>
      </c>
      <c r="AL45" s="144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-8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6</v>
      </c>
      <c r="AU45" s="55"/>
      <c r="AV45" s="55"/>
      <c r="AW45" s="1134">
        <v>-14</v>
      </c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-8</v>
      </c>
      <c r="AN46" s="113">
        <f t="shared" si="49"/>
        <v>-8</v>
      </c>
      <c r="AO46" s="113">
        <f t="shared" si="50"/>
        <v>-8</v>
      </c>
      <c r="AP46" s="114">
        <f t="shared" si="51"/>
        <v>-48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-8</v>
      </c>
      <c r="AN47" s="113">
        <f t="shared" si="49"/>
        <v>-8</v>
      </c>
      <c r="AO47" s="113">
        <f t="shared" si="50"/>
        <v>-8</v>
      </c>
      <c r="AP47" s="114">
        <f t="shared" si="51"/>
        <v>-48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30</v>
      </c>
      <c r="AS48" s="1162"/>
      <c r="AT48" s="167">
        <f>SUM(AT33:AT47)</f>
        <v>38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28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43104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43105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43106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43107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8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43108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43109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43110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2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-134.5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332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332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332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332"/>
      <c r="AB70" s="332"/>
      <c r="AC70" s="332"/>
      <c r="AD70" s="332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332"/>
      <c r="AB71" s="332"/>
      <c r="AC71" s="332"/>
      <c r="AD71" s="332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332"/>
      <c r="AB72" s="332"/>
      <c r="AC72" s="332"/>
      <c r="AD72" s="332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63</v>
      </c>
      <c r="V73" s="239">
        <v>48</v>
      </c>
      <c r="W73" s="240">
        <f t="shared" ref="W73:W88" si="62">+V73-U73</f>
        <v>-15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24</v>
      </c>
      <c r="V74" s="239">
        <v>48</v>
      </c>
      <c r="W74" s="240">
        <f t="shared" si="62"/>
        <v>24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40</v>
      </c>
      <c r="V75" s="239">
        <v>48</v>
      </c>
      <c r="W75" s="240">
        <f t="shared" si="62"/>
        <v>8</v>
      </c>
      <c r="X75" s="241">
        <f t="shared" si="63"/>
        <v>0</v>
      </c>
      <c r="Z75" s="389"/>
      <c r="AA75" s="390"/>
      <c r="AB75" s="390"/>
      <c r="AC75" s="390"/>
      <c r="AD75" s="390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40</v>
      </c>
      <c r="V76" s="239">
        <v>48</v>
      </c>
      <c r="W76" s="240">
        <f t="shared" si="62"/>
        <v>8</v>
      </c>
      <c r="X76" s="241">
        <f t="shared" si="63"/>
        <v>0</v>
      </c>
      <c r="Z76" s="1045" t="s">
        <v>53</v>
      </c>
      <c r="AA76" s="1045"/>
      <c r="AB76" s="1045"/>
      <c r="AC76" s="1045"/>
      <c r="AD76" s="389" t="s">
        <v>54</v>
      </c>
      <c r="AE76" s="390"/>
      <c r="AF76" s="386"/>
      <c r="AG76" s="391"/>
      <c r="AH76" s="391"/>
      <c r="AI76" s="386"/>
      <c r="AJ76" s="386"/>
      <c r="AK76" s="392"/>
      <c r="AL76" s="392"/>
      <c r="AM76" s="392"/>
      <c r="AN76" s="392"/>
      <c r="AO76" s="392"/>
      <c r="AP76" s="392"/>
      <c r="AQ76" s="392"/>
      <c r="AR76" s="392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48.5</v>
      </c>
      <c r="V77" s="239">
        <v>48</v>
      </c>
      <c r="W77" s="240">
        <f t="shared" si="62"/>
        <v>-0.5</v>
      </c>
      <c r="X77" s="241">
        <f t="shared" si="63"/>
        <v>0</v>
      </c>
      <c r="Z77" s="390"/>
      <c r="AA77" s="390"/>
      <c r="AB77" s="390"/>
      <c r="AC77" s="390"/>
      <c r="AD77" s="390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45</v>
      </c>
      <c r="V78" s="239">
        <v>48</v>
      </c>
      <c r="W78" s="240">
        <f>+V78-U78</f>
        <v>3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390"/>
      <c r="AA79" s="390"/>
      <c r="AB79" s="390"/>
      <c r="AC79" s="390"/>
      <c r="AD79" s="390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58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332"/>
      <c r="T80" s="332"/>
      <c r="U80" s="238">
        <f>+AE41+U41+K41+AO19+AE19+U19+K19</f>
        <v>0</v>
      </c>
      <c r="V80" s="239">
        <v>48</v>
      </c>
      <c r="W80" s="240">
        <f t="shared" si="62"/>
        <v>48</v>
      </c>
      <c r="X80" s="241">
        <f>+J19+T19+AD19+J41+T41+AD41</f>
        <v>0</v>
      </c>
      <c r="Y80" s="332"/>
      <c r="Z80" s="390"/>
      <c r="AA80" s="390"/>
      <c r="AB80" s="390"/>
      <c r="AC80" s="390"/>
      <c r="AD80" s="390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5" t="s">
        <v>58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390"/>
      <c r="AC81" s="390"/>
      <c r="AD81" s="390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54</v>
      </c>
      <c r="V82" s="239">
        <v>48</v>
      </c>
      <c r="W82" s="240">
        <f>+V82-U82</f>
        <v>-6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390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390"/>
      <c r="AD83" s="390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390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>
        <f>+AE49+U49+K49+AO27+AE27+U27+K27</f>
        <v>43110</v>
      </c>
      <c r="V85" s="239">
        <v>48</v>
      </c>
      <c r="W85" s="240">
        <f t="shared" si="62"/>
        <v>-43062</v>
      </c>
      <c r="X85" s="241">
        <f>+J27+T27+AD27+J49+T49+AD49</f>
        <v>0</v>
      </c>
      <c r="Z85" s="246"/>
      <c r="AA85" s="246"/>
      <c r="AB85" s="390"/>
      <c r="AC85" s="390"/>
      <c r="AD85" s="390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+AE45+U45+K45+AO23+AE23+U23+K23</f>
        <v>54</v>
      </c>
      <c r="V86" s="239">
        <v>48</v>
      </c>
      <c r="W86" s="240">
        <f>+V86-U86</f>
        <v>-6</v>
      </c>
      <c r="X86" s="241">
        <f>+J23+T23+AD23+J45+T45+AD45</f>
        <v>0</v>
      </c>
      <c r="Y86" s="248"/>
      <c r="Z86" s="390"/>
      <c r="AA86" s="390"/>
      <c r="AB86" s="390"/>
      <c r="AC86" s="390"/>
      <c r="AD86" s="390"/>
      <c r="AE86" s="386"/>
      <c r="AF86" s="386"/>
      <c r="AG86" s="391"/>
      <c r="AH86" s="391"/>
      <c r="AI86" s="386"/>
      <c r="AJ86" s="386"/>
      <c r="AK86" s="392"/>
      <c r="AL86" s="392"/>
      <c r="AM86" s="392"/>
      <c r="AN86" s="392"/>
      <c r="AO86" s="392"/>
      <c r="AP86" s="392"/>
      <c r="AQ86" s="392"/>
      <c r="AR86" s="392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390"/>
      <c r="AC87" s="390"/>
      <c r="AD87" s="390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390"/>
      <c r="AA88" s="390"/>
      <c r="AB88" s="390"/>
      <c r="AC88" s="390"/>
      <c r="AD88" s="390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390"/>
      <c r="AA89" s="390"/>
      <c r="AB89" s="390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390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392"/>
      <c r="AM102" s="391"/>
      <c r="AN102" s="392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392"/>
      <c r="AM120" s="391"/>
      <c r="AN120" s="392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392"/>
      <c r="AM140" s="391"/>
      <c r="AN140" s="392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331"/>
      <c r="E150" s="304"/>
      <c r="F150" s="305"/>
      <c r="G150" s="331"/>
      <c r="H150" s="331"/>
      <c r="I150" s="305"/>
      <c r="J150" s="331"/>
      <c r="K150" s="306"/>
      <c r="L150" s="306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392"/>
      <c r="AM159" s="391"/>
      <c r="AN159" s="392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331"/>
      <c r="E168" s="304"/>
      <c r="F168" s="305"/>
      <c r="G168" s="331"/>
      <c r="H168" s="331"/>
      <c r="I168" s="305"/>
      <c r="J168" s="331"/>
      <c r="K168" s="306"/>
      <c r="L168" s="306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</mergeCells>
  <conditionalFormatting sqref="AP69 AH62 AP62 AH33:AH50 AP33:AP50">
    <cfRule type="cellIs" dxfId="65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64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63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62" priority="19" stopIfTrue="1" operator="lessThanOrEqual">
      <formula>0</formula>
    </cfRule>
  </conditionalFormatting>
  <conditionalFormatting sqref="AM58:AM59 AC62 I62 AC58:AC60 S62:S68 S58:S60 I58:I60 S11:S27 I11:I26 AC11:AC27 AM11:AM27 I33:I50 S33:S55 AC33:AC50">
    <cfRule type="cellIs" dxfId="61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60" priority="17" stopIfTrue="1" operator="lessThanOrEqual">
      <formula>0</formula>
    </cfRule>
  </conditionalFormatting>
  <conditionalFormatting sqref="Z51:AA55 Z63:AA68 W76:X89">
    <cfRule type="cellIs" dxfId="59" priority="16" stopIfTrue="1" operator="lessThan">
      <formula>0</formula>
    </cfRule>
  </conditionalFormatting>
  <conditionalFormatting sqref="X51:X55 X63:X68 U76:U89">
    <cfRule type="cellIs" dxfId="58" priority="15" stopIfTrue="1" operator="greaterThan">
      <formula>48</formula>
    </cfRule>
  </conditionalFormatting>
  <conditionalFormatting sqref="C183:C187 C195:D198 C126:D126 D183:D194 C90:D109">
    <cfRule type="cellIs" dxfId="57" priority="14" stopIfTrue="1" operator="lessThan">
      <formula>$C$73</formula>
    </cfRule>
  </conditionalFormatting>
  <conditionalFormatting sqref="AI62:AO62 AI33:AO50">
    <cfRule type="cellIs" dxfId="56" priority="12" stopIfTrue="1" operator="equal">
      <formula>0</formula>
    </cfRule>
    <cfRule type="cellIs" dxfId="55" priority="13" stopIfTrue="1" operator="lessThan">
      <formula>0</formula>
    </cfRule>
  </conditionalFormatting>
  <conditionalFormatting sqref="AT62 AT33:AT47">
    <cfRule type="cellIs" dxfId="54" priority="10" stopIfTrue="1" operator="greaterThan">
      <formula>0</formula>
    </cfRule>
    <cfRule type="cellIs" dxfId="53" priority="11" stopIfTrue="1" operator="lessThan">
      <formula>1</formula>
    </cfRule>
  </conditionalFormatting>
  <conditionalFormatting sqref="K86:L86 K83:L83 K73:L81">
    <cfRule type="cellIs" dxfId="52" priority="9" stopIfTrue="1" operator="greaterThanOrEqual">
      <formula>$K$71</formula>
    </cfRule>
  </conditionalFormatting>
  <conditionalFormatting sqref="AF58:AF59 AF11:AF13 L12:L25 V12:V25 AF15:AF25 L34:L47 V34:V47 AF34:AF47">
    <cfRule type="cellIs" dxfId="51" priority="7" stopIfTrue="1" operator="equal">
      <formula>0</formula>
    </cfRule>
    <cfRule type="cellIs" dxfId="50" priority="8" stopIfTrue="1" operator="lessThan">
      <formula>0</formula>
    </cfRule>
  </conditionalFormatting>
  <conditionalFormatting sqref="V33">
    <cfRule type="cellIs" dxfId="49" priority="5" stopIfTrue="1" operator="equal">
      <formula>0</formula>
    </cfRule>
    <cfRule type="cellIs" dxfId="48" priority="6" stopIfTrue="1" operator="lessThan">
      <formula>0</formula>
    </cfRule>
  </conditionalFormatting>
  <conditionalFormatting sqref="L33">
    <cfRule type="cellIs" dxfId="47" priority="3" stopIfTrue="1" operator="equal">
      <formula>0</formula>
    </cfRule>
    <cfRule type="cellIs" dxfId="46" priority="4" stopIfTrue="1" operator="lessThan">
      <formula>0</formula>
    </cfRule>
  </conditionalFormatting>
  <conditionalFormatting sqref="AF14">
    <cfRule type="cellIs" dxfId="45" priority="1" stopIfTrue="1" operator="equal">
      <formula>0</formula>
    </cfRule>
    <cfRule type="cellIs" dxfId="44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BC22 AE24:BC32 AE23:AF23 AJ23:AM23 AE34:BC44 AE33:AV33 AX33:BC33 AO23:BC23" formula="1"/>
  </ignoredErrors>
  <drawing r:id="rId3"/>
  <legacyDrawing r:id="rId4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185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B2" sqref="B2"/>
    </sheetView>
  </sheetViews>
  <sheetFormatPr baseColWidth="10" defaultRowHeight="15"/>
  <cols>
    <col min="1" max="1" width="2.28515625" style="1" customWidth="1"/>
    <col min="2" max="2" width="14.7109375" style="6" customWidth="1"/>
    <col min="3" max="4" width="4.28515625" style="332" customWidth="1"/>
    <col min="5" max="5" width="4.28515625" style="3" customWidth="1"/>
    <col min="6" max="6" width="4.28515625" style="4" customWidth="1"/>
    <col min="7" max="8" width="4.28515625" style="332" customWidth="1"/>
    <col min="9" max="9" width="4.28515625" style="4" customWidth="1"/>
    <col min="10" max="10" width="4.28515625" style="332" customWidth="1"/>
    <col min="11" max="12" width="4.28515625" style="5" customWidth="1"/>
    <col min="13" max="26" width="4.28515625" style="332" customWidth="1"/>
    <col min="27" max="39" width="4.28515625" style="6" customWidth="1"/>
    <col min="40" max="40" width="4.7109375" style="6" customWidth="1"/>
    <col min="41" max="41" width="4.28515625" style="6" customWidth="1"/>
    <col min="42" max="42" width="5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+C5</f>
        <v>43097</v>
      </c>
      <c r="C1" s="332" t="s">
        <v>0</v>
      </c>
      <c r="AN1" s="7"/>
      <c r="AO1" s="7"/>
      <c r="AR1" s="1340">
        <f>+AR48+AT48</f>
        <v>86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43098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332">
        <v>0</v>
      </c>
    </row>
    <row r="5" spans="1:58" ht="10.9" customHeight="1">
      <c r="B5" s="1244" t="s">
        <v>1</v>
      </c>
      <c r="C5" s="1140">
        <v>43097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43098</v>
      </c>
      <c r="N5" s="1351"/>
      <c r="O5" s="1351"/>
      <c r="P5" s="1351"/>
      <c r="Q5" s="1351"/>
      <c r="R5" s="1351"/>
      <c r="S5" s="1351"/>
      <c r="T5" s="1351"/>
      <c r="U5" s="1355"/>
      <c r="V5" s="1356"/>
      <c r="W5" s="1353">
        <f>1+M5</f>
        <v>43099</v>
      </c>
      <c r="X5" s="1351"/>
      <c r="Y5" s="1351"/>
      <c r="Z5" s="1351"/>
      <c r="AA5" s="1351"/>
      <c r="AB5" s="1351"/>
      <c r="AC5" s="1351"/>
      <c r="AD5" s="1351"/>
      <c r="AE5" s="1377"/>
      <c r="AF5" s="1378"/>
      <c r="AG5" s="1359">
        <f>1+W5</f>
        <v>43100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57"/>
      <c r="V6" s="1358"/>
      <c r="W6" s="1354"/>
      <c r="X6" s="1352"/>
      <c r="Y6" s="1352"/>
      <c r="Z6" s="1352"/>
      <c r="AA6" s="1352"/>
      <c r="AB6" s="1352"/>
      <c r="AC6" s="1352"/>
      <c r="AD6" s="1352"/>
      <c r="AE6" s="1379"/>
      <c r="AF6" s="1380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43097</v>
      </c>
      <c r="AW7" s="1296">
        <f>+M5</f>
        <v>43098</v>
      </c>
      <c r="AX7" s="1296">
        <f>+W5</f>
        <v>43099</v>
      </c>
      <c r="AY7" s="1309">
        <f>+AG5</f>
        <v>43100</v>
      </c>
      <c r="AZ7" s="1296">
        <f>+C27</f>
        <v>43101</v>
      </c>
      <c r="BA7" s="1296">
        <f>+M27</f>
        <v>43102</v>
      </c>
      <c r="BB7" s="1296">
        <f>+W27</f>
        <v>43103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17" si="0">+B73</f>
        <v>Eduardo Segura D.</v>
      </c>
      <c r="C11" s="334"/>
      <c r="D11" s="335"/>
      <c r="E11" s="16"/>
      <c r="F11" s="17">
        <f t="shared" ref="F11:F21" si="1">+D11-C11-E11</f>
        <v>0</v>
      </c>
      <c r="G11" s="335"/>
      <c r="H11" s="18"/>
      <c r="I11" s="17">
        <f t="shared" ref="I11:I21" si="2">+H11-G11</f>
        <v>0</v>
      </c>
      <c r="J11" s="16"/>
      <c r="K11" s="19">
        <f t="shared" ref="K11:K21" si="3">+I11+F11-L11</f>
        <v>0</v>
      </c>
      <c r="L11" s="20">
        <f t="shared" ref="L11:L25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1" si="5">+N11-M11-O11</f>
        <v>8</v>
      </c>
      <c r="Q11" s="21"/>
      <c r="R11" s="22"/>
      <c r="S11" s="17">
        <f t="shared" ref="S11:S21" si="6">+R11-Q11</f>
        <v>0</v>
      </c>
      <c r="T11" s="16"/>
      <c r="U11" s="19">
        <f t="shared" ref="U11:U21" si="7">+S11+P11-V11</f>
        <v>8</v>
      </c>
      <c r="V11" s="20">
        <f t="shared" ref="V11:V21" si="8">IF(M11&gt;0,(P11+S11)+IF(U$5&gt;0,P11,-8),0)+IF(AE$5&gt;0,S11,0)</f>
        <v>0</v>
      </c>
      <c r="W11" s="337">
        <v>8</v>
      </c>
      <c r="X11" s="337">
        <v>16</v>
      </c>
      <c r="Y11" s="23">
        <v>1</v>
      </c>
      <c r="Z11" s="17">
        <f t="shared" ref="Z11:Z21" si="9">+X11-W11-Y11</f>
        <v>7</v>
      </c>
      <c r="AA11" s="337"/>
      <c r="AB11" s="330">
        <v>0.5</v>
      </c>
      <c r="AC11" s="17">
        <f t="shared" ref="AC11:AC21" si="10">+AB11-AA11</f>
        <v>0.5</v>
      </c>
      <c r="AD11" s="16"/>
      <c r="AE11" s="19">
        <f t="shared" ref="AE11:AE21" si="11">+AC11+Z11-IF(AE$5&gt;0,AF11/2,AF11)</f>
        <v>8.5</v>
      </c>
      <c r="AF11" s="20">
        <f t="shared" ref="AF11:AF18" si="12">IF(W11&gt;0,IF(AE$5&gt;0,(Z11+AC11)*2,(Z11+AC11-8)),0)*IF(Z11&lt;9,IF(AE$5&gt;0,1,2),1)+IF(Z11&gt;8,AC11,0)</f>
        <v>-1</v>
      </c>
      <c r="AG11" s="337"/>
      <c r="AH11" s="337"/>
      <c r="AI11" s="23"/>
      <c r="AJ11" s="24">
        <f t="shared" ref="AJ11:AJ25" si="13">+AH11-AG11-AI11</f>
        <v>0</v>
      </c>
      <c r="AK11" s="335"/>
      <c r="AL11" s="335"/>
      <c r="AM11" s="17">
        <f t="shared" ref="AM11:AM21" si="14">+AL11-AK11</f>
        <v>0</v>
      </c>
      <c r="AN11" s="22"/>
      <c r="AO11" s="25">
        <f t="shared" ref="AO11:AO21" si="15">(AJ11*2+AM11)</f>
        <v>0</v>
      </c>
      <c r="AP11" s="1297">
        <f t="shared" ref="AP11:AP25" si="16">+L11+V11+AF11+AO11+L33+V33+AF33-AN11</f>
        <v>-1</v>
      </c>
      <c r="AQ11" s="1298"/>
      <c r="AR11" s="1299">
        <f t="shared" ref="AR11:AR21" si="17">ROUND(BD11*AP11,1)</f>
        <v>-4.5</v>
      </c>
      <c r="AS11" s="1300"/>
      <c r="AT11" s="338">
        <f t="shared" ref="AT11:AT19" si="18">IF(AT33&gt;0,AT33*$AT$10,0)</f>
        <v>16</v>
      </c>
      <c r="AV11" s="26">
        <f t="shared" ref="AV11:AV21" si="19">+L11</f>
        <v>0</v>
      </c>
      <c r="AW11" s="26">
        <f t="shared" ref="AW11:AW21" si="20">+V11</f>
        <v>0</v>
      </c>
      <c r="AX11" s="26">
        <f t="shared" ref="AX11:AX21" si="21">+AF11</f>
        <v>-1</v>
      </c>
      <c r="AY11" s="27">
        <f t="shared" ref="AY11:AY21" si="22">+AO11</f>
        <v>0</v>
      </c>
      <c r="AZ11" s="26">
        <f t="shared" ref="AZ11:AZ19" si="23">+L33</f>
        <v>0</v>
      </c>
      <c r="BA11" s="26">
        <f t="shared" ref="BA11:BA19" si="24">+V33</f>
        <v>0</v>
      </c>
      <c r="BB11" s="26">
        <f t="shared" ref="BB11:BB19" si="25">+AF33</f>
        <v>0</v>
      </c>
      <c r="BC11" s="28"/>
      <c r="BD11" s="339">
        <f t="shared" ref="BD11:BD17" si="26">+I73</f>
        <v>4.5464285714285708</v>
      </c>
      <c r="BE11" s="340">
        <f t="shared" ref="BE11:BE21" si="27">+BD11*AP11</f>
        <v>-4.5464285714285708</v>
      </c>
      <c r="BF11" s="341">
        <f t="shared" ref="BF11:BF21" si="28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10</v>
      </c>
      <c r="D12" s="342">
        <v>17</v>
      </c>
      <c r="E12" s="30">
        <v>1</v>
      </c>
      <c r="F12" s="31">
        <f t="shared" si="1"/>
        <v>6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-2</v>
      </c>
      <c r="M12" s="343">
        <v>7</v>
      </c>
      <c r="N12" s="342">
        <v>17</v>
      </c>
      <c r="O12" s="30">
        <v>1</v>
      </c>
      <c r="P12" s="31">
        <f t="shared" si="5"/>
        <v>9</v>
      </c>
      <c r="Q12" s="33"/>
      <c r="R12" s="34"/>
      <c r="S12" s="31">
        <f t="shared" si="6"/>
        <v>0</v>
      </c>
      <c r="T12" s="30"/>
      <c r="U12" s="32">
        <f t="shared" si="7"/>
        <v>8</v>
      </c>
      <c r="V12" s="20">
        <f t="shared" si="8"/>
        <v>1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35"/>
      <c r="AC12" s="36">
        <f t="shared" si="10"/>
        <v>0</v>
      </c>
      <c r="AD12" s="30"/>
      <c r="AE12" s="32">
        <f t="shared" si="11"/>
        <v>8</v>
      </c>
      <c r="AF12" s="20">
        <f t="shared" si="12"/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4"/>
        <v>0</v>
      </c>
      <c r="AN12" s="39"/>
      <c r="AO12" s="40">
        <f t="shared" si="15"/>
        <v>0</v>
      </c>
      <c r="AP12" s="1282">
        <f t="shared" si="16"/>
        <v>-1</v>
      </c>
      <c r="AQ12" s="1283"/>
      <c r="AR12" s="1284">
        <f t="shared" si="17"/>
        <v>-5.0999999999999996</v>
      </c>
      <c r="AS12" s="1285"/>
      <c r="AT12" s="345">
        <f t="shared" si="18"/>
        <v>12</v>
      </c>
      <c r="AV12" s="26">
        <f t="shared" si="19"/>
        <v>-2</v>
      </c>
      <c r="AW12" s="26">
        <f t="shared" si="20"/>
        <v>1</v>
      </c>
      <c r="AX12" s="26">
        <f t="shared" si="21"/>
        <v>0</v>
      </c>
      <c r="AY12" s="27">
        <f t="shared" si="22"/>
        <v>0</v>
      </c>
      <c r="AZ12" s="26">
        <f t="shared" si="23"/>
        <v>0</v>
      </c>
      <c r="BA12" s="26">
        <f t="shared" si="24"/>
        <v>0</v>
      </c>
      <c r="BB12" s="26">
        <f t="shared" si="25"/>
        <v>0</v>
      </c>
      <c r="BC12" s="28"/>
      <c r="BD12" s="339">
        <f t="shared" si="26"/>
        <v>5.1339285714285712</v>
      </c>
      <c r="BE12" s="340">
        <f t="shared" si="27"/>
        <v>-5.1339285714285712</v>
      </c>
      <c r="BF12" s="341">
        <f t="shared" si="28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/>
      <c r="D13" s="342"/>
      <c r="E13" s="30"/>
      <c r="F13" s="31">
        <f t="shared" si="1"/>
        <v>0</v>
      </c>
      <c r="G13" s="342"/>
      <c r="H13" s="342"/>
      <c r="I13" s="31">
        <f t="shared" si="2"/>
        <v>0</v>
      </c>
      <c r="J13" s="30"/>
      <c r="K13" s="32">
        <f t="shared" si="3"/>
        <v>0</v>
      </c>
      <c r="L13" s="20">
        <f t="shared" si="4"/>
        <v>0</v>
      </c>
      <c r="M13" s="343">
        <v>7</v>
      </c>
      <c r="N13" s="342">
        <v>17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23</v>
      </c>
      <c r="Y13" s="30">
        <v>1</v>
      </c>
      <c r="Z13" s="31">
        <f t="shared" si="9"/>
        <v>15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 t="shared" si="12"/>
        <v>7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4"/>
        <v>0</v>
      </c>
      <c r="AN13" s="43">
        <v>8</v>
      </c>
      <c r="AO13" s="40">
        <f t="shared" si="15"/>
        <v>0</v>
      </c>
      <c r="AP13" s="1282">
        <f t="shared" si="16"/>
        <v>19</v>
      </c>
      <c r="AQ13" s="1283"/>
      <c r="AR13" s="1284">
        <f t="shared" si="17"/>
        <v>97.5</v>
      </c>
      <c r="AS13" s="1285"/>
      <c r="AT13" s="345">
        <f t="shared" si="18"/>
        <v>20</v>
      </c>
      <c r="AV13" s="26">
        <f t="shared" si="19"/>
        <v>0</v>
      </c>
      <c r="AW13" s="26">
        <f t="shared" si="20"/>
        <v>1</v>
      </c>
      <c r="AX13" s="26">
        <f t="shared" si="21"/>
        <v>7</v>
      </c>
      <c r="AY13" s="27">
        <f t="shared" si="22"/>
        <v>0</v>
      </c>
      <c r="AZ13" s="26">
        <f t="shared" si="23"/>
        <v>16</v>
      </c>
      <c r="BA13" s="26">
        <f t="shared" si="24"/>
        <v>1</v>
      </c>
      <c r="BB13" s="26">
        <f t="shared" si="25"/>
        <v>2</v>
      </c>
      <c r="BC13" s="28"/>
      <c r="BD13" s="339">
        <f t="shared" si="26"/>
        <v>5.1339285714285712</v>
      </c>
      <c r="BE13" s="340">
        <f t="shared" si="27"/>
        <v>97.544642857142847</v>
      </c>
      <c r="BF13" s="341">
        <f t="shared" si="28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8</v>
      </c>
      <c r="N14" s="346">
        <v>17</v>
      </c>
      <c r="O14" s="42">
        <v>1</v>
      </c>
      <c r="P14" s="44">
        <f t="shared" si="5"/>
        <v>8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0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41"/>
      <c r="AC14" s="46">
        <f t="shared" si="10"/>
        <v>0</v>
      </c>
      <c r="AD14" s="42"/>
      <c r="AE14" s="45">
        <f t="shared" si="11"/>
        <v>8</v>
      </c>
      <c r="AF14" s="20">
        <f t="shared" si="12"/>
        <v>0</v>
      </c>
      <c r="AG14" s="37">
        <v>7</v>
      </c>
      <c r="AH14" s="342">
        <v>17</v>
      </c>
      <c r="AI14" s="30">
        <v>1</v>
      </c>
      <c r="AJ14" s="38">
        <f t="shared" si="13"/>
        <v>9</v>
      </c>
      <c r="AK14" s="342"/>
      <c r="AL14" s="342"/>
      <c r="AM14" s="31">
        <f t="shared" si="14"/>
        <v>0</v>
      </c>
      <c r="AN14" s="47"/>
      <c r="AO14" s="40">
        <f t="shared" si="15"/>
        <v>18</v>
      </c>
      <c r="AP14" s="1282">
        <f t="shared" si="16"/>
        <v>44</v>
      </c>
      <c r="AQ14" s="1283"/>
      <c r="AR14" s="1284">
        <f t="shared" si="17"/>
        <v>183.3</v>
      </c>
      <c r="AS14" s="1285"/>
      <c r="AT14" s="345">
        <f t="shared" si="18"/>
        <v>28</v>
      </c>
      <c r="AV14" s="26">
        <f t="shared" si="19"/>
        <v>2</v>
      </c>
      <c r="AW14" s="26">
        <f t="shared" si="20"/>
        <v>0</v>
      </c>
      <c r="AX14" s="26">
        <f t="shared" si="21"/>
        <v>0</v>
      </c>
      <c r="AY14" s="27">
        <f t="shared" si="22"/>
        <v>18</v>
      </c>
      <c r="AZ14" s="26">
        <f t="shared" si="23"/>
        <v>20</v>
      </c>
      <c r="BA14" s="26">
        <f t="shared" si="24"/>
        <v>1</v>
      </c>
      <c r="BB14" s="26">
        <f t="shared" si="25"/>
        <v>3</v>
      </c>
      <c r="BC14" s="28"/>
      <c r="BD14" s="339">
        <f t="shared" si="26"/>
        <v>4.1666785714285712</v>
      </c>
      <c r="BE14" s="340">
        <f t="shared" si="27"/>
        <v>183.33385714285714</v>
      </c>
      <c r="BF14" s="341">
        <f t="shared" si="28"/>
        <v>75.000214285714279</v>
      </c>
    </row>
    <row r="15" spans="1:58" ht="14.1" customHeight="1">
      <c r="A15" s="1">
        <v>5</v>
      </c>
      <c r="B15" s="48" t="str">
        <f t="shared" si="0"/>
        <v>Juan Manrique V.</v>
      </c>
      <c r="C15" s="334"/>
      <c r="D15" s="342"/>
      <c r="E15" s="30"/>
      <c r="F15" s="31">
        <f t="shared" si="1"/>
        <v>0</v>
      </c>
      <c r="G15" s="342"/>
      <c r="H15" s="342"/>
      <c r="I15" s="31">
        <f t="shared" si="2"/>
        <v>0</v>
      </c>
      <c r="J15" s="30"/>
      <c r="K15" s="32">
        <f t="shared" si="3"/>
        <v>0</v>
      </c>
      <c r="L15" s="20">
        <f t="shared" si="4"/>
        <v>0</v>
      </c>
      <c r="M15" s="343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49">
        <v>0.5</v>
      </c>
      <c r="AC15" s="31">
        <f t="shared" si="10"/>
        <v>0.5</v>
      </c>
      <c r="AD15" s="30"/>
      <c r="AE15" s="32">
        <f t="shared" si="11"/>
        <v>8.5</v>
      </c>
      <c r="AF15" s="20">
        <f t="shared" si="12"/>
        <v>-1</v>
      </c>
      <c r="AG15" s="37"/>
      <c r="AH15" s="342"/>
      <c r="AI15" s="30"/>
      <c r="AJ15" s="38">
        <f t="shared" si="13"/>
        <v>0</v>
      </c>
      <c r="AK15" s="342"/>
      <c r="AL15" s="342"/>
      <c r="AM15" s="31">
        <f t="shared" si="14"/>
        <v>0</v>
      </c>
      <c r="AN15" s="39">
        <f>4+4</f>
        <v>8</v>
      </c>
      <c r="AO15" s="40">
        <f t="shared" si="15"/>
        <v>0</v>
      </c>
      <c r="AP15" s="1294">
        <f t="shared" si="16"/>
        <v>-7</v>
      </c>
      <c r="AQ15" s="1295"/>
      <c r="AR15" s="1284">
        <f t="shared" si="17"/>
        <v>-35.9</v>
      </c>
      <c r="AS15" s="1285"/>
      <c r="AT15" s="345">
        <f t="shared" si="18"/>
        <v>12</v>
      </c>
      <c r="AV15" s="26">
        <f t="shared" si="19"/>
        <v>0</v>
      </c>
      <c r="AW15" s="26">
        <f t="shared" si="20"/>
        <v>0</v>
      </c>
      <c r="AX15" s="26">
        <f t="shared" si="21"/>
        <v>-1</v>
      </c>
      <c r="AY15" s="27">
        <f t="shared" si="22"/>
        <v>0</v>
      </c>
      <c r="AZ15" s="26">
        <f t="shared" si="23"/>
        <v>0</v>
      </c>
      <c r="BA15" s="26">
        <f t="shared" si="24"/>
        <v>2</v>
      </c>
      <c r="BB15" s="26">
        <f t="shared" si="25"/>
        <v>0</v>
      </c>
      <c r="BC15" s="28"/>
      <c r="BD15" s="339">
        <f t="shared" si="26"/>
        <v>5.1339285714285712</v>
      </c>
      <c r="BE15" s="349">
        <f t="shared" si="27"/>
        <v>-35.9375</v>
      </c>
      <c r="BF15" s="350">
        <f t="shared" si="28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17</v>
      </c>
      <c r="E16" s="30">
        <v>1</v>
      </c>
      <c r="F16" s="31">
        <f>+D16-C16-E16</f>
        <v>9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1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8</v>
      </c>
      <c r="X16" s="346">
        <v>13</v>
      </c>
      <c r="Y16" s="42">
        <v>1</v>
      </c>
      <c r="Z16" s="44">
        <f>+X16-W16-Y16</f>
        <v>4</v>
      </c>
      <c r="AA16" s="47"/>
      <c r="AB16" s="53"/>
      <c r="AC16" s="31">
        <f>+AB16-AA16</f>
        <v>0</v>
      </c>
      <c r="AD16" s="30"/>
      <c r="AE16" s="32">
        <f>+AC16+Z16-IF(AE$5&gt;0,AF16/2,AF16)</f>
        <v>6</v>
      </c>
      <c r="AF16" s="20">
        <f>IF(W16&gt;0,IF(AE$5&gt;0,(Z16+AC16)*2,(Z16+AC16-5)),0)*IF(Z16&lt;6,IF(AE$5&gt;0,1,2),1)+IF(Z16&gt;5,AC16,0)</f>
        <v>-2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6"/>
        <v>-2</v>
      </c>
      <c r="AQ16" s="1283"/>
      <c r="AR16" s="1284">
        <f>ROUND(BD16*AP16,1)</f>
        <v>-10.3</v>
      </c>
      <c r="AS16" s="1285"/>
      <c r="AT16" s="345">
        <f t="shared" si="18"/>
        <v>20</v>
      </c>
      <c r="AU16" s="6"/>
      <c r="AV16" s="26">
        <f>+L16</f>
        <v>1</v>
      </c>
      <c r="AW16" s="26">
        <f>+V16</f>
        <v>0</v>
      </c>
      <c r="AX16" s="26">
        <f>+AF16</f>
        <v>-2</v>
      </c>
      <c r="AY16" s="27">
        <f>+AO16</f>
        <v>0</v>
      </c>
      <c r="AZ16" s="26">
        <f t="shared" si="23"/>
        <v>0</v>
      </c>
      <c r="BA16" s="26">
        <f t="shared" si="24"/>
        <v>0</v>
      </c>
      <c r="BB16" s="26">
        <f t="shared" si="25"/>
        <v>-1</v>
      </c>
      <c r="BC16" s="54"/>
      <c r="BD16" s="339">
        <f t="shared" si="26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B17" s="48" t="str">
        <f t="shared" si="0"/>
        <v xml:space="preserve">   .  -  </v>
      </c>
      <c r="C17" s="334"/>
      <c r="D17" s="342"/>
      <c r="E17" s="30"/>
      <c r="F17" s="31">
        <f t="shared" si="1"/>
        <v>0</v>
      </c>
      <c r="G17" s="342"/>
      <c r="H17" s="342"/>
      <c r="I17" s="31">
        <f t="shared" si="2"/>
        <v>0</v>
      </c>
      <c r="J17" s="30"/>
      <c r="K17" s="32">
        <f t="shared" si="3"/>
        <v>0</v>
      </c>
      <c r="L17" s="20">
        <f t="shared" si="4"/>
        <v>0</v>
      </c>
      <c r="M17" s="342"/>
      <c r="N17" s="342"/>
      <c r="O17" s="30"/>
      <c r="P17" s="31">
        <f t="shared" si="5"/>
        <v>0</v>
      </c>
      <c r="Q17" s="33"/>
      <c r="R17" s="346"/>
      <c r="S17" s="31">
        <f t="shared" si="6"/>
        <v>0</v>
      </c>
      <c r="T17" s="30"/>
      <c r="U17" s="32">
        <f t="shared" si="7"/>
        <v>0</v>
      </c>
      <c r="V17" s="20">
        <f t="shared" si="8"/>
        <v>0</v>
      </c>
      <c r="W17" s="342"/>
      <c r="X17" s="342"/>
      <c r="Y17" s="30"/>
      <c r="Z17" s="31">
        <f t="shared" si="9"/>
        <v>0</v>
      </c>
      <c r="AA17" s="346"/>
      <c r="AB17" s="56"/>
      <c r="AC17" s="31">
        <f t="shared" si="10"/>
        <v>0</v>
      </c>
      <c r="AD17" s="30"/>
      <c r="AE17" s="32">
        <f t="shared" si="11"/>
        <v>0</v>
      </c>
      <c r="AF17" s="20">
        <f t="shared" si="12"/>
        <v>0</v>
      </c>
      <c r="AG17" s="37"/>
      <c r="AH17" s="342"/>
      <c r="AI17" s="30"/>
      <c r="AJ17" s="38">
        <f t="shared" si="13"/>
        <v>0</v>
      </c>
      <c r="AK17" s="342"/>
      <c r="AL17" s="342"/>
      <c r="AM17" s="31">
        <f t="shared" si="14"/>
        <v>0</v>
      </c>
      <c r="AN17" s="39"/>
      <c r="AO17" s="40">
        <f t="shared" si="15"/>
        <v>0</v>
      </c>
      <c r="AP17" s="1282">
        <f t="shared" si="16"/>
        <v>0</v>
      </c>
      <c r="AQ17" s="1283"/>
      <c r="AR17" s="1284">
        <f t="shared" si="17"/>
        <v>0</v>
      </c>
      <c r="AS17" s="1285"/>
      <c r="AT17" s="345">
        <f t="shared" si="18"/>
        <v>0</v>
      </c>
      <c r="AV17" s="26">
        <f t="shared" si="19"/>
        <v>0</v>
      </c>
      <c r="AW17" s="26">
        <f t="shared" si="20"/>
        <v>0</v>
      </c>
      <c r="AX17" s="26">
        <f t="shared" si="21"/>
        <v>0</v>
      </c>
      <c r="AY17" s="27">
        <f t="shared" si="22"/>
        <v>0</v>
      </c>
      <c r="AZ17" s="26">
        <f t="shared" si="23"/>
        <v>0</v>
      </c>
      <c r="BA17" s="26">
        <f t="shared" si="24"/>
        <v>0</v>
      </c>
      <c r="BB17" s="26">
        <f t="shared" si="25"/>
        <v>0</v>
      </c>
      <c r="BC17" s="28"/>
      <c r="BD17" s="339">
        <f t="shared" si="26"/>
        <v>4.5464285714285708</v>
      </c>
      <c r="BE17" s="349">
        <f t="shared" si="27"/>
        <v>0</v>
      </c>
      <c r="BF17" s="350">
        <f t="shared" si="28"/>
        <v>0</v>
      </c>
    </row>
    <row r="18" spans="1:58" ht="14.1" customHeight="1">
      <c r="B18" s="57" t="s">
        <v>17</v>
      </c>
      <c r="C18" s="334"/>
      <c r="D18" s="342"/>
      <c r="E18" s="30"/>
      <c r="F18" s="31">
        <f t="shared" si="1"/>
        <v>0</v>
      </c>
      <c r="G18" s="342"/>
      <c r="H18" s="342"/>
      <c r="I18" s="31">
        <f t="shared" si="2"/>
        <v>0</v>
      </c>
      <c r="J18" s="30"/>
      <c r="K18" s="32">
        <f t="shared" si="3"/>
        <v>0</v>
      </c>
      <c r="L18" s="20">
        <f t="shared" si="4"/>
        <v>0</v>
      </c>
      <c r="M18" s="342"/>
      <c r="N18" s="342"/>
      <c r="O18" s="30"/>
      <c r="P18" s="31">
        <f t="shared" si="5"/>
        <v>0</v>
      </c>
      <c r="Q18" s="33"/>
      <c r="R18" s="346"/>
      <c r="S18" s="31">
        <f t="shared" si="6"/>
        <v>0</v>
      </c>
      <c r="T18" s="30"/>
      <c r="U18" s="32">
        <f t="shared" si="7"/>
        <v>0</v>
      </c>
      <c r="V18" s="20">
        <f t="shared" si="8"/>
        <v>0</v>
      </c>
      <c r="W18" s="30"/>
      <c r="X18" s="342"/>
      <c r="Y18" s="30"/>
      <c r="Z18" s="31">
        <f t="shared" si="9"/>
        <v>0</v>
      </c>
      <c r="AA18" s="346"/>
      <c r="AB18" s="41"/>
      <c r="AC18" s="31">
        <f t="shared" si="10"/>
        <v>0</v>
      </c>
      <c r="AD18" s="30"/>
      <c r="AE18" s="32">
        <f t="shared" si="11"/>
        <v>0</v>
      </c>
      <c r="AF18" s="20">
        <f t="shared" si="12"/>
        <v>0</v>
      </c>
      <c r="AG18" s="37"/>
      <c r="AH18" s="342"/>
      <c r="AI18" s="30"/>
      <c r="AJ18" s="38">
        <f t="shared" si="13"/>
        <v>0</v>
      </c>
      <c r="AK18" s="342"/>
      <c r="AL18" s="342"/>
      <c r="AM18" s="31">
        <f t="shared" si="14"/>
        <v>0</v>
      </c>
      <c r="AN18" s="30"/>
      <c r="AO18" s="40">
        <f t="shared" si="15"/>
        <v>0</v>
      </c>
      <c r="AP18" s="1282">
        <f t="shared" si="16"/>
        <v>0</v>
      </c>
      <c r="AQ18" s="1283"/>
      <c r="AR18" s="1284">
        <f t="shared" si="17"/>
        <v>0</v>
      </c>
      <c r="AS18" s="1285"/>
      <c r="AT18" s="345">
        <f t="shared" si="18"/>
        <v>0</v>
      </c>
      <c r="AV18" s="26">
        <f t="shared" si="19"/>
        <v>0</v>
      </c>
      <c r="AW18" s="26">
        <f t="shared" si="20"/>
        <v>0</v>
      </c>
      <c r="AX18" s="26">
        <f t="shared" si="21"/>
        <v>0</v>
      </c>
      <c r="AY18" s="27">
        <f t="shared" si="22"/>
        <v>0</v>
      </c>
      <c r="AZ18" s="26">
        <f t="shared" si="23"/>
        <v>0</v>
      </c>
      <c r="BA18" s="26">
        <f t="shared" si="24"/>
        <v>0</v>
      </c>
      <c r="BB18" s="26">
        <f t="shared" si="25"/>
        <v>0</v>
      </c>
      <c r="BC18" s="28"/>
      <c r="BD18" s="339">
        <f>+I80</f>
        <v>5.1314285714285717</v>
      </c>
      <c r="BE18" s="349">
        <f t="shared" si="27"/>
        <v>0</v>
      </c>
      <c r="BF18" s="350">
        <f t="shared" si="28"/>
        <v>0</v>
      </c>
    </row>
    <row r="19" spans="1:58" s="55" customFormat="1" ht="14.1" customHeight="1">
      <c r="A19" s="50">
        <v>7</v>
      </c>
      <c r="B19" s="58" t="str">
        <f t="shared" ref="B19:B24" si="29">+B80</f>
        <v>Luis Gomez U.</v>
      </c>
      <c r="C19" s="334">
        <v>8</v>
      </c>
      <c r="D19" s="342">
        <v>18</v>
      </c>
      <c r="E19" s="30">
        <v>1</v>
      </c>
      <c r="F19" s="31">
        <f t="shared" si="1"/>
        <v>9</v>
      </c>
      <c r="G19" s="342"/>
      <c r="H19" s="342"/>
      <c r="I19" s="31">
        <f t="shared" si="2"/>
        <v>0</v>
      </c>
      <c r="J19" s="30"/>
      <c r="K19" s="32">
        <f t="shared" si="3"/>
        <v>8</v>
      </c>
      <c r="L19" s="20">
        <f t="shared" si="4"/>
        <v>1</v>
      </c>
      <c r="M19" s="342">
        <v>8</v>
      </c>
      <c r="N19" s="342">
        <v>16</v>
      </c>
      <c r="O19" s="30">
        <v>1</v>
      </c>
      <c r="P19" s="31">
        <f t="shared" si="5"/>
        <v>7</v>
      </c>
      <c r="Q19" s="33"/>
      <c r="R19" s="346"/>
      <c r="S19" s="31">
        <f t="shared" si="6"/>
        <v>0</v>
      </c>
      <c r="T19" s="30"/>
      <c r="U19" s="32">
        <f t="shared" si="7"/>
        <v>8</v>
      </c>
      <c r="V19" s="20">
        <f t="shared" si="8"/>
        <v>-1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ref="AF19:AF25" si="30">IF(W19&gt;0,IF(AE$5&gt;0,(Z19+AC19)*2,(Z19+AC19-8)),0)*IF(Z19&lt;9,IF(AE$5&gt;0,1,2),1)+IF(Z19&gt;8,AC19,0)</f>
        <v>0</v>
      </c>
      <c r="AG19" s="37"/>
      <c r="AH19" s="342"/>
      <c r="AI19" s="30"/>
      <c r="AJ19" s="38">
        <f t="shared" si="13"/>
        <v>0</v>
      </c>
      <c r="AK19" s="342"/>
      <c r="AL19" s="346"/>
      <c r="AM19" s="31">
        <f t="shared" si="14"/>
        <v>0</v>
      </c>
      <c r="AN19" s="18"/>
      <c r="AO19" s="40">
        <f t="shared" si="15"/>
        <v>0</v>
      </c>
      <c r="AP19" s="1282">
        <f t="shared" si="16"/>
        <v>0</v>
      </c>
      <c r="AQ19" s="1283"/>
      <c r="AR19" s="1284">
        <f t="shared" si="17"/>
        <v>0</v>
      </c>
      <c r="AS19" s="1285"/>
      <c r="AT19" s="345">
        <f t="shared" si="18"/>
        <v>8</v>
      </c>
      <c r="AV19" s="26">
        <f t="shared" si="19"/>
        <v>1</v>
      </c>
      <c r="AW19" s="26">
        <f t="shared" si="20"/>
        <v>-1</v>
      </c>
      <c r="AX19" s="26">
        <f t="shared" si="21"/>
        <v>0</v>
      </c>
      <c r="AY19" s="27">
        <f t="shared" si="22"/>
        <v>0</v>
      </c>
      <c r="AZ19" s="26">
        <f t="shared" si="23"/>
        <v>0</v>
      </c>
      <c r="BA19" s="26">
        <f t="shared" si="24"/>
        <v>0</v>
      </c>
      <c r="BB19" s="26">
        <f t="shared" si="25"/>
        <v>0</v>
      </c>
      <c r="BC19" s="28"/>
      <c r="BD19" s="339">
        <f t="shared" ref="BD19:BD25" si="31">+I80</f>
        <v>5.1314285714285717</v>
      </c>
      <c r="BE19" s="349">
        <f t="shared" si="27"/>
        <v>0</v>
      </c>
      <c r="BF19" s="350">
        <f t="shared" si="28"/>
        <v>0</v>
      </c>
    </row>
    <row r="20" spans="1:58" s="55" customFormat="1" ht="14.1" customHeight="1">
      <c r="A20" s="50">
        <v>8</v>
      </c>
      <c r="B20" s="60" t="str">
        <f t="shared" si="29"/>
        <v>Kevin Ortiz J.</v>
      </c>
      <c r="C20" s="353"/>
      <c r="D20" s="354"/>
      <c r="E20" s="61"/>
      <c r="F20" s="62">
        <f>+D20-C20-E20</f>
        <v>0</v>
      </c>
      <c r="G20" s="354"/>
      <c r="H20" s="354"/>
      <c r="I20" s="62">
        <f>+H20-G20</f>
        <v>0</v>
      </c>
      <c r="J20" s="61"/>
      <c r="K20" s="63">
        <f>+I20+F20-L20</f>
        <v>0</v>
      </c>
      <c r="L20" s="64">
        <f t="shared" si="4"/>
        <v>0</v>
      </c>
      <c r="M20" s="355"/>
      <c r="N20" s="354"/>
      <c r="O20" s="61"/>
      <c r="P20" s="62">
        <f>+N20-M20-O20</f>
        <v>0</v>
      </c>
      <c r="Q20" s="65"/>
      <c r="R20" s="354"/>
      <c r="S20" s="62">
        <f>+R20-Q20</f>
        <v>0</v>
      </c>
      <c r="T20" s="61"/>
      <c r="U20" s="63">
        <f>+S20+P20-V20</f>
        <v>0</v>
      </c>
      <c r="V20" s="64">
        <f>IF(M20&gt;0,(P20+S20)+IF(U$5&gt;0,P20,-8),0)+IF(AE$5&gt;0,S20,0)</f>
        <v>0</v>
      </c>
      <c r="W20" s="354"/>
      <c r="X20" s="354"/>
      <c r="Y20" s="61"/>
      <c r="Z20" s="62">
        <f>+X20-W20-Y20</f>
        <v>0</v>
      </c>
      <c r="AA20" s="354"/>
      <c r="AB20" s="354"/>
      <c r="AC20" s="62">
        <f>+AB20-AA20</f>
        <v>0</v>
      </c>
      <c r="AD20" s="61"/>
      <c r="AE20" s="63">
        <f>+AC20+Z20-IF(AE$5&gt;0,AF20/2,AF20)</f>
        <v>0</v>
      </c>
      <c r="AF20" s="64">
        <f t="shared" si="30"/>
        <v>0</v>
      </c>
      <c r="AG20" s="65"/>
      <c r="AH20" s="65"/>
      <c r="AI20" s="61"/>
      <c r="AJ20" s="66">
        <f t="shared" si="13"/>
        <v>0</v>
      </c>
      <c r="AK20" s="354"/>
      <c r="AL20" s="354"/>
      <c r="AM20" s="62">
        <f>+AL20-AK20</f>
        <v>0</v>
      </c>
      <c r="AN20" s="67"/>
      <c r="AO20" s="68">
        <f>(AJ20*2+AM20)</f>
        <v>0</v>
      </c>
      <c r="AP20" s="1394">
        <f t="shared" si="16"/>
        <v>0</v>
      </c>
      <c r="AQ20" s="1395"/>
      <c r="AR20" s="1396">
        <f>ROUND(BD20*AP20,1)</f>
        <v>0</v>
      </c>
      <c r="AS20" s="1397"/>
      <c r="AT20" s="356">
        <f>IF(AT45&gt;0,AT45*$AT$10,0)</f>
        <v>16</v>
      </c>
      <c r="AV20" s="69">
        <f>+L20</f>
        <v>0</v>
      </c>
      <c r="AW20" s="69">
        <f>+V20</f>
        <v>0</v>
      </c>
      <c r="AX20" s="69">
        <f>+AF20</f>
        <v>0</v>
      </c>
      <c r="AY20" s="70">
        <f>+AO20</f>
        <v>0</v>
      </c>
      <c r="AZ20" s="69">
        <f>+L45</f>
        <v>0</v>
      </c>
      <c r="BA20" s="69">
        <f>+V45</f>
        <v>0</v>
      </c>
      <c r="BB20" s="69">
        <f>+AF45</f>
        <v>-3</v>
      </c>
      <c r="BC20" s="54"/>
      <c r="BD20" s="339">
        <f t="shared" si="31"/>
        <v>3.5417857142857145</v>
      </c>
      <c r="BE20" s="351">
        <f>+BD20*AP20</f>
        <v>0</v>
      </c>
      <c r="BF20" s="352">
        <f>+BD20*AY20</f>
        <v>0</v>
      </c>
    </row>
    <row r="21" spans="1:58" s="55" customFormat="1" ht="14.1" customHeight="1">
      <c r="A21" s="50">
        <v>9</v>
      </c>
      <c r="B21" s="71" t="str">
        <f t="shared" si="29"/>
        <v xml:space="preserve">  </v>
      </c>
      <c r="C21" s="334"/>
      <c r="D21" s="342"/>
      <c r="E21" s="30"/>
      <c r="F21" s="31">
        <f t="shared" si="1"/>
        <v>0</v>
      </c>
      <c r="G21" s="342"/>
      <c r="H21" s="342"/>
      <c r="I21" s="31">
        <f t="shared" si="2"/>
        <v>0</v>
      </c>
      <c r="J21" s="30"/>
      <c r="K21" s="32">
        <f t="shared" si="3"/>
        <v>0</v>
      </c>
      <c r="L21" s="20">
        <f t="shared" si="4"/>
        <v>0</v>
      </c>
      <c r="M21" s="334"/>
      <c r="N21" s="342"/>
      <c r="O21" s="30"/>
      <c r="P21" s="31">
        <f t="shared" si="5"/>
        <v>0</v>
      </c>
      <c r="Q21" s="346"/>
      <c r="R21" s="346"/>
      <c r="S21" s="31">
        <f t="shared" si="6"/>
        <v>0</v>
      </c>
      <c r="T21" s="30"/>
      <c r="U21" s="32">
        <f t="shared" si="7"/>
        <v>0</v>
      </c>
      <c r="V21" s="20">
        <f t="shared" si="8"/>
        <v>0</v>
      </c>
      <c r="W21" s="342"/>
      <c r="X21" s="342"/>
      <c r="Y21" s="30"/>
      <c r="Z21" s="44">
        <f t="shared" si="9"/>
        <v>0</v>
      </c>
      <c r="AA21" s="346"/>
      <c r="AB21" s="342"/>
      <c r="AC21" s="31">
        <f t="shared" si="10"/>
        <v>0</v>
      </c>
      <c r="AD21" s="30"/>
      <c r="AE21" s="32">
        <f t="shared" si="11"/>
        <v>0</v>
      </c>
      <c r="AF21" s="20">
        <f t="shared" si="30"/>
        <v>0</v>
      </c>
      <c r="AG21" s="342"/>
      <c r="AH21" s="342"/>
      <c r="AI21" s="30"/>
      <c r="AJ21" s="38">
        <f t="shared" si="13"/>
        <v>0</v>
      </c>
      <c r="AK21" s="342"/>
      <c r="AL21" s="342"/>
      <c r="AM21" s="31">
        <f t="shared" si="14"/>
        <v>0</v>
      </c>
      <c r="AN21" s="39"/>
      <c r="AO21" s="40">
        <f t="shared" si="15"/>
        <v>0</v>
      </c>
      <c r="AP21" s="1282">
        <f t="shared" si="16"/>
        <v>0</v>
      </c>
      <c r="AQ21" s="1283"/>
      <c r="AR21" s="1284">
        <f t="shared" si="17"/>
        <v>0</v>
      </c>
      <c r="AS21" s="1285"/>
      <c r="AT21" s="345">
        <f>IF(AT43&gt;0,AT43*$AT$10,0)</f>
        <v>0</v>
      </c>
      <c r="AV21" s="69">
        <f t="shared" si="19"/>
        <v>0</v>
      </c>
      <c r="AW21" s="69">
        <f t="shared" si="20"/>
        <v>0</v>
      </c>
      <c r="AX21" s="69">
        <f t="shared" si="21"/>
        <v>0</v>
      </c>
      <c r="AY21" s="70">
        <f t="shared" si="22"/>
        <v>0</v>
      </c>
      <c r="AZ21" s="69">
        <f>+L43</f>
        <v>0</v>
      </c>
      <c r="BA21" s="69">
        <f>+V43</f>
        <v>0</v>
      </c>
      <c r="BB21" s="69">
        <f>+AF43</f>
        <v>0</v>
      </c>
      <c r="BC21" s="54"/>
      <c r="BD21" s="339">
        <f t="shared" si="31"/>
        <v>3.5416625000000002</v>
      </c>
      <c r="BE21" s="351">
        <f t="shared" si="27"/>
        <v>0</v>
      </c>
      <c r="BF21" s="352">
        <f t="shared" si="28"/>
        <v>0</v>
      </c>
    </row>
    <row r="22" spans="1:58" s="81" customFormat="1" ht="14.1" customHeight="1">
      <c r="A22" s="72"/>
      <c r="B22" s="73" t="str">
        <f t="shared" si="29"/>
        <v>Jaime Lizarbe C.</v>
      </c>
      <c r="C22" s="74"/>
      <c r="D22" s="75"/>
      <c r="E22" s="75"/>
      <c r="F22" s="76">
        <f>+D22-C22-E22</f>
        <v>0</v>
      </c>
      <c r="G22" s="75"/>
      <c r="H22" s="75"/>
      <c r="I22" s="76">
        <f>+H22-G22</f>
        <v>0</v>
      </c>
      <c r="J22" s="75"/>
      <c r="K22" s="76">
        <f>+I22+F22-L22</f>
        <v>0</v>
      </c>
      <c r="L22" s="77">
        <f t="shared" si="4"/>
        <v>0</v>
      </c>
      <c r="M22" s="333"/>
      <c r="N22" s="75"/>
      <c r="O22" s="75"/>
      <c r="P22" s="76">
        <f>+N22-M22-O22</f>
        <v>0</v>
      </c>
      <c r="Q22" s="75"/>
      <c r="R22" s="75"/>
      <c r="S22" s="76">
        <f>+R22-Q22</f>
        <v>0</v>
      </c>
      <c r="T22" s="75"/>
      <c r="U22" s="76">
        <f>+S22+P22-V22</f>
        <v>0</v>
      </c>
      <c r="V22" s="77">
        <f>IF(M22&gt;0,(P22+S22)+IF(U$5&gt;0,P22,-8),0)+IF(AE$5&gt;0,S22,0)</f>
        <v>0</v>
      </c>
      <c r="W22" s="75"/>
      <c r="X22" s="75"/>
      <c r="Y22" s="75"/>
      <c r="Z22" s="76">
        <f>+X22-W22-Y22</f>
        <v>0</v>
      </c>
      <c r="AA22" s="75"/>
      <c r="AB22" s="78"/>
      <c r="AC22" s="76">
        <f>+AB22-AA22</f>
        <v>0</v>
      </c>
      <c r="AD22" s="75"/>
      <c r="AE22" s="76">
        <f>+AC22+Z22-IF(AE$5&gt;0,AF22/2,AF22)</f>
        <v>0</v>
      </c>
      <c r="AF22" s="77">
        <f t="shared" si="30"/>
        <v>0</v>
      </c>
      <c r="AG22" s="75"/>
      <c r="AH22" s="75"/>
      <c r="AI22" s="75"/>
      <c r="AJ22" s="79">
        <f t="shared" si="13"/>
        <v>0</v>
      </c>
      <c r="AK22" s="75"/>
      <c r="AL22" s="75"/>
      <c r="AM22" s="76">
        <f>+AL22-AK22</f>
        <v>0</v>
      </c>
      <c r="AN22" s="75"/>
      <c r="AO22" s="80">
        <f>(AJ22*2+AM22)</f>
        <v>0</v>
      </c>
      <c r="AP22" s="1398">
        <f t="shared" si="16"/>
        <v>0</v>
      </c>
      <c r="AQ22" s="1399"/>
      <c r="AR22" s="1400">
        <f>ROUND(BD22*AP22,1)</f>
        <v>0</v>
      </c>
      <c r="AS22" s="1401"/>
      <c r="AT22" s="357">
        <f>IF(AT44&gt;0,AT44*$AT$10,0)</f>
        <v>0</v>
      </c>
      <c r="AV22" s="82">
        <f>+L22</f>
        <v>0</v>
      </c>
      <c r="AW22" s="82">
        <f>+V22</f>
        <v>0</v>
      </c>
      <c r="AX22" s="82">
        <f>+AF22</f>
        <v>0</v>
      </c>
      <c r="AY22" s="82">
        <f>+AO22</f>
        <v>0</v>
      </c>
      <c r="AZ22" s="82">
        <f>+L44</f>
        <v>0</v>
      </c>
      <c r="BA22" s="82">
        <f>+V44</f>
        <v>0</v>
      </c>
      <c r="BB22" s="82">
        <f>+AF44</f>
        <v>0</v>
      </c>
      <c r="BC22" s="83"/>
      <c r="BD22" s="358">
        <f t="shared" si="31"/>
        <v>4.6964285714285712</v>
      </c>
      <c r="BE22" s="358">
        <f>+BD22*AP22</f>
        <v>0</v>
      </c>
      <c r="BF22" s="358">
        <f>+BD22*AY22</f>
        <v>0</v>
      </c>
    </row>
    <row r="23" spans="1:58" s="55" customFormat="1" ht="14.1" customHeight="1">
      <c r="A23" s="50"/>
      <c r="B23" s="84" t="str">
        <f t="shared" si="29"/>
        <v>Antony Tejada Ch.</v>
      </c>
      <c r="C23" s="334"/>
      <c r="D23" s="342"/>
      <c r="E23" s="30"/>
      <c r="F23" s="31">
        <f>+D23-C23-E23</f>
        <v>0</v>
      </c>
      <c r="G23" s="342"/>
      <c r="H23" s="342"/>
      <c r="I23" s="31">
        <f>+H23-G23</f>
        <v>0</v>
      </c>
      <c r="J23" s="30"/>
      <c r="K23" s="32">
        <f>+I23+F23-L23</f>
        <v>0</v>
      </c>
      <c r="L23" s="20">
        <f t="shared" si="4"/>
        <v>0</v>
      </c>
      <c r="M23" s="334">
        <v>7</v>
      </c>
      <c r="N23" s="342">
        <v>16</v>
      </c>
      <c r="O23" s="30">
        <v>1</v>
      </c>
      <c r="P23" s="31">
        <f>+N23-M23-O23</f>
        <v>8</v>
      </c>
      <c r="Q23" s="346"/>
      <c r="R23" s="346"/>
      <c r="S23" s="31">
        <f>+R23-Q23</f>
        <v>0</v>
      </c>
      <c r="T23" s="30"/>
      <c r="U23" s="32">
        <f>+S23+P23-V23</f>
        <v>8</v>
      </c>
      <c r="V23" s="20">
        <f>IF(M23&gt;0,(P23+S23)+IF(U$5&gt;0,P23,-8),0)+IF(AE$5&gt;0,S23,0)</f>
        <v>0</v>
      </c>
      <c r="W23" s="342"/>
      <c r="X23" s="342"/>
      <c r="Y23" s="30"/>
      <c r="Z23" s="44">
        <f>+X23-W23-Y23</f>
        <v>0</v>
      </c>
      <c r="AA23" s="346"/>
      <c r="AB23" s="344"/>
      <c r="AC23" s="31">
        <f>+AB23-AA23</f>
        <v>0</v>
      </c>
      <c r="AD23" s="30"/>
      <c r="AE23" s="32">
        <f>+AC23+Z23-IF(AE$5&gt;0,AF23/2,AF23)</f>
        <v>0</v>
      </c>
      <c r="AF23" s="20">
        <f t="shared" si="30"/>
        <v>0</v>
      </c>
      <c r="AG23" s="342">
        <v>10</v>
      </c>
      <c r="AH23" s="342">
        <v>17</v>
      </c>
      <c r="AI23" s="30">
        <v>1</v>
      </c>
      <c r="AJ23" s="38">
        <f t="shared" si="13"/>
        <v>6</v>
      </c>
      <c r="AK23" s="346"/>
      <c r="AL23" s="346"/>
      <c r="AM23" s="44">
        <f>+AL23-AK23</f>
        <v>0</v>
      </c>
      <c r="AN23" s="47">
        <v>8</v>
      </c>
      <c r="AO23" s="40">
        <f>(AJ23*2+AM23)</f>
        <v>12</v>
      </c>
      <c r="AP23" s="1282">
        <f t="shared" si="16"/>
        <v>1</v>
      </c>
      <c r="AQ23" s="1283"/>
      <c r="AR23" s="1284">
        <f>ROUND(BD23*AP23,1)</f>
        <v>3.5</v>
      </c>
      <c r="AS23" s="1285"/>
      <c r="AT23" s="345">
        <f>IF(AT45&gt;0,AT45*$AT$10,0)</f>
        <v>16</v>
      </c>
      <c r="AV23" s="69">
        <f>+L23</f>
        <v>0</v>
      </c>
      <c r="AW23" s="69">
        <f>+V23</f>
        <v>0</v>
      </c>
      <c r="AX23" s="69">
        <f>+AF23</f>
        <v>0</v>
      </c>
      <c r="AY23" s="70">
        <f>+AO23</f>
        <v>12</v>
      </c>
      <c r="AZ23" s="69">
        <f>+L45</f>
        <v>0</v>
      </c>
      <c r="BA23" s="69">
        <f>+V45</f>
        <v>0</v>
      </c>
      <c r="BB23" s="69">
        <f>+AF45</f>
        <v>-3</v>
      </c>
      <c r="BC23" s="54"/>
      <c r="BD23" s="339">
        <f t="shared" si="31"/>
        <v>3.5416625000000002</v>
      </c>
      <c r="BE23" s="351">
        <f>+BD23*AP23</f>
        <v>3.5416625000000002</v>
      </c>
      <c r="BF23" s="352">
        <f>+BD23*AY23</f>
        <v>42.499949999999998</v>
      </c>
    </row>
    <row r="24" spans="1:58" s="55" customFormat="1" ht="14.1" customHeight="1">
      <c r="A24" s="50"/>
      <c r="B24" s="85" t="str">
        <f t="shared" si="29"/>
        <v xml:space="preserve"> </v>
      </c>
      <c r="C24" s="86"/>
      <c r="D24" s="87"/>
      <c r="E24" s="87"/>
      <c r="F24" s="88">
        <f>+D24-C24-E24</f>
        <v>0</v>
      </c>
      <c r="G24" s="87"/>
      <c r="H24" s="87"/>
      <c r="I24" s="88">
        <f>+H24-G24</f>
        <v>0</v>
      </c>
      <c r="J24" s="87"/>
      <c r="K24" s="88">
        <f>+I24+F24-L24</f>
        <v>0</v>
      </c>
      <c r="L24" s="89">
        <f t="shared" si="4"/>
        <v>0</v>
      </c>
      <c r="M24" s="90"/>
      <c r="N24" s="87"/>
      <c r="O24" s="87"/>
      <c r="P24" s="88">
        <f>+N24-M24-O24</f>
        <v>0</v>
      </c>
      <c r="Q24" s="87"/>
      <c r="R24" s="87"/>
      <c r="S24" s="88">
        <f>+R24-Q24</f>
        <v>0</v>
      </c>
      <c r="T24" s="87"/>
      <c r="U24" s="88">
        <f>+S24+P24-V24</f>
        <v>0</v>
      </c>
      <c r="V24" s="89">
        <f>IF(M24&gt;0,(P24+S24)+IF(U$5&gt;0,P24,-8),0)+IF(AE$5&gt;0,S24,0)</f>
        <v>0</v>
      </c>
      <c r="W24" s="87"/>
      <c r="X24" s="87"/>
      <c r="Y24" s="87"/>
      <c r="Z24" s="88">
        <f>+X24-W24-Y24</f>
        <v>0</v>
      </c>
      <c r="AA24" s="87"/>
      <c r="AB24" s="91"/>
      <c r="AC24" s="88">
        <f>+AB24-AA24</f>
        <v>0</v>
      </c>
      <c r="AD24" s="87"/>
      <c r="AE24" s="88">
        <f>+AC24+Z24-IF(AE$5&gt;0,AF24/2,AF24)</f>
        <v>0</v>
      </c>
      <c r="AF24" s="89">
        <f t="shared" si="30"/>
        <v>0</v>
      </c>
      <c r="AG24" s="87"/>
      <c r="AH24" s="87"/>
      <c r="AI24" s="87"/>
      <c r="AJ24" s="92">
        <f t="shared" si="13"/>
        <v>0</v>
      </c>
      <c r="AK24" s="87"/>
      <c r="AL24" s="87"/>
      <c r="AM24" s="88">
        <f>+AL24-AK24</f>
        <v>0</v>
      </c>
      <c r="AN24" s="93"/>
      <c r="AO24" s="94">
        <f>(AJ24*2+AM24)</f>
        <v>0</v>
      </c>
      <c r="AP24" s="1282">
        <f t="shared" si="16"/>
        <v>0</v>
      </c>
      <c r="AQ24" s="1283"/>
      <c r="AR24" s="1272">
        <f>ROUND(BD24*AP24,1)</f>
        <v>0</v>
      </c>
      <c r="AS24" s="1273"/>
      <c r="AT24" s="359">
        <f>IF(AT46&gt;0,AT46*$AT$10,0)</f>
        <v>0</v>
      </c>
      <c r="AV24" s="69">
        <f>+L24</f>
        <v>0</v>
      </c>
      <c r="AW24" s="69">
        <f>+V24</f>
        <v>0</v>
      </c>
      <c r="AX24" s="69">
        <f>+AF24</f>
        <v>0</v>
      </c>
      <c r="AY24" s="70">
        <f>+AO24</f>
        <v>0</v>
      </c>
      <c r="AZ24" s="69">
        <f>+L46</f>
        <v>0</v>
      </c>
      <c r="BA24" s="69">
        <f>+V46</f>
        <v>0</v>
      </c>
      <c r="BB24" s="69">
        <f>+AF46</f>
        <v>0</v>
      </c>
      <c r="BC24" s="54"/>
      <c r="BD24" s="339">
        <f t="shared" si="31"/>
        <v>3.5416625000000002</v>
      </c>
      <c r="BE24" s="351">
        <f>+BD24*AP24</f>
        <v>0</v>
      </c>
      <c r="BF24" s="352">
        <f>+BD24*AY24</f>
        <v>0</v>
      </c>
    </row>
    <row r="25" spans="1:58" ht="14.1" customHeight="1" thickBot="1">
      <c r="B25" s="95" t="str">
        <f>+B86</f>
        <v xml:space="preserve"> </v>
      </c>
      <c r="C25" s="360"/>
      <c r="D25" s="361"/>
      <c r="E25" s="96"/>
      <c r="F25" s="97">
        <f>+D25-C25-E25</f>
        <v>0</v>
      </c>
      <c r="G25" s="361"/>
      <c r="H25" s="361"/>
      <c r="I25" s="97">
        <f>+H25-G25</f>
        <v>0</v>
      </c>
      <c r="J25" s="96"/>
      <c r="K25" s="98">
        <f>+I25+F25-L25</f>
        <v>0</v>
      </c>
      <c r="L25" s="99">
        <f t="shared" si="4"/>
        <v>0</v>
      </c>
      <c r="M25" s="362"/>
      <c r="N25" s="361"/>
      <c r="O25" s="96"/>
      <c r="P25" s="97">
        <f>+N25-M25-O25</f>
        <v>0</v>
      </c>
      <c r="Q25" s="363"/>
      <c r="R25" s="363"/>
      <c r="S25" s="97">
        <f>+R25-Q25</f>
        <v>0</v>
      </c>
      <c r="T25" s="96"/>
      <c r="U25" s="98">
        <f>+S25+P25-V25</f>
        <v>0</v>
      </c>
      <c r="V25" s="99">
        <f>IF(M25&gt;0,(P25+S25)+IF(U$5&gt;0,P25,-8),0)+IF(AE$5&gt;0,S25,0)</f>
        <v>0</v>
      </c>
      <c r="W25" s="361"/>
      <c r="X25" s="361"/>
      <c r="Y25" s="96"/>
      <c r="Z25" s="97">
        <f>+X25-W25-Y25</f>
        <v>0</v>
      </c>
      <c r="AA25" s="363"/>
      <c r="AB25" s="100"/>
      <c r="AC25" s="97">
        <f>+AB25-AA25</f>
        <v>0</v>
      </c>
      <c r="AD25" s="96"/>
      <c r="AE25" s="98">
        <f>+AC25+Z25-IF(AE$5&gt;0,AF25/2,AF25)</f>
        <v>0</v>
      </c>
      <c r="AF25" s="99">
        <f t="shared" si="30"/>
        <v>0</v>
      </c>
      <c r="AG25" s="101"/>
      <c r="AH25" s="361"/>
      <c r="AI25" s="96"/>
      <c r="AJ25" s="102">
        <f t="shared" si="13"/>
        <v>0</v>
      </c>
      <c r="AK25" s="361"/>
      <c r="AL25" s="361"/>
      <c r="AM25" s="97">
        <f>+AL25-AK25</f>
        <v>0</v>
      </c>
      <c r="AN25" s="96"/>
      <c r="AO25" s="103">
        <f>(AJ25*2+AM25)</f>
        <v>0</v>
      </c>
      <c r="AP25" s="1278">
        <f t="shared" si="16"/>
        <v>0</v>
      </c>
      <c r="AQ25" s="1279"/>
      <c r="AR25" s="1280">
        <f>ROUND(BD25*AP25,1)</f>
        <v>0</v>
      </c>
      <c r="AS25" s="1281"/>
      <c r="AT25" s="364">
        <f>IF(AT47&gt;0,AT47*$AT$10,0)</f>
        <v>0</v>
      </c>
      <c r="AV25" s="26">
        <f>+L25</f>
        <v>0</v>
      </c>
      <c r="AW25" s="26">
        <f>+V25</f>
        <v>0</v>
      </c>
      <c r="AX25" s="26">
        <f>+AF25</f>
        <v>0</v>
      </c>
      <c r="AY25" s="27">
        <f>+AO25</f>
        <v>0</v>
      </c>
      <c r="AZ25" s="26">
        <f>+L47</f>
        <v>0</v>
      </c>
      <c r="BA25" s="26">
        <f>+V47</f>
        <v>0</v>
      </c>
      <c r="BB25" s="26">
        <f>+AF47</f>
        <v>0</v>
      </c>
      <c r="BC25" s="28"/>
      <c r="BD25" s="339">
        <f t="shared" si="31"/>
        <v>2.0833333333333335</v>
      </c>
      <c r="BE25" s="340">
        <f>+BD25*AP25</f>
        <v>0</v>
      </c>
      <c r="BF25" s="341">
        <f>+BD25*AY25</f>
        <v>0</v>
      </c>
    </row>
    <row r="26" spans="1:58" ht="6.95" customHeight="1" thickBot="1">
      <c r="BC26" s="104"/>
      <c r="BD26" s="365"/>
      <c r="BE26" s="1241">
        <f>SUM(BE11:BE25)</f>
        <v>228.5344482142857</v>
      </c>
      <c r="BF26" s="1242">
        <f>SUM(BF11:BF25)</f>
        <v>117.50016428571428</v>
      </c>
    </row>
    <row r="27" spans="1:58" ht="10.9" customHeight="1">
      <c r="B27" s="1244" t="s">
        <v>1</v>
      </c>
      <c r="C27" s="1420">
        <f>1+AG5</f>
        <v>43101</v>
      </c>
      <c r="D27" s="1420"/>
      <c r="E27" s="1420"/>
      <c r="F27" s="1420"/>
      <c r="G27" s="1420"/>
      <c r="H27" s="1420"/>
      <c r="I27" s="1420"/>
      <c r="J27" s="1420"/>
      <c r="K27" s="1422" t="s">
        <v>116</v>
      </c>
      <c r="L27" s="1423"/>
      <c r="M27" s="1147">
        <f>1+C27</f>
        <v>43102</v>
      </c>
      <c r="N27" s="1148"/>
      <c r="O27" s="1148"/>
      <c r="P27" s="1148"/>
      <c r="Q27" s="1148"/>
      <c r="R27" s="1148"/>
      <c r="S27" s="1148"/>
      <c r="T27" s="1149"/>
      <c r="U27" s="1153"/>
      <c r="V27" s="1154"/>
      <c r="W27" s="1140">
        <f>1+M27</f>
        <v>43103</v>
      </c>
      <c r="X27" s="1140"/>
      <c r="Y27" s="1140"/>
      <c r="Z27" s="1140"/>
      <c r="AA27" s="1140"/>
      <c r="AB27" s="1140"/>
      <c r="AC27" s="1140"/>
      <c r="AD27" s="1140"/>
      <c r="AE27" s="1153"/>
      <c r="AF27" s="1154"/>
      <c r="AH27" s="1255" t="s">
        <v>18</v>
      </c>
      <c r="AI27" s="1220">
        <f>+C5</f>
        <v>43097</v>
      </c>
      <c r="AJ27" s="1218">
        <f t="shared" ref="AJ27:AO27" si="32">1+AI27</f>
        <v>43098</v>
      </c>
      <c r="AK27" s="1218">
        <f t="shared" si="32"/>
        <v>43099</v>
      </c>
      <c r="AL27" s="1219">
        <f t="shared" si="32"/>
        <v>43100</v>
      </c>
      <c r="AM27" s="1219">
        <f t="shared" si="32"/>
        <v>43101</v>
      </c>
      <c r="AN27" s="1220">
        <f t="shared" si="32"/>
        <v>43102</v>
      </c>
      <c r="AO27" s="1220">
        <f t="shared" si="32"/>
        <v>43103</v>
      </c>
      <c r="AP27" s="1222" t="s">
        <v>19</v>
      </c>
      <c r="AQ27" s="1223"/>
      <c r="AR27" s="1224" t="s">
        <v>20</v>
      </c>
      <c r="AS27" s="1225"/>
      <c r="AT27" s="1230" t="s">
        <v>21</v>
      </c>
      <c r="AW27" s="1233">
        <f>+AL27</f>
        <v>43100</v>
      </c>
      <c r="AX27" s="1234"/>
      <c r="AZ27" s="1256" t="s">
        <v>22</v>
      </c>
      <c r="BA27" s="1256"/>
      <c r="BB27" s="1256"/>
      <c r="BC27" s="1256"/>
      <c r="BD27" s="365"/>
      <c r="BE27" s="1241"/>
      <c r="BF27" s="1243"/>
    </row>
    <row r="28" spans="1:58" ht="10.9" customHeight="1">
      <c r="B28" s="1245"/>
      <c r="C28" s="1421"/>
      <c r="D28" s="1421"/>
      <c r="E28" s="1421"/>
      <c r="F28" s="1421"/>
      <c r="G28" s="1421"/>
      <c r="H28" s="1421"/>
      <c r="I28" s="1421"/>
      <c r="J28" s="1421"/>
      <c r="K28" s="1424"/>
      <c r="L28" s="1425"/>
      <c r="M28" s="1150"/>
      <c r="N28" s="1151"/>
      <c r="O28" s="1151"/>
      <c r="P28" s="1151"/>
      <c r="Q28" s="1151"/>
      <c r="R28" s="1151"/>
      <c r="S28" s="1151"/>
      <c r="T28" s="1152"/>
      <c r="U28" s="1155"/>
      <c r="V28" s="1156"/>
      <c r="W28" s="1142"/>
      <c r="X28" s="1142"/>
      <c r="Y28" s="1142"/>
      <c r="Z28" s="1142"/>
      <c r="AA28" s="1142"/>
      <c r="AB28" s="1142"/>
      <c r="AC28" s="1142"/>
      <c r="AD28" s="1142"/>
      <c r="AE28" s="1155"/>
      <c r="AF28" s="1156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7">
        <f>SUM(AV11:BB25)</f>
        <v>74</v>
      </c>
      <c r="BA28" s="1258"/>
      <c r="BB28" s="1258"/>
      <c r="BC28" s="105"/>
      <c r="BD28" s="365"/>
      <c r="BE28" s="366"/>
    </row>
    <row r="29" spans="1:58" ht="15.2" customHeight="1">
      <c r="B29" s="1245"/>
      <c r="C29" s="1202" t="s">
        <v>10</v>
      </c>
      <c r="D29" s="1260"/>
      <c r="E29" s="1265" t="s">
        <v>11</v>
      </c>
      <c r="F29" s="1266" t="s">
        <v>12</v>
      </c>
      <c r="G29" s="1212" t="s">
        <v>10</v>
      </c>
      <c r="H29" s="1260"/>
      <c r="I29" s="1266" t="s">
        <v>12</v>
      </c>
      <c r="J29" s="1269" t="s">
        <v>13</v>
      </c>
      <c r="K29" s="1221" t="s">
        <v>14</v>
      </c>
      <c r="L29" s="1200" t="s">
        <v>15</v>
      </c>
      <c r="M29" s="1202" t="s">
        <v>10</v>
      </c>
      <c r="N29" s="1203"/>
      <c r="O29" s="1208" t="s">
        <v>11</v>
      </c>
      <c r="P29" s="1210" t="s">
        <v>12</v>
      </c>
      <c r="Q29" s="1212" t="s">
        <v>10</v>
      </c>
      <c r="R29" s="1213"/>
      <c r="S29" s="1210" t="s">
        <v>12</v>
      </c>
      <c r="T29" s="1239" t="s">
        <v>13</v>
      </c>
      <c r="U29" s="1198" t="s">
        <v>14</v>
      </c>
      <c r="V29" s="1200" t="s">
        <v>15</v>
      </c>
      <c r="W29" s="1202" t="s">
        <v>10</v>
      </c>
      <c r="X29" s="1203"/>
      <c r="Y29" s="1208" t="s">
        <v>11</v>
      </c>
      <c r="Z29" s="1210" t="s">
        <v>12</v>
      </c>
      <c r="AA29" s="1212" t="s">
        <v>10</v>
      </c>
      <c r="AB29" s="1213"/>
      <c r="AC29" s="1210" t="s">
        <v>12</v>
      </c>
      <c r="AD29" s="1239" t="s">
        <v>13</v>
      </c>
      <c r="AE29" s="1198" t="s">
        <v>14</v>
      </c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Z29" s="1259"/>
      <c r="BA29" s="1259"/>
      <c r="BB29" s="1259"/>
      <c r="BC29" s="105"/>
      <c r="BD29" s="365"/>
      <c r="BE29" s="365"/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  <c r="AY30" s="6" t="s">
        <v>23</v>
      </c>
      <c r="BD30" s="367">
        <f>+AZ28-AW49</f>
        <v>44</v>
      </c>
      <c r="BE30" s="368" t="s">
        <v>24</v>
      </c>
    </row>
    <row r="31" spans="1:58" ht="15.2" customHeight="1">
      <c r="B31" s="1245"/>
      <c r="C31" s="1261"/>
      <c r="D31" s="1262"/>
      <c r="E31" s="1208"/>
      <c r="F31" s="1210"/>
      <c r="G31" s="1267"/>
      <c r="H31" s="1262"/>
      <c r="I31" s="1210"/>
      <c r="J31" s="1239"/>
      <c r="K31" s="1198"/>
      <c r="L31" s="1200"/>
      <c r="M31" s="1204"/>
      <c r="N31" s="1205"/>
      <c r="O31" s="1208"/>
      <c r="P31" s="1210"/>
      <c r="Q31" s="1214"/>
      <c r="R31" s="1215"/>
      <c r="S31" s="1210"/>
      <c r="T31" s="1239"/>
      <c r="U31" s="1198"/>
      <c r="V31" s="1200"/>
      <c r="W31" s="1204"/>
      <c r="X31" s="1205"/>
      <c r="Y31" s="1208"/>
      <c r="Z31" s="1210"/>
      <c r="AA31" s="1214"/>
      <c r="AB31" s="1215"/>
      <c r="AC31" s="1210"/>
      <c r="AD31" s="1239"/>
      <c r="AE31" s="1198"/>
      <c r="AF31" s="1200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6"/>
      <c r="AS31" s="1227"/>
      <c r="AT31" s="1231"/>
      <c r="AW31" s="1235"/>
      <c r="AX31" s="1236"/>
    </row>
    <row r="32" spans="1:58" ht="15.2" customHeight="1" thickBot="1">
      <c r="B32" s="1246"/>
      <c r="C32" s="1263"/>
      <c r="D32" s="1264"/>
      <c r="E32" s="1209"/>
      <c r="F32" s="1211"/>
      <c r="G32" s="1268"/>
      <c r="H32" s="1264"/>
      <c r="I32" s="1211"/>
      <c r="J32" s="1240"/>
      <c r="K32" s="1199"/>
      <c r="L32" s="1201"/>
      <c r="M32" s="1206"/>
      <c r="N32" s="1207"/>
      <c r="O32" s="1209"/>
      <c r="P32" s="1211"/>
      <c r="Q32" s="1216"/>
      <c r="R32" s="1217"/>
      <c r="S32" s="1211"/>
      <c r="T32" s="1240"/>
      <c r="U32" s="1199"/>
      <c r="V32" s="1201"/>
      <c r="W32" s="1206"/>
      <c r="X32" s="1207"/>
      <c r="Y32" s="1209"/>
      <c r="Z32" s="1211"/>
      <c r="AA32" s="1216"/>
      <c r="AB32" s="1217"/>
      <c r="AC32" s="1211"/>
      <c r="AD32" s="1240"/>
      <c r="AE32" s="1199"/>
      <c r="AF32" s="1201"/>
      <c r="AH32" s="1255"/>
      <c r="AI32" s="1220"/>
      <c r="AJ32" s="1218"/>
      <c r="AK32" s="1218"/>
      <c r="AL32" s="1219"/>
      <c r="AM32" s="1219"/>
      <c r="AN32" s="1220"/>
      <c r="AO32" s="1220"/>
      <c r="AP32" s="1222"/>
      <c r="AQ32" s="1223"/>
      <c r="AR32" s="1228"/>
      <c r="AS32" s="1229"/>
      <c r="AT32" s="1231"/>
      <c r="AW32" s="1237"/>
      <c r="AX32" s="1238"/>
    </row>
    <row r="33" spans="1:56" ht="14.1" customHeight="1">
      <c r="B33" s="15" t="str">
        <f t="shared" ref="B33:B47" si="33">+B11</f>
        <v>Eduardo Segura D.</v>
      </c>
      <c r="C33" s="334"/>
      <c r="D33" s="342"/>
      <c r="E33" s="30"/>
      <c r="F33" s="31">
        <f t="shared" ref="F33:F47" si="34">+D33-C33-E33</f>
        <v>0</v>
      </c>
      <c r="G33" s="33"/>
      <c r="H33" s="47"/>
      <c r="I33" s="31">
        <f t="shared" ref="I33:I47" si="35">+H33-G33</f>
        <v>0</v>
      </c>
      <c r="J33" s="30"/>
      <c r="K33" s="32">
        <f t="shared" ref="K33:K47" si="36">+I33+F33-L33</f>
        <v>0</v>
      </c>
      <c r="L33" s="20">
        <f>IF(C33&gt;0,(F33+I33)+IF(K$27&gt;0,F33,-8),0)+IF(U$27&gt;0,I33,0)</f>
        <v>0</v>
      </c>
      <c r="M33" s="342">
        <v>7</v>
      </c>
      <c r="N33" s="342">
        <v>16</v>
      </c>
      <c r="O33" s="30">
        <v>1</v>
      </c>
      <c r="P33" s="31">
        <f t="shared" ref="P33:P47" si="37">+N33-M33-O33</f>
        <v>8</v>
      </c>
      <c r="Q33" s="106"/>
      <c r="R33" s="107"/>
      <c r="S33" s="31">
        <f t="shared" ref="S33:S47" si="38">+R33-Q33</f>
        <v>0</v>
      </c>
      <c r="T33" s="30"/>
      <c r="U33" s="32">
        <f t="shared" ref="U33:U47" si="39">+S33+P33-V33</f>
        <v>8</v>
      </c>
      <c r="V33" s="20">
        <f t="shared" ref="V33:V47" si="40">IF(M33&gt;0,(P33+S33)+IF(U$28&gt;0,P33,-8),0)+IF(AE$28&gt;0,S33,0)</f>
        <v>0</v>
      </c>
      <c r="W33" s="369">
        <v>7</v>
      </c>
      <c r="X33" s="370">
        <v>16</v>
      </c>
      <c r="Y33" s="108">
        <v>1</v>
      </c>
      <c r="Z33" s="109">
        <f t="shared" ref="Z33:Z47" si="41">+X33-W33-Y33</f>
        <v>8</v>
      </c>
      <c r="AA33" s="370"/>
      <c r="AB33" s="18"/>
      <c r="AC33" s="109">
        <f t="shared" ref="AC33:AC47" si="42">+AB33-AA33</f>
        <v>0</v>
      </c>
      <c r="AD33" s="108"/>
      <c r="AE33" s="110">
        <f t="shared" ref="AE33:AE47" si="43">+AC33+Z33-AF33</f>
        <v>8</v>
      </c>
      <c r="AF33" s="111">
        <f t="shared" ref="AF33:AF47" si="44">IF(W33&gt;0,(Z33+AC33)+IF(AE$27&gt;0,0+Z33,-8),0)</f>
        <v>0</v>
      </c>
      <c r="AG33" s="55"/>
      <c r="AH33" s="112">
        <v>0</v>
      </c>
      <c r="AI33" s="113">
        <f t="shared" ref="AI33:AI47" si="45">+K11+(IF(ISBLANK($K$5),-8,0))</f>
        <v>-8</v>
      </c>
      <c r="AJ33" s="113">
        <f t="shared" ref="AJ33:AJ47" si="46">IF(ISBLANK($U$5),-8,0)+U11</f>
        <v>0</v>
      </c>
      <c r="AK33" s="113">
        <f>IF(ISBLANK($AE$5),-8,0)+AE11</f>
        <v>0.5</v>
      </c>
      <c r="AL33" s="113">
        <f t="shared" ref="AL33:AL47" si="47">IF(ISBLANK($AO$5),-8,0)+AO11+AW33</f>
        <v>0</v>
      </c>
      <c r="AM33" s="113">
        <f t="shared" ref="AM33:AM47" si="48">IF(ISBLANK($K$27),-8,0)+K33</f>
        <v>0</v>
      </c>
      <c r="AN33" s="113">
        <f t="shared" ref="AN33:AN47" si="49">IF(ISBLANK($U$27),-8,0)+U33</f>
        <v>0</v>
      </c>
      <c r="AO33" s="113">
        <f t="shared" ref="AO33:AO47" si="50">IF(ISBLANK($AE$27),-8,0)+AE33</f>
        <v>0</v>
      </c>
      <c r="AP33" s="114">
        <f t="shared" ref="AP33:AP47" si="51">SUM(AH33:AO33)</f>
        <v>-7.5</v>
      </c>
      <c r="AQ33" s="55"/>
      <c r="AR33" s="1159">
        <f t="shared" ref="AR33:AR39" si="52">+X73*Q73</f>
        <v>0</v>
      </c>
      <c r="AS33" s="1197"/>
      <c r="AT33" s="371">
        <f>IF(K11+L11&gt;0,1,0)+IF(U11+V11&gt;0,1,0)+IF(AE11+AF11&gt;0,1,0)+IF(AO11&gt;3,1,0)+IF(K33+L33&gt;0,1,0)+IF(U33+V33&gt;0,1,0)+IF(AE33+AF33&gt;0,1,0)</f>
        <v>4</v>
      </c>
      <c r="AU33" s="55"/>
      <c r="AV33" s="55"/>
      <c r="AW33" s="1134"/>
      <c r="AX33" s="1135"/>
      <c r="BD33" s="115"/>
    </row>
    <row r="34" spans="1:56" ht="14.1" customHeight="1">
      <c r="B34" s="29" t="str">
        <f t="shared" si="33"/>
        <v>Cesar Mendez M.</v>
      </c>
      <c r="C34" s="334"/>
      <c r="D34" s="342"/>
      <c r="E34" s="30"/>
      <c r="F34" s="31">
        <f t="shared" si="34"/>
        <v>0</v>
      </c>
      <c r="G34" s="33"/>
      <c r="H34" s="346"/>
      <c r="I34" s="31">
        <f t="shared" si="35"/>
        <v>0</v>
      </c>
      <c r="J34" s="30"/>
      <c r="K34" s="32">
        <f t="shared" si="36"/>
        <v>0</v>
      </c>
      <c r="L34" s="20">
        <f>IF(C34&gt;0,(F34+I34)+IF(K$27&gt;0,F34,-8),0)+IF(U$27&gt;0,I34,0)</f>
        <v>0</v>
      </c>
      <c r="M34" s="342"/>
      <c r="N34" s="342"/>
      <c r="O34" s="30"/>
      <c r="P34" s="31">
        <f t="shared" si="37"/>
        <v>0</v>
      </c>
      <c r="Q34" s="346"/>
      <c r="R34" s="346"/>
      <c r="S34" s="31">
        <f t="shared" si="38"/>
        <v>0</v>
      </c>
      <c r="T34" s="30"/>
      <c r="U34" s="32">
        <f t="shared" si="39"/>
        <v>0</v>
      </c>
      <c r="V34" s="20">
        <f t="shared" si="40"/>
        <v>0</v>
      </c>
      <c r="W34" s="334"/>
      <c r="X34" s="342"/>
      <c r="Y34" s="30"/>
      <c r="Z34" s="31">
        <f t="shared" si="41"/>
        <v>0</v>
      </c>
      <c r="AA34" s="342"/>
      <c r="AB34" s="116"/>
      <c r="AC34" s="31">
        <f t="shared" si="42"/>
        <v>0</v>
      </c>
      <c r="AD34" s="30"/>
      <c r="AE34" s="32">
        <f t="shared" si="43"/>
        <v>0</v>
      </c>
      <c r="AF34" s="20">
        <f t="shared" si="44"/>
        <v>0</v>
      </c>
      <c r="AG34" s="55"/>
      <c r="AH34" s="112">
        <v>0</v>
      </c>
      <c r="AI34" s="113">
        <f t="shared" si="45"/>
        <v>0</v>
      </c>
      <c r="AJ34" s="113">
        <f t="shared" si="46"/>
        <v>0</v>
      </c>
      <c r="AK34" s="113">
        <f>IF(ISBLANK($AE$5),-8,0)+AE12</f>
        <v>0</v>
      </c>
      <c r="AL34" s="113">
        <f t="shared" si="47"/>
        <v>0</v>
      </c>
      <c r="AM34" s="113">
        <f t="shared" si="48"/>
        <v>0</v>
      </c>
      <c r="AN34" s="113">
        <f t="shared" si="49"/>
        <v>-8</v>
      </c>
      <c r="AO34" s="113">
        <f t="shared" si="50"/>
        <v>-8</v>
      </c>
      <c r="AP34" s="114">
        <f t="shared" si="51"/>
        <v>-16</v>
      </c>
      <c r="AQ34" s="55"/>
      <c r="AR34" s="1159">
        <f t="shared" si="52"/>
        <v>0</v>
      </c>
      <c r="AS34" s="1160"/>
      <c r="AT34" s="117">
        <f t="shared" ref="AT34:AT43" si="53">IF(K12+L12&gt;0,1,0)+IF(U12+V12&gt;0,1,0)+IF(AE12+AF12&gt;0,1,0)+IF(AO12&gt;3,1,0)+IF(K34+L34&gt;0,1,0)+IF(U34+V34&gt;0,1,0)+IF(AE34+AF34&gt;0,1,0)</f>
        <v>3</v>
      </c>
      <c r="AU34" s="55"/>
      <c r="AV34" s="55"/>
      <c r="AW34" s="1134"/>
      <c r="AX34" s="1135"/>
    </row>
    <row r="35" spans="1:56" ht="14.1" customHeight="1">
      <c r="B35" s="29" t="str">
        <f t="shared" si="33"/>
        <v>Miguel Tejada Ll.</v>
      </c>
      <c r="C35" s="334">
        <v>7</v>
      </c>
      <c r="D35" s="342">
        <v>16</v>
      </c>
      <c r="E35" s="30">
        <v>1</v>
      </c>
      <c r="F35" s="31">
        <f t="shared" si="34"/>
        <v>8</v>
      </c>
      <c r="G35" s="346"/>
      <c r="H35" s="346"/>
      <c r="I35" s="31">
        <f t="shared" si="35"/>
        <v>0</v>
      </c>
      <c r="J35" s="30"/>
      <c r="K35" s="32">
        <f t="shared" si="36"/>
        <v>-8</v>
      </c>
      <c r="L35" s="20">
        <f t="shared" ref="L35:L47" si="54">IF(C35&gt;0,(F35+I35)+IF(K$27&gt;0,F35,-8),0)+IF(U$27&gt;0,I35,0)</f>
        <v>16</v>
      </c>
      <c r="M35" s="334">
        <v>7</v>
      </c>
      <c r="N35" s="342">
        <v>17</v>
      </c>
      <c r="O35" s="30">
        <v>1</v>
      </c>
      <c r="P35" s="31">
        <f t="shared" si="37"/>
        <v>9</v>
      </c>
      <c r="Q35" s="106"/>
      <c r="R35" s="106"/>
      <c r="S35" s="31">
        <f t="shared" si="38"/>
        <v>0</v>
      </c>
      <c r="T35" s="30"/>
      <c r="U35" s="32">
        <f t="shared" si="39"/>
        <v>8</v>
      </c>
      <c r="V35" s="20">
        <f t="shared" si="40"/>
        <v>1</v>
      </c>
      <c r="W35" s="334">
        <v>7</v>
      </c>
      <c r="X35" s="342">
        <v>18</v>
      </c>
      <c r="Y35" s="30">
        <v>1</v>
      </c>
      <c r="Z35" s="31">
        <f t="shared" si="41"/>
        <v>10</v>
      </c>
      <c r="AA35" s="342"/>
      <c r="AB35" s="116"/>
      <c r="AC35" s="31">
        <f t="shared" si="42"/>
        <v>0</v>
      </c>
      <c r="AD35" s="30"/>
      <c r="AE35" s="32">
        <f t="shared" si="43"/>
        <v>8</v>
      </c>
      <c r="AF35" s="20">
        <f t="shared" si="44"/>
        <v>2</v>
      </c>
      <c r="AG35" s="55"/>
      <c r="AH35" s="112">
        <v>0</v>
      </c>
      <c r="AI35" s="113">
        <f t="shared" si="45"/>
        <v>-8</v>
      </c>
      <c r="AJ35" s="113">
        <f t="shared" si="46"/>
        <v>0</v>
      </c>
      <c r="AK35" s="113">
        <f>IF(ISBLANK($AE$5),-8,0)+AE13</f>
        <v>0</v>
      </c>
      <c r="AL35" s="113">
        <f t="shared" si="47"/>
        <v>0</v>
      </c>
      <c r="AM35" s="113">
        <f t="shared" si="48"/>
        <v>-8</v>
      </c>
      <c r="AN35" s="113">
        <f t="shared" si="49"/>
        <v>0</v>
      </c>
      <c r="AO35" s="113">
        <f t="shared" si="50"/>
        <v>0</v>
      </c>
      <c r="AP35" s="114">
        <f t="shared" si="51"/>
        <v>-16</v>
      </c>
      <c r="AQ35" s="55"/>
      <c r="AR35" s="1159">
        <f t="shared" si="52"/>
        <v>0</v>
      </c>
      <c r="AS35" s="1160"/>
      <c r="AT35" s="118">
        <f t="shared" si="53"/>
        <v>5</v>
      </c>
      <c r="AU35" s="55"/>
      <c r="AV35" s="55"/>
      <c r="AW35" s="1134"/>
      <c r="AX35" s="1135"/>
    </row>
    <row r="36" spans="1:56" ht="14.1" customHeight="1">
      <c r="B36" s="29" t="str">
        <f t="shared" si="33"/>
        <v>Alejandro Dueñas</v>
      </c>
      <c r="C36" s="372">
        <v>7</v>
      </c>
      <c r="D36" s="348">
        <v>18</v>
      </c>
      <c r="E36" s="119">
        <v>1</v>
      </c>
      <c r="F36" s="120">
        <f t="shared" si="34"/>
        <v>10</v>
      </c>
      <c r="G36" s="346"/>
      <c r="H36" s="346"/>
      <c r="I36" s="120">
        <f t="shared" si="35"/>
        <v>0</v>
      </c>
      <c r="J36" s="119"/>
      <c r="K36" s="121">
        <f t="shared" si="36"/>
        <v>-10</v>
      </c>
      <c r="L36" s="20">
        <f t="shared" si="54"/>
        <v>20</v>
      </c>
      <c r="M36" s="342">
        <v>7</v>
      </c>
      <c r="N36" s="342">
        <v>17</v>
      </c>
      <c r="O36" s="30">
        <v>1</v>
      </c>
      <c r="P36" s="31">
        <f t="shared" si="37"/>
        <v>9</v>
      </c>
      <c r="Q36" s="346"/>
      <c r="R36" s="346"/>
      <c r="S36" s="120">
        <f t="shared" si="38"/>
        <v>0</v>
      </c>
      <c r="T36" s="30"/>
      <c r="U36" s="32">
        <f t="shared" si="39"/>
        <v>8</v>
      </c>
      <c r="V36" s="20">
        <f t="shared" si="40"/>
        <v>1</v>
      </c>
      <c r="W36" s="334">
        <v>7</v>
      </c>
      <c r="X36" s="342">
        <v>18</v>
      </c>
      <c r="Y36" s="30"/>
      <c r="Z36" s="31">
        <f t="shared" si="41"/>
        <v>11</v>
      </c>
      <c r="AA36" s="342"/>
      <c r="AB36" s="342"/>
      <c r="AC36" s="31">
        <f t="shared" si="42"/>
        <v>0</v>
      </c>
      <c r="AD36" s="30"/>
      <c r="AE36" s="32">
        <f t="shared" si="43"/>
        <v>8</v>
      </c>
      <c r="AF36" s="20">
        <f t="shared" si="44"/>
        <v>3</v>
      </c>
      <c r="AG36" s="55"/>
      <c r="AH36" s="112">
        <v>0</v>
      </c>
      <c r="AI36" s="113">
        <f t="shared" si="45"/>
        <v>0</v>
      </c>
      <c r="AJ36" s="113">
        <f t="shared" si="46"/>
        <v>0</v>
      </c>
      <c r="AK36" s="113">
        <f>IF(ISBLANK($AE$5),-8,0)+AE14</f>
        <v>0</v>
      </c>
      <c r="AL36" s="113">
        <f t="shared" si="47"/>
        <v>0</v>
      </c>
      <c r="AM36" s="113">
        <f t="shared" si="48"/>
        <v>-10</v>
      </c>
      <c r="AN36" s="113">
        <f t="shared" si="49"/>
        <v>0</v>
      </c>
      <c r="AO36" s="113">
        <f t="shared" si="50"/>
        <v>0</v>
      </c>
      <c r="AP36" s="114">
        <f t="shared" si="51"/>
        <v>-10</v>
      </c>
      <c r="AQ36" s="55"/>
      <c r="AR36" s="1159">
        <f t="shared" si="52"/>
        <v>0</v>
      </c>
      <c r="AS36" s="1160"/>
      <c r="AT36" s="118">
        <f t="shared" si="53"/>
        <v>7</v>
      </c>
      <c r="AU36" s="55"/>
      <c r="AV36" s="55"/>
      <c r="AW36" s="1195">
        <v>-18</v>
      </c>
      <c r="AX36" s="1196"/>
      <c r="AY36" s="122"/>
      <c r="BD36" s="115"/>
    </row>
    <row r="37" spans="1:56" ht="14.1" customHeight="1">
      <c r="B37" s="48" t="str">
        <f t="shared" si="33"/>
        <v>Juan Manrique V.</v>
      </c>
      <c r="C37" s="334"/>
      <c r="D37" s="342"/>
      <c r="E37" s="30"/>
      <c r="F37" s="31">
        <f t="shared" si="34"/>
        <v>0</v>
      </c>
      <c r="G37" s="33"/>
      <c r="H37" s="47"/>
      <c r="I37" s="31">
        <f t="shared" si="35"/>
        <v>0</v>
      </c>
      <c r="J37" s="30"/>
      <c r="K37" s="32">
        <f t="shared" si="36"/>
        <v>0</v>
      </c>
      <c r="L37" s="20">
        <f t="shared" si="54"/>
        <v>0</v>
      </c>
      <c r="M37" s="342">
        <v>7</v>
      </c>
      <c r="N37" s="342">
        <v>18</v>
      </c>
      <c r="O37" s="30">
        <v>1</v>
      </c>
      <c r="P37" s="31">
        <f t="shared" si="37"/>
        <v>10</v>
      </c>
      <c r="Q37" s="106"/>
      <c r="R37" s="106"/>
      <c r="S37" s="31">
        <f t="shared" si="38"/>
        <v>0</v>
      </c>
      <c r="T37" s="30"/>
      <c r="U37" s="32">
        <f t="shared" si="39"/>
        <v>8</v>
      </c>
      <c r="V37" s="20">
        <f t="shared" si="40"/>
        <v>2</v>
      </c>
      <c r="W37" s="334"/>
      <c r="X37" s="342"/>
      <c r="Y37" s="30"/>
      <c r="Z37" s="31">
        <f t="shared" si="41"/>
        <v>0</v>
      </c>
      <c r="AA37" s="342"/>
      <c r="AB37" s="342"/>
      <c r="AC37" s="31">
        <f t="shared" si="42"/>
        <v>0</v>
      </c>
      <c r="AD37" s="30"/>
      <c r="AE37" s="32">
        <f t="shared" si="43"/>
        <v>0</v>
      </c>
      <c r="AF37" s="20">
        <f t="shared" si="44"/>
        <v>0</v>
      </c>
      <c r="AG37" s="55"/>
      <c r="AH37" s="112">
        <v>0</v>
      </c>
      <c r="AI37" s="113">
        <f t="shared" si="45"/>
        <v>-8</v>
      </c>
      <c r="AJ37" s="113">
        <f t="shared" si="46"/>
        <v>0</v>
      </c>
      <c r="AK37" s="113">
        <f>IF(ISBLANK($AE$5),-8,0)+AE15</f>
        <v>0.5</v>
      </c>
      <c r="AL37" s="113">
        <f t="shared" si="47"/>
        <v>0</v>
      </c>
      <c r="AM37" s="113">
        <f t="shared" si="48"/>
        <v>0</v>
      </c>
      <c r="AN37" s="113">
        <f t="shared" si="49"/>
        <v>0</v>
      </c>
      <c r="AO37" s="113">
        <f t="shared" si="50"/>
        <v>-8</v>
      </c>
      <c r="AP37" s="114">
        <f t="shared" si="51"/>
        <v>-15.5</v>
      </c>
      <c r="AQ37" s="55"/>
      <c r="AR37" s="1159">
        <f t="shared" si="52"/>
        <v>0</v>
      </c>
      <c r="AS37" s="1160"/>
      <c r="AT37" s="118">
        <f t="shared" si="53"/>
        <v>3</v>
      </c>
      <c r="AU37" s="55"/>
      <c r="AV37" s="55"/>
      <c r="AW37" s="1195"/>
      <c r="AX37" s="1196"/>
      <c r="AZ37" s="115"/>
      <c r="BD37" s="115"/>
    </row>
    <row r="38" spans="1:56" ht="14.1" customHeight="1">
      <c r="B38" s="123" t="str">
        <f t="shared" si="33"/>
        <v xml:space="preserve"> Irving Huaringa B.</v>
      </c>
      <c r="C38" s="334"/>
      <c r="D38" s="342"/>
      <c r="E38" s="30"/>
      <c r="F38" s="31">
        <f>+D38-C38-E38</f>
        <v>0</v>
      </c>
      <c r="G38" s="33"/>
      <c r="H38" s="346"/>
      <c r="I38" s="31">
        <f>+H38-G38</f>
        <v>0</v>
      </c>
      <c r="J38" s="30"/>
      <c r="K38" s="32">
        <f>+I38+F38-L38</f>
        <v>0</v>
      </c>
      <c r="L38" s="20">
        <f t="shared" si="54"/>
        <v>0</v>
      </c>
      <c r="M38" s="342">
        <v>7</v>
      </c>
      <c r="N38" s="342">
        <v>16</v>
      </c>
      <c r="O38" s="30">
        <v>1</v>
      </c>
      <c r="P38" s="31">
        <f>+N38-M38-O38</f>
        <v>8</v>
      </c>
      <c r="Q38" s="106"/>
      <c r="R38" s="106"/>
      <c r="S38" s="31">
        <f>+R38-Q38</f>
        <v>0</v>
      </c>
      <c r="T38" s="30"/>
      <c r="U38" s="32">
        <f>+S38+P38-V38</f>
        <v>8</v>
      </c>
      <c r="V38" s="20">
        <f>IF(M38&gt;0,(P38+S38)+IF(U$28&gt;0,P38,-8),0)+IF(AE$28&gt;0,S38,0)</f>
        <v>0</v>
      </c>
      <c r="W38" s="334">
        <v>8</v>
      </c>
      <c r="X38" s="342">
        <v>16</v>
      </c>
      <c r="Y38" s="30">
        <v>1</v>
      </c>
      <c r="Z38" s="31">
        <f>+X38-W38-Y38</f>
        <v>7</v>
      </c>
      <c r="AA38" s="342"/>
      <c r="AB38" s="342"/>
      <c r="AC38" s="31">
        <f>+AB38-AA38</f>
        <v>0</v>
      </c>
      <c r="AD38" s="30"/>
      <c r="AE38" s="32">
        <f>+AC38+Z38-AF38</f>
        <v>8</v>
      </c>
      <c r="AF38" s="20">
        <f t="shared" si="44"/>
        <v>-1</v>
      </c>
      <c r="AG38" s="55"/>
      <c r="AH38" s="112">
        <v>0</v>
      </c>
      <c r="AI38" s="113">
        <f t="shared" si="45"/>
        <v>0</v>
      </c>
      <c r="AJ38" s="113">
        <f t="shared" si="46"/>
        <v>0</v>
      </c>
      <c r="AK38" s="124">
        <f>IF(ISBLANK($AE$5),-5,0)+AE16</f>
        <v>1</v>
      </c>
      <c r="AL38" s="113">
        <f t="shared" si="47"/>
        <v>0</v>
      </c>
      <c r="AM38" s="125">
        <f>IF(ISBLANK($K$27),-8,0)+K38</f>
        <v>0</v>
      </c>
      <c r="AN38" s="125">
        <f>IF(ISBLANK($U$27),-8,0)+U38</f>
        <v>0</v>
      </c>
      <c r="AO38" s="125">
        <f>IF(ISBLANK($AE$27),-8,0)+AE38</f>
        <v>0</v>
      </c>
      <c r="AP38" s="114">
        <f>SUM(AH38:AO38)</f>
        <v>1</v>
      </c>
      <c r="AQ38" s="55"/>
      <c r="AR38" s="1159">
        <f t="shared" si="52"/>
        <v>0</v>
      </c>
      <c r="AS38" s="1160"/>
      <c r="AT38" s="118">
        <f t="shared" si="53"/>
        <v>5</v>
      </c>
      <c r="AU38" s="55"/>
      <c r="AV38" s="55"/>
      <c r="AW38" s="1134"/>
      <c r="AX38" s="1135"/>
    </row>
    <row r="39" spans="1:56" ht="14.1" customHeight="1">
      <c r="B39" s="48" t="str">
        <f t="shared" si="33"/>
        <v xml:space="preserve">   .  -  </v>
      </c>
      <c r="C39" s="334"/>
      <c r="D39" s="342"/>
      <c r="E39" s="30"/>
      <c r="F39" s="31">
        <f t="shared" si="34"/>
        <v>0</v>
      </c>
      <c r="G39" s="33"/>
      <c r="H39" s="346"/>
      <c r="I39" s="31">
        <f t="shared" si="35"/>
        <v>0</v>
      </c>
      <c r="J39" s="30"/>
      <c r="K39" s="32">
        <f t="shared" si="36"/>
        <v>0</v>
      </c>
      <c r="L39" s="20">
        <f t="shared" si="54"/>
        <v>0</v>
      </c>
      <c r="M39" s="342"/>
      <c r="N39" s="342"/>
      <c r="O39" s="30"/>
      <c r="P39" s="31">
        <f t="shared" si="37"/>
        <v>0</v>
      </c>
      <c r="Q39" s="106"/>
      <c r="R39" s="106"/>
      <c r="S39" s="31">
        <f t="shared" si="38"/>
        <v>0</v>
      </c>
      <c r="T39" s="30"/>
      <c r="U39" s="32">
        <f t="shared" si="39"/>
        <v>0</v>
      </c>
      <c r="V39" s="20">
        <f t="shared" si="40"/>
        <v>0</v>
      </c>
      <c r="W39" s="334"/>
      <c r="X39" s="342"/>
      <c r="Y39" s="30"/>
      <c r="Z39" s="31">
        <f t="shared" si="41"/>
        <v>0</v>
      </c>
      <c r="AA39" s="39"/>
      <c r="AB39" s="39"/>
      <c r="AC39" s="32">
        <f t="shared" si="42"/>
        <v>0</v>
      </c>
      <c r="AD39" s="39"/>
      <c r="AE39" s="32">
        <f t="shared" si="43"/>
        <v>0</v>
      </c>
      <c r="AF39" s="20">
        <f t="shared" si="44"/>
        <v>0</v>
      </c>
      <c r="AG39" s="55"/>
      <c r="AH39" s="112">
        <v>0</v>
      </c>
      <c r="AI39" s="113">
        <f t="shared" si="45"/>
        <v>-8</v>
      </c>
      <c r="AJ39" s="113">
        <f t="shared" si="46"/>
        <v>-8</v>
      </c>
      <c r="AK39" s="113">
        <f t="shared" ref="AK39:AK47" si="55">IF(ISBLANK($AE$5),-8,0)+AE17</f>
        <v>-8</v>
      </c>
      <c r="AL39" s="113">
        <f t="shared" si="47"/>
        <v>0</v>
      </c>
      <c r="AM39" s="113">
        <f t="shared" si="48"/>
        <v>0</v>
      </c>
      <c r="AN39" s="113">
        <f t="shared" si="49"/>
        <v>-8</v>
      </c>
      <c r="AO39" s="113">
        <f t="shared" si="50"/>
        <v>-8</v>
      </c>
      <c r="AP39" s="114">
        <f t="shared" si="51"/>
        <v>-40</v>
      </c>
      <c r="AQ39" s="55"/>
      <c r="AR39" s="1159">
        <f t="shared" si="52"/>
        <v>0</v>
      </c>
      <c r="AS39" s="1160"/>
      <c r="AT39" s="118">
        <f t="shared" si="53"/>
        <v>0</v>
      </c>
      <c r="AU39" s="55"/>
      <c r="AV39" s="55"/>
      <c r="AW39" s="1134"/>
      <c r="AX39" s="1135"/>
      <c r="AZ39" s="115"/>
    </row>
    <row r="40" spans="1:56" ht="14.1" customHeight="1">
      <c r="B40" s="57" t="str">
        <f t="shared" si="33"/>
        <v xml:space="preserve">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4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40"/>
        <v>0</v>
      </c>
      <c r="W40" s="334"/>
      <c r="X40" s="342"/>
      <c r="Y40" s="30"/>
      <c r="Z40" s="31">
        <f t="shared" si="41"/>
        <v>0</v>
      </c>
      <c r="AA40" s="342"/>
      <c r="AB40" s="342"/>
      <c r="AC40" s="31">
        <f t="shared" si="42"/>
        <v>0</v>
      </c>
      <c r="AD40" s="30"/>
      <c r="AE40" s="32">
        <f t="shared" si="43"/>
        <v>0</v>
      </c>
      <c r="AF40" s="20">
        <f t="shared" si="44"/>
        <v>0</v>
      </c>
      <c r="AG40" s="55"/>
      <c r="AH40" s="112">
        <v>0</v>
      </c>
      <c r="AI40" s="113">
        <f t="shared" si="45"/>
        <v>-8</v>
      </c>
      <c r="AJ40" s="113">
        <f t="shared" si="46"/>
        <v>-8</v>
      </c>
      <c r="AK40" s="113">
        <f t="shared" si="55"/>
        <v>-8</v>
      </c>
      <c r="AL40" s="113">
        <f t="shared" si="47"/>
        <v>0</v>
      </c>
      <c r="AM40" s="125">
        <f t="shared" si="48"/>
        <v>0</v>
      </c>
      <c r="AN40" s="125">
        <f t="shared" si="49"/>
        <v>-8</v>
      </c>
      <c r="AO40" s="125">
        <f t="shared" si="50"/>
        <v>-8</v>
      </c>
      <c r="AP40" s="114">
        <f t="shared" si="51"/>
        <v>-40</v>
      </c>
      <c r="AQ40" s="55"/>
      <c r="AR40" s="1159">
        <f>+X78*Q78</f>
        <v>0</v>
      </c>
      <c r="AS40" s="1160"/>
      <c r="AT40" s="118">
        <f t="shared" si="53"/>
        <v>0</v>
      </c>
      <c r="AU40" s="55"/>
      <c r="AV40" s="55"/>
      <c r="AW40" s="1134"/>
      <c r="AX40" s="1135"/>
    </row>
    <row r="41" spans="1:56" ht="14.1" customHeight="1">
      <c r="B41" s="58" t="str">
        <f t="shared" si="33"/>
        <v>Luis Gomez U.</v>
      </c>
      <c r="C41" s="334"/>
      <c r="D41" s="342"/>
      <c r="E41" s="30"/>
      <c r="F41" s="31">
        <f t="shared" si="34"/>
        <v>0</v>
      </c>
      <c r="G41" s="33"/>
      <c r="H41" s="346"/>
      <c r="I41" s="31">
        <f t="shared" si="35"/>
        <v>0</v>
      </c>
      <c r="J41" s="30"/>
      <c r="K41" s="32">
        <f t="shared" si="36"/>
        <v>0</v>
      </c>
      <c r="L41" s="20">
        <f t="shared" si="54"/>
        <v>0</v>
      </c>
      <c r="M41" s="342"/>
      <c r="N41" s="342"/>
      <c r="O41" s="30"/>
      <c r="P41" s="31">
        <f t="shared" si="37"/>
        <v>0</v>
      </c>
      <c r="Q41" s="106"/>
      <c r="R41" s="106"/>
      <c r="S41" s="31">
        <f t="shared" si="38"/>
        <v>0</v>
      </c>
      <c r="T41" s="30"/>
      <c r="U41" s="32">
        <f t="shared" si="39"/>
        <v>0</v>
      </c>
      <c r="V41" s="20">
        <f t="shared" si="40"/>
        <v>0</v>
      </c>
      <c r="W41" s="334"/>
      <c r="X41" s="342"/>
      <c r="Y41" s="30"/>
      <c r="Z41" s="31">
        <f t="shared" si="41"/>
        <v>0</v>
      </c>
      <c r="AA41" s="342"/>
      <c r="AB41" s="346"/>
      <c r="AC41" s="44">
        <f t="shared" si="42"/>
        <v>0</v>
      </c>
      <c r="AD41" s="30"/>
      <c r="AE41" s="32">
        <f t="shared" si="43"/>
        <v>0</v>
      </c>
      <c r="AF41" s="20">
        <f t="shared" si="44"/>
        <v>0</v>
      </c>
      <c r="AG41" s="126"/>
      <c r="AH41" s="127">
        <v>0</v>
      </c>
      <c r="AI41" s="113">
        <f t="shared" si="45"/>
        <v>0</v>
      </c>
      <c r="AJ41" s="113">
        <f t="shared" si="46"/>
        <v>0</v>
      </c>
      <c r="AK41" s="128">
        <f t="shared" si="55"/>
        <v>-8</v>
      </c>
      <c r="AL41" s="113">
        <f t="shared" si="47"/>
        <v>0</v>
      </c>
      <c r="AM41" s="113">
        <f t="shared" si="48"/>
        <v>0</v>
      </c>
      <c r="AN41" s="113">
        <f t="shared" si="49"/>
        <v>-8</v>
      </c>
      <c r="AO41" s="113">
        <f t="shared" si="50"/>
        <v>-8</v>
      </c>
      <c r="AP41" s="114">
        <f t="shared" si="51"/>
        <v>-24</v>
      </c>
      <c r="AQ41" s="55"/>
      <c r="AR41" s="1159">
        <f>+X80*Q80</f>
        <v>0</v>
      </c>
      <c r="AS41" s="1160"/>
      <c r="AT41" s="118">
        <f t="shared" si="53"/>
        <v>2</v>
      </c>
      <c r="AU41" s="55"/>
      <c r="AV41" s="55"/>
      <c r="AW41" s="1134"/>
      <c r="AX41" s="1135"/>
      <c r="AZ41" s="115"/>
    </row>
    <row r="42" spans="1:56" ht="14.1" customHeight="1">
      <c r="B42" s="129" t="str">
        <f t="shared" si="33"/>
        <v>Kevin Ortiz J.</v>
      </c>
      <c r="C42" s="353"/>
      <c r="D42" s="354"/>
      <c r="E42" s="61"/>
      <c r="F42" s="62">
        <f t="shared" si="34"/>
        <v>0</v>
      </c>
      <c r="G42" s="65"/>
      <c r="H42" s="354"/>
      <c r="I42" s="62">
        <f t="shared" si="35"/>
        <v>0</v>
      </c>
      <c r="J42" s="61"/>
      <c r="K42" s="63">
        <f t="shared" si="36"/>
        <v>0</v>
      </c>
      <c r="L42" s="130">
        <f t="shared" si="54"/>
        <v>0</v>
      </c>
      <c r="M42" s="354"/>
      <c r="N42" s="354"/>
      <c r="O42" s="61"/>
      <c r="P42" s="62">
        <f t="shared" si="37"/>
        <v>0</v>
      </c>
      <c r="Q42" s="131"/>
      <c r="R42" s="131"/>
      <c r="S42" s="62">
        <f t="shared" si="38"/>
        <v>0</v>
      </c>
      <c r="T42" s="61"/>
      <c r="U42" s="63">
        <f t="shared" si="39"/>
        <v>0</v>
      </c>
      <c r="V42" s="130">
        <f t="shared" si="40"/>
        <v>0</v>
      </c>
      <c r="W42" s="353"/>
      <c r="X42" s="354"/>
      <c r="Y42" s="61"/>
      <c r="Z42" s="62">
        <f t="shared" si="41"/>
        <v>0</v>
      </c>
      <c r="AA42" s="354"/>
      <c r="AB42" s="354"/>
      <c r="AC42" s="62">
        <f t="shared" si="42"/>
        <v>0</v>
      </c>
      <c r="AD42" s="61"/>
      <c r="AE42" s="63">
        <f t="shared" si="43"/>
        <v>0</v>
      </c>
      <c r="AF42" s="130">
        <f t="shared" si="44"/>
        <v>0</v>
      </c>
      <c r="AG42" s="55"/>
      <c r="AH42" s="127">
        <v>0</v>
      </c>
      <c r="AI42" s="113">
        <f t="shared" si="45"/>
        <v>-8</v>
      </c>
      <c r="AJ42" s="113">
        <f t="shared" si="46"/>
        <v>-8</v>
      </c>
      <c r="AK42" s="128">
        <f t="shared" si="55"/>
        <v>-8</v>
      </c>
      <c r="AL42" s="113">
        <f t="shared" si="47"/>
        <v>0</v>
      </c>
      <c r="AM42" s="113">
        <f t="shared" si="48"/>
        <v>0</v>
      </c>
      <c r="AN42" s="113">
        <f t="shared" si="49"/>
        <v>-8</v>
      </c>
      <c r="AO42" s="113">
        <f t="shared" si="50"/>
        <v>-8</v>
      </c>
      <c r="AP42" s="114">
        <f t="shared" si="51"/>
        <v>-40</v>
      </c>
      <c r="AQ42" s="55"/>
      <c r="AR42" s="1159">
        <f>+X81*Q81</f>
        <v>0</v>
      </c>
      <c r="AS42" s="1160"/>
      <c r="AT42" s="118">
        <f t="shared" si="53"/>
        <v>0</v>
      </c>
      <c r="AU42" s="55"/>
      <c r="AV42" s="55"/>
      <c r="AW42" s="1134"/>
      <c r="AX42" s="1135"/>
    </row>
    <row r="43" spans="1:56" ht="14.1" customHeight="1">
      <c r="B43" s="132" t="str">
        <f t="shared" si="33"/>
        <v xml:space="preserve">  </v>
      </c>
      <c r="C43" s="334"/>
      <c r="D43" s="342"/>
      <c r="E43" s="30"/>
      <c r="F43" s="31">
        <f t="shared" si="34"/>
        <v>0</v>
      </c>
      <c r="G43" s="33"/>
      <c r="H43" s="346"/>
      <c r="I43" s="31">
        <f t="shared" si="35"/>
        <v>0</v>
      </c>
      <c r="J43" s="30"/>
      <c r="K43" s="32">
        <f t="shared" si="36"/>
        <v>0</v>
      </c>
      <c r="L43" s="20">
        <f t="shared" si="54"/>
        <v>0</v>
      </c>
      <c r="M43" s="342"/>
      <c r="N43" s="342"/>
      <c r="O43" s="30"/>
      <c r="P43" s="88">
        <f t="shared" si="37"/>
        <v>0</v>
      </c>
      <c r="Q43" s="133"/>
      <c r="R43" s="133"/>
      <c r="S43" s="88">
        <f t="shared" si="38"/>
        <v>0</v>
      </c>
      <c r="T43" s="87"/>
      <c r="U43" s="32">
        <f t="shared" si="39"/>
        <v>0</v>
      </c>
      <c r="V43" s="89">
        <f t="shared" si="40"/>
        <v>0</v>
      </c>
      <c r="W43" s="86"/>
      <c r="X43" s="87"/>
      <c r="Y43" s="87"/>
      <c r="Z43" s="88">
        <f t="shared" si="41"/>
        <v>0</v>
      </c>
      <c r="AA43" s="87"/>
      <c r="AB43" s="87"/>
      <c r="AC43" s="88">
        <f t="shared" si="42"/>
        <v>0</v>
      </c>
      <c r="AD43" s="87"/>
      <c r="AE43" s="88">
        <f t="shared" si="43"/>
        <v>0</v>
      </c>
      <c r="AF43" s="89">
        <f t="shared" si="44"/>
        <v>0</v>
      </c>
      <c r="AG43" s="55"/>
      <c r="AH43" s="127">
        <v>0</v>
      </c>
      <c r="AI43" s="113">
        <f t="shared" si="45"/>
        <v>-8</v>
      </c>
      <c r="AJ43" s="113">
        <f t="shared" si="46"/>
        <v>-8</v>
      </c>
      <c r="AK43" s="128">
        <f t="shared" si="55"/>
        <v>-8</v>
      </c>
      <c r="AL43" s="113">
        <f t="shared" si="47"/>
        <v>0</v>
      </c>
      <c r="AM43" s="113">
        <f t="shared" si="48"/>
        <v>0</v>
      </c>
      <c r="AN43" s="113">
        <f t="shared" si="49"/>
        <v>-8</v>
      </c>
      <c r="AO43" s="113">
        <f t="shared" si="50"/>
        <v>-8</v>
      </c>
      <c r="AP43" s="114">
        <f t="shared" si="51"/>
        <v>-40</v>
      </c>
      <c r="AQ43" s="55"/>
      <c r="AR43" s="1159"/>
      <c r="AS43" s="1160"/>
      <c r="AT43" s="118">
        <f t="shared" si="53"/>
        <v>0</v>
      </c>
      <c r="AU43" s="55"/>
      <c r="AV43" s="55"/>
      <c r="AW43" s="1134"/>
      <c r="AX43" s="1135"/>
    </row>
    <row r="44" spans="1:56" s="81" customFormat="1" ht="14.1" customHeight="1">
      <c r="A44" s="72"/>
      <c r="B44" s="73" t="str">
        <f t="shared" si="33"/>
        <v>Jaime Lizarbe C.</v>
      </c>
      <c r="C44" s="75"/>
      <c r="D44" s="75"/>
      <c r="E44" s="75"/>
      <c r="F44" s="76">
        <f t="shared" si="34"/>
        <v>0</v>
      </c>
      <c r="G44" s="75"/>
      <c r="H44" s="75"/>
      <c r="I44" s="76">
        <f t="shared" si="35"/>
        <v>0</v>
      </c>
      <c r="J44" s="75"/>
      <c r="K44" s="76">
        <f t="shared" si="36"/>
        <v>0</v>
      </c>
      <c r="L44" s="77">
        <f t="shared" si="54"/>
        <v>0</v>
      </c>
      <c r="M44" s="75"/>
      <c r="N44" s="75"/>
      <c r="O44" s="75"/>
      <c r="P44" s="76">
        <f t="shared" si="37"/>
        <v>0</v>
      </c>
      <c r="Q44" s="134"/>
      <c r="R44" s="134"/>
      <c r="S44" s="76">
        <f t="shared" si="38"/>
        <v>0</v>
      </c>
      <c r="T44" s="75"/>
      <c r="U44" s="76">
        <f t="shared" si="39"/>
        <v>0</v>
      </c>
      <c r="V44" s="77">
        <f t="shared" si="40"/>
        <v>0</v>
      </c>
      <c r="W44" s="74"/>
      <c r="X44" s="75"/>
      <c r="Y44" s="75"/>
      <c r="Z44" s="76">
        <f t="shared" si="41"/>
        <v>0</v>
      </c>
      <c r="AA44" s="75"/>
      <c r="AB44" s="75"/>
      <c r="AC44" s="76">
        <f t="shared" si="42"/>
        <v>0</v>
      </c>
      <c r="AD44" s="75"/>
      <c r="AE44" s="76">
        <f t="shared" si="43"/>
        <v>0</v>
      </c>
      <c r="AF44" s="77">
        <f t="shared" si="44"/>
        <v>0</v>
      </c>
      <c r="AG44" s="55"/>
      <c r="AH44" s="135">
        <v>0</v>
      </c>
      <c r="AI44" s="136">
        <f t="shared" si="45"/>
        <v>-8</v>
      </c>
      <c r="AJ44" s="136">
        <f t="shared" si="46"/>
        <v>-8</v>
      </c>
      <c r="AK44" s="136">
        <f t="shared" si="55"/>
        <v>-8</v>
      </c>
      <c r="AL44" s="136">
        <f t="shared" si="47"/>
        <v>0</v>
      </c>
      <c r="AM44" s="136">
        <f t="shared" si="48"/>
        <v>0</v>
      </c>
      <c r="AN44" s="136">
        <f t="shared" si="49"/>
        <v>-8</v>
      </c>
      <c r="AO44" s="136">
        <f t="shared" si="50"/>
        <v>-8</v>
      </c>
      <c r="AP44" s="137">
        <f t="shared" si="51"/>
        <v>-40</v>
      </c>
      <c r="AQ44" s="138"/>
      <c r="AR44" s="1390">
        <f>+X83*Q83</f>
        <v>0</v>
      </c>
      <c r="AS44" s="1391"/>
      <c r="AT44" s="139">
        <f>IF(K22+L22&gt;0,1,0)+IF(U22+V22&gt;0,1,0)+IF(AE22+AF22&gt;0,1,0)+IF(AO22&gt;3,1,0)+IF(K44+L44&gt;0,1,0)+IF(U44+V44&gt;0,1,0)+IF(AE44+AF44&gt;0,1,0)+AV44</f>
        <v>0</v>
      </c>
      <c r="AU44" s="138"/>
      <c r="AV44" s="138"/>
      <c r="AW44" s="1392"/>
      <c r="AX44" s="1393"/>
    </row>
    <row r="45" spans="1:56" ht="14.1" customHeight="1">
      <c r="B45" s="140" t="str">
        <f t="shared" si="33"/>
        <v>Antony Tejada Ch.</v>
      </c>
      <c r="C45" s="372"/>
      <c r="D45" s="348"/>
      <c r="E45" s="119"/>
      <c r="F45" s="120">
        <f t="shared" si="34"/>
        <v>0</v>
      </c>
      <c r="G45" s="141"/>
      <c r="H45" s="348"/>
      <c r="I45" s="120">
        <f t="shared" si="35"/>
        <v>0</v>
      </c>
      <c r="J45" s="119"/>
      <c r="K45" s="121">
        <f t="shared" si="36"/>
        <v>0</v>
      </c>
      <c r="L45" s="142">
        <f t="shared" si="54"/>
        <v>0</v>
      </c>
      <c r="M45" s="342">
        <v>7</v>
      </c>
      <c r="N45" s="342">
        <v>16</v>
      </c>
      <c r="O45" s="30">
        <v>1</v>
      </c>
      <c r="P45" s="31">
        <f t="shared" si="37"/>
        <v>8</v>
      </c>
      <c r="Q45" s="348"/>
      <c r="R45" s="348"/>
      <c r="S45" s="88">
        <f t="shared" si="38"/>
        <v>0</v>
      </c>
      <c r="T45" s="87"/>
      <c r="U45" s="32">
        <f t="shared" si="39"/>
        <v>8</v>
      </c>
      <c r="V45" s="89">
        <f t="shared" si="40"/>
        <v>0</v>
      </c>
      <c r="W45" s="334">
        <v>11</v>
      </c>
      <c r="X45" s="342">
        <v>17</v>
      </c>
      <c r="Y45" s="30">
        <v>1</v>
      </c>
      <c r="Z45" s="31">
        <f t="shared" si="41"/>
        <v>5</v>
      </c>
      <c r="AA45" s="342"/>
      <c r="AB45" s="342"/>
      <c r="AC45" s="44">
        <f t="shared" si="42"/>
        <v>0</v>
      </c>
      <c r="AD45" s="30"/>
      <c r="AE45" s="32">
        <f t="shared" si="43"/>
        <v>8</v>
      </c>
      <c r="AF45" s="20">
        <f t="shared" si="44"/>
        <v>-3</v>
      </c>
      <c r="AG45" s="55"/>
      <c r="AH45" s="143">
        <v>0</v>
      </c>
      <c r="AI45" s="144">
        <f t="shared" si="45"/>
        <v>-8</v>
      </c>
      <c r="AJ45" s="144">
        <f t="shared" si="46"/>
        <v>0</v>
      </c>
      <c r="AK45" s="144">
        <f t="shared" si="55"/>
        <v>-8</v>
      </c>
      <c r="AL45" s="144">
        <f t="shared" si="47"/>
        <v>0</v>
      </c>
      <c r="AM45" s="144">
        <f t="shared" si="48"/>
        <v>0</v>
      </c>
      <c r="AN45" s="144">
        <f t="shared" si="49"/>
        <v>0</v>
      </c>
      <c r="AO45" s="144">
        <f t="shared" si="50"/>
        <v>0</v>
      </c>
      <c r="AP45" s="145">
        <f t="shared" si="51"/>
        <v>-16</v>
      </c>
      <c r="AQ45" s="55"/>
      <c r="AR45" s="1159">
        <f>+X84*Q84</f>
        <v>0</v>
      </c>
      <c r="AS45" s="1160"/>
      <c r="AT45" s="118">
        <f>IF(K23+L23&gt;0,1,0)+IF(U23+V23&gt;0,1,0)+IF(AE23+AF23&gt;0,1,0)+IF(AO23&gt;3,1,0)+IF(K45+L45&gt;0,1,0)+IF(U45+V45&gt;0,1,0)+IF(AE45+AF45&gt;0,1,0)</f>
        <v>4</v>
      </c>
      <c r="AU45" s="55"/>
      <c r="AV45" s="55"/>
      <c r="AW45" s="1134">
        <v>-12</v>
      </c>
      <c r="AX45" s="1135"/>
    </row>
    <row r="46" spans="1:56" ht="14.1" customHeight="1">
      <c r="B46" s="146" t="str">
        <f t="shared" si="33"/>
        <v xml:space="preserve"> </v>
      </c>
      <c r="C46" s="87"/>
      <c r="D46" s="87"/>
      <c r="E46" s="87"/>
      <c r="F46" s="88">
        <f t="shared" si="34"/>
        <v>0</v>
      </c>
      <c r="G46" s="87"/>
      <c r="H46" s="87"/>
      <c r="I46" s="88">
        <f t="shared" si="35"/>
        <v>0</v>
      </c>
      <c r="J46" s="87"/>
      <c r="K46" s="88">
        <f t="shared" si="36"/>
        <v>0</v>
      </c>
      <c r="L46" s="89">
        <f t="shared" si="54"/>
        <v>0</v>
      </c>
      <c r="M46" s="147"/>
      <c r="N46" s="147"/>
      <c r="O46" s="147"/>
      <c r="P46" s="148">
        <f t="shared" si="37"/>
        <v>0</v>
      </c>
      <c r="Q46" s="149"/>
      <c r="R46" s="149"/>
      <c r="S46" s="148">
        <f t="shared" si="38"/>
        <v>0</v>
      </c>
      <c r="T46" s="147"/>
      <c r="U46" s="148">
        <f t="shared" si="39"/>
        <v>0</v>
      </c>
      <c r="V46" s="150">
        <f t="shared" si="40"/>
        <v>0</v>
      </c>
      <c r="W46" s="151"/>
      <c r="X46" s="147"/>
      <c r="Y46" s="147"/>
      <c r="Z46" s="148">
        <f t="shared" si="41"/>
        <v>0</v>
      </c>
      <c r="AA46" s="147"/>
      <c r="AB46" s="152"/>
      <c r="AC46" s="148">
        <f t="shared" si="42"/>
        <v>0</v>
      </c>
      <c r="AD46" s="147"/>
      <c r="AE46" s="148">
        <f t="shared" si="43"/>
        <v>0</v>
      </c>
      <c r="AF46" s="150">
        <f t="shared" si="44"/>
        <v>0</v>
      </c>
      <c r="AG46" s="55"/>
      <c r="AH46" s="127">
        <v>0</v>
      </c>
      <c r="AI46" s="113">
        <f t="shared" si="45"/>
        <v>-8</v>
      </c>
      <c r="AJ46" s="113">
        <f t="shared" si="46"/>
        <v>-8</v>
      </c>
      <c r="AK46" s="128">
        <f t="shared" si="55"/>
        <v>-8</v>
      </c>
      <c r="AL46" s="113">
        <f t="shared" si="47"/>
        <v>0</v>
      </c>
      <c r="AM46" s="113">
        <f t="shared" si="48"/>
        <v>0</v>
      </c>
      <c r="AN46" s="113">
        <f t="shared" si="49"/>
        <v>-8</v>
      </c>
      <c r="AO46" s="113">
        <f t="shared" si="50"/>
        <v>-8</v>
      </c>
      <c r="AP46" s="114">
        <f t="shared" si="51"/>
        <v>-40</v>
      </c>
      <c r="AQ46" s="55"/>
      <c r="AR46" s="1159"/>
      <c r="AS46" s="1160"/>
      <c r="AT46" s="118">
        <f>IF(K24+L24&gt;0,1,0)+IF(U24+V24&gt;0,1,0)+IF(AE24+AF24&gt;0,1,0)+IF(AO24&gt;3,1,0)+IF(K46+L46&gt;0,1,0)+IF(U46+V46&gt;0,1,0)+IF(AE46+AF46&gt;0,1,0)</f>
        <v>0</v>
      </c>
      <c r="AU46" s="55"/>
      <c r="AV46" s="55"/>
      <c r="AW46" s="1134"/>
      <c r="AX46" s="1135"/>
    </row>
    <row r="47" spans="1:56" ht="14.1" customHeight="1" thickBot="1">
      <c r="B47" s="95" t="str">
        <f t="shared" si="33"/>
        <v xml:space="preserve"> </v>
      </c>
      <c r="C47" s="360"/>
      <c r="D47" s="361"/>
      <c r="E47" s="96"/>
      <c r="F47" s="97">
        <f t="shared" si="34"/>
        <v>0</v>
      </c>
      <c r="G47" s="153"/>
      <c r="H47" s="363"/>
      <c r="I47" s="97">
        <f t="shared" si="35"/>
        <v>0</v>
      </c>
      <c r="J47" s="96"/>
      <c r="K47" s="98">
        <f t="shared" si="36"/>
        <v>0</v>
      </c>
      <c r="L47" s="99">
        <f t="shared" si="54"/>
        <v>0</v>
      </c>
      <c r="M47" s="361"/>
      <c r="N47" s="361"/>
      <c r="O47" s="96"/>
      <c r="P47" s="97">
        <f t="shared" si="37"/>
        <v>0</v>
      </c>
      <c r="Q47" s="154"/>
      <c r="R47" s="154"/>
      <c r="S47" s="97">
        <f t="shared" si="38"/>
        <v>0</v>
      </c>
      <c r="T47" s="96"/>
      <c r="U47" s="98">
        <f t="shared" si="39"/>
        <v>0</v>
      </c>
      <c r="V47" s="99">
        <f t="shared" si="40"/>
        <v>0</v>
      </c>
      <c r="W47" s="360"/>
      <c r="X47" s="361"/>
      <c r="Y47" s="96"/>
      <c r="Z47" s="97">
        <f t="shared" si="41"/>
        <v>0</v>
      </c>
      <c r="AA47" s="361"/>
      <c r="AB47" s="361"/>
      <c r="AC47" s="97">
        <f t="shared" si="42"/>
        <v>0</v>
      </c>
      <c r="AD47" s="96"/>
      <c r="AE47" s="98">
        <f t="shared" si="43"/>
        <v>0</v>
      </c>
      <c r="AF47" s="99">
        <f t="shared" si="44"/>
        <v>0</v>
      </c>
      <c r="AG47" s="55"/>
      <c r="AH47" s="112">
        <v>0</v>
      </c>
      <c r="AI47" s="113">
        <f t="shared" si="45"/>
        <v>-8</v>
      </c>
      <c r="AJ47" s="113">
        <f t="shared" si="46"/>
        <v>-8</v>
      </c>
      <c r="AK47" s="113">
        <f t="shared" si="55"/>
        <v>-8</v>
      </c>
      <c r="AL47" s="113">
        <f t="shared" si="47"/>
        <v>0</v>
      </c>
      <c r="AM47" s="113">
        <f t="shared" si="48"/>
        <v>0</v>
      </c>
      <c r="AN47" s="113">
        <f t="shared" si="49"/>
        <v>-8</v>
      </c>
      <c r="AO47" s="113">
        <f t="shared" si="50"/>
        <v>-8</v>
      </c>
      <c r="AP47" s="114">
        <f t="shared" si="51"/>
        <v>-40</v>
      </c>
      <c r="AQ47" s="55"/>
      <c r="AR47" s="1159">
        <f>+X86*Q86</f>
        <v>0</v>
      </c>
      <c r="AS47" s="1160"/>
      <c r="AT47" s="118">
        <f>IF(K25+L25&gt;0,1,0)+IF(U25+V25&gt;0,1,0)+IF(AE25+AF25&gt;0,1,0)+IF(AO25&gt;3,1,0)+IF(K47+L47&gt;0,1,0)+IF(U47+V47&gt;0,1,0)+IF(AE47+AF47&gt;0,1,0)</f>
        <v>0</v>
      </c>
      <c r="AU47" s="55"/>
      <c r="AV47" s="55"/>
      <c r="AW47" s="1134"/>
      <c r="AX47" s="1135"/>
    </row>
    <row r="48" spans="1:56" ht="14.1" customHeight="1">
      <c r="B48" s="155"/>
      <c r="C48" s="156"/>
      <c r="O48" s="157"/>
      <c r="P48" s="158"/>
      <c r="Q48" s="159"/>
      <c r="R48" s="159"/>
      <c r="S48" s="158"/>
      <c r="T48" s="157"/>
      <c r="U48" s="160"/>
      <c r="V48" s="161"/>
      <c r="W48" s="55"/>
      <c r="X48" s="162"/>
      <c r="Y48" s="163"/>
      <c r="Z48" s="164"/>
      <c r="AA48" s="165"/>
      <c r="AH48" s="166"/>
      <c r="AP48" s="166"/>
      <c r="AR48" s="1161">
        <f>SUM(AP11:AQ25)</f>
        <v>53</v>
      </c>
      <c r="AS48" s="1162"/>
      <c r="AT48" s="167">
        <f>SUM(AT33:AT47)</f>
        <v>33</v>
      </c>
    </row>
    <row r="49" spans="1:58" ht="10.15" customHeight="1">
      <c r="B49" s="155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W49" s="1163">
        <f>SUM(AW33:AX47)*-1</f>
        <v>30</v>
      </c>
      <c r="AX49" s="1164"/>
    </row>
    <row r="50" spans="1:58" ht="14.1" customHeight="1">
      <c r="C50" s="156" t="s">
        <v>25</v>
      </c>
      <c r="E50" s="168"/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 t="s">
        <v>26</v>
      </c>
      <c r="AD50" s="373"/>
      <c r="AE50" s="373"/>
      <c r="AF50" s="373"/>
      <c r="AG50" s="373"/>
      <c r="AH50" s="373"/>
      <c r="AI50" s="373"/>
      <c r="AJ50" s="373"/>
      <c r="AK50" s="373"/>
      <c r="AL50" s="373"/>
      <c r="AM50" s="169" t="s">
        <v>27</v>
      </c>
      <c r="AO50" s="170"/>
      <c r="AW50" s="1165"/>
      <c r="AX50" s="1166"/>
    </row>
    <row r="51" spans="1:58" ht="14.1" customHeight="1">
      <c r="C51" s="156"/>
      <c r="D51" s="171"/>
      <c r="E51" s="168"/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14.1" customHeight="1">
      <c r="O54" s="157"/>
      <c r="P54" s="158"/>
      <c r="Q54" s="159"/>
      <c r="R54" s="159"/>
      <c r="S54" s="158"/>
      <c r="T54" s="157"/>
      <c r="U54" s="160"/>
      <c r="V54" s="160"/>
      <c r="W54" s="55"/>
      <c r="X54" s="162"/>
      <c r="Y54" s="163"/>
      <c r="Z54" s="164"/>
      <c r="AA54" s="165"/>
      <c r="AC54" s="169"/>
      <c r="AD54" s="373"/>
      <c r="AE54" s="373"/>
      <c r="AF54" s="373"/>
      <c r="AG54" s="373"/>
      <c r="AH54" s="373"/>
      <c r="AI54" s="373"/>
      <c r="AJ54" s="373"/>
      <c r="AK54" s="373"/>
      <c r="AL54" s="373"/>
      <c r="AM54" s="169"/>
      <c r="AO54" s="170"/>
      <c r="AW54" s="172"/>
      <c r="AX54" s="172"/>
    </row>
    <row r="55" spans="1:58" ht="14.1" customHeight="1" thickBot="1">
      <c r="O55" s="157"/>
      <c r="P55" s="158"/>
      <c r="Q55" s="159"/>
      <c r="R55" s="159"/>
      <c r="S55" s="158"/>
      <c r="T55" s="157"/>
      <c r="U55" s="160"/>
      <c r="V55" s="160"/>
      <c r="W55" s="55"/>
      <c r="X55" s="162"/>
      <c r="Y55" s="163"/>
      <c r="Z55" s="164"/>
      <c r="AA55" s="165"/>
      <c r="AC55" s="169"/>
      <c r="AD55" s="373"/>
      <c r="AE55" s="373"/>
      <c r="AF55" s="373"/>
      <c r="AG55" s="373"/>
      <c r="AH55" s="373"/>
      <c r="AI55" s="373"/>
      <c r="AJ55" s="373"/>
      <c r="AK55" s="373"/>
      <c r="AL55" s="373"/>
      <c r="AM55" s="169"/>
      <c r="AO55" s="170"/>
      <c r="AW55" s="172"/>
      <c r="AX55" s="172"/>
    </row>
    <row r="56" spans="1:58" ht="6.95" customHeight="1">
      <c r="C56" s="1139">
        <f>+C5</f>
        <v>43097</v>
      </c>
      <c r="D56" s="1140"/>
      <c r="E56" s="1140"/>
      <c r="F56" s="1140"/>
      <c r="G56" s="1140"/>
      <c r="H56" s="1140"/>
      <c r="I56" s="1140"/>
      <c r="J56" s="1140"/>
      <c r="K56" s="1167"/>
      <c r="L56" s="1168"/>
      <c r="M56" s="1140">
        <f>1+C56</f>
        <v>43098</v>
      </c>
      <c r="N56" s="1140"/>
      <c r="O56" s="1140"/>
      <c r="P56" s="1140"/>
      <c r="Q56" s="1140"/>
      <c r="R56" s="1140"/>
      <c r="S56" s="1140"/>
      <c r="T56" s="1140"/>
      <c r="U56" s="1153"/>
      <c r="V56" s="1154"/>
      <c r="W56" s="1171">
        <f>1+M56</f>
        <v>43099</v>
      </c>
      <c r="X56" s="1172"/>
      <c r="Y56" s="1172"/>
      <c r="Z56" s="1172"/>
      <c r="AA56" s="1172"/>
      <c r="AB56" s="1172"/>
      <c r="AC56" s="1172"/>
      <c r="AD56" s="1172"/>
      <c r="AE56" s="1175"/>
      <c r="AF56" s="1176"/>
      <c r="AG56" s="1179">
        <f>1+W56</f>
        <v>43100</v>
      </c>
      <c r="AH56" s="1180"/>
      <c r="AI56" s="1180"/>
      <c r="AJ56" s="1180"/>
      <c r="AK56" s="1180"/>
      <c r="AL56" s="1180"/>
      <c r="AM56" s="1180"/>
      <c r="AN56" s="1180"/>
      <c r="AO56" s="1183" t="s">
        <v>2</v>
      </c>
      <c r="AW56" s="172"/>
      <c r="AX56" s="172"/>
    </row>
    <row r="57" spans="1:58" s="173" customFormat="1" ht="6.95" customHeight="1" thickBot="1">
      <c r="A57" s="1"/>
      <c r="C57" s="1141"/>
      <c r="D57" s="1142"/>
      <c r="E57" s="1142"/>
      <c r="F57" s="1142"/>
      <c r="G57" s="1142"/>
      <c r="H57" s="1142"/>
      <c r="I57" s="1142"/>
      <c r="J57" s="1142"/>
      <c r="K57" s="1169"/>
      <c r="L57" s="1170"/>
      <c r="M57" s="1142"/>
      <c r="N57" s="1142"/>
      <c r="O57" s="1142"/>
      <c r="P57" s="1142"/>
      <c r="Q57" s="1142"/>
      <c r="R57" s="1142"/>
      <c r="S57" s="1142"/>
      <c r="T57" s="1142"/>
      <c r="U57" s="1155"/>
      <c r="V57" s="1156"/>
      <c r="W57" s="1173"/>
      <c r="X57" s="1174"/>
      <c r="Y57" s="1174"/>
      <c r="Z57" s="1174"/>
      <c r="AA57" s="1174"/>
      <c r="AB57" s="1174"/>
      <c r="AC57" s="1174"/>
      <c r="AD57" s="1174"/>
      <c r="AE57" s="1177"/>
      <c r="AF57" s="1178"/>
      <c r="AG57" s="1181"/>
      <c r="AH57" s="1182"/>
      <c r="AI57" s="1182"/>
      <c r="AJ57" s="1182"/>
      <c r="AK57" s="1182"/>
      <c r="AL57" s="1182"/>
      <c r="AM57" s="1182"/>
      <c r="AN57" s="1182"/>
      <c r="AO57" s="1184"/>
      <c r="AW57" s="172"/>
      <c r="AX57" s="172"/>
    </row>
    <row r="58" spans="1:58" ht="14.1" customHeight="1" thickBot="1">
      <c r="B58" s="174" t="str">
        <f>+B87</f>
        <v>CEQR</v>
      </c>
      <c r="C58" s="374"/>
      <c r="D58" s="375"/>
      <c r="E58" s="175"/>
      <c r="F58" s="176">
        <f>+D58-C58-E58</f>
        <v>0</v>
      </c>
      <c r="G58" s="375"/>
      <c r="H58" s="375"/>
      <c r="I58" s="176">
        <f>+H58-G58</f>
        <v>0</v>
      </c>
      <c r="J58" s="175"/>
      <c r="K58" s="177">
        <f>+I58+F58-L58</f>
        <v>0</v>
      </c>
      <c r="L58" s="178">
        <f>IF(C58&gt;0,(F58+I58)+IF(K$5&gt;0,0+F58,-8),0)</f>
        <v>0</v>
      </c>
      <c r="M58" s="376"/>
      <c r="N58" s="375"/>
      <c r="O58" s="175"/>
      <c r="P58" s="176">
        <f>+N58-M58-O58</f>
        <v>0</v>
      </c>
      <c r="Q58" s="153"/>
      <c r="R58" s="363"/>
      <c r="S58" s="176">
        <f>+R58-Q58</f>
        <v>0</v>
      </c>
      <c r="T58" s="175"/>
      <c r="U58" s="177">
        <f>+S58+P58-V58</f>
        <v>0</v>
      </c>
      <c r="V58" s="178">
        <f>IF(M58&gt;0,(P58+S58)+IF(U$5&gt;0,0+P58,-8),0)</f>
        <v>0</v>
      </c>
      <c r="W58" s="375"/>
      <c r="X58" s="375"/>
      <c r="Y58" s="175"/>
      <c r="Z58" s="176">
        <f>+X58-W58-Y58</f>
        <v>0</v>
      </c>
      <c r="AA58" s="375"/>
      <c r="AB58" s="179"/>
      <c r="AC58" s="176">
        <f>+AB58-AA58</f>
        <v>0</v>
      </c>
      <c r="AD58" s="175"/>
      <c r="AE58" s="177">
        <f>+AC58+Z58-IF(AE$5&gt;0,AF58/2,AF58)</f>
        <v>0</v>
      </c>
      <c r="AF58" s="178">
        <f>IF(W58&gt;0,IF(AE$5&gt;0,(Z58+AC58)*2,(Z58+AC58-8)),0)*IF(Z58&lt;9,IF(AE$5&gt;0,1,2),1)+IF(Z58&gt;8,AC58,0)</f>
        <v>0</v>
      </c>
      <c r="AG58" s="101"/>
      <c r="AH58" s="101"/>
      <c r="AI58" s="96"/>
      <c r="AJ58" s="102">
        <f>+AH58-AG58-AI58</f>
        <v>0</v>
      </c>
      <c r="AK58" s="361"/>
      <c r="AL58" s="361"/>
      <c r="AM58" s="97">
        <f>+AL58-AK58</f>
        <v>0</v>
      </c>
      <c r="AN58" s="96">
        <v>-3</v>
      </c>
      <c r="AO58" s="180">
        <f>(AJ58*2+AM58)</f>
        <v>0</v>
      </c>
      <c r="AP58" s="1136">
        <f>+L58+V58+AF58+AO58+L62+V62+AF62-AN58</f>
        <v>3</v>
      </c>
      <c r="AQ58" s="1137"/>
      <c r="AR58" s="1138">
        <f>ROUND(BD58*AP58,1)</f>
        <v>29.4</v>
      </c>
      <c r="AS58" s="1138"/>
      <c r="AT58" s="377">
        <f>IF(AT62&gt;0,AT62*$AT$10,0)</f>
        <v>12</v>
      </c>
      <c r="AU58" s="55"/>
      <c r="AV58" s="69">
        <f>+L58</f>
        <v>0</v>
      </c>
      <c r="AW58" s="69">
        <f>+V58</f>
        <v>0</v>
      </c>
      <c r="AX58" s="69">
        <f>+AF58</f>
        <v>0</v>
      </c>
      <c r="AY58" s="70">
        <f>+AO58</f>
        <v>0</v>
      </c>
      <c r="AZ58" s="69">
        <f>+L62</f>
        <v>0</v>
      </c>
      <c r="BA58" s="69">
        <f>+V62</f>
        <v>0</v>
      </c>
      <c r="BB58" s="69">
        <f>+AF62</f>
        <v>0</v>
      </c>
      <c r="BC58" s="54"/>
      <c r="BD58" s="339">
        <f>+I87</f>
        <v>9.7916666666666625</v>
      </c>
      <c r="BE58" s="351">
        <f>+BD58*AP58</f>
        <v>29.374999999999986</v>
      </c>
      <c r="BF58" s="352">
        <f>+BD58*AY58</f>
        <v>0</v>
      </c>
    </row>
    <row r="59" spans="1:58" ht="14.1" customHeight="1" thickBot="1">
      <c r="C59" s="378"/>
      <c r="D59" s="378"/>
      <c r="E59" s="181"/>
      <c r="F59" s="182"/>
      <c r="G59" s="378"/>
      <c r="H59" s="378"/>
      <c r="I59" s="182"/>
      <c r="J59" s="181"/>
      <c r="K59" s="183"/>
      <c r="L59" s="184"/>
      <c r="M59" s="378"/>
      <c r="N59" s="378"/>
      <c r="O59" s="181"/>
      <c r="P59" s="182"/>
      <c r="Q59" s="185"/>
      <c r="R59" s="379"/>
      <c r="S59" s="182"/>
      <c r="T59" s="181"/>
      <c r="U59" s="183"/>
      <c r="V59" s="184"/>
      <c r="W59" s="378"/>
      <c r="X59" s="378"/>
      <c r="Y59" s="181"/>
      <c r="Z59" s="182"/>
      <c r="AA59" s="378"/>
      <c r="AB59" s="186"/>
      <c r="AC59" s="182"/>
      <c r="AD59" s="181"/>
      <c r="AE59" s="183"/>
      <c r="AF59" s="184"/>
      <c r="AG59" s="159"/>
      <c r="AH59" s="159"/>
      <c r="AI59" s="157"/>
      <c r="AJ59" s="187"/>
      <c r="AK59" s="380"/>
      <c r="AL59" s="380"/>
      <c r="AM59" s="158"/>
      <c r="AN59" s="157"/>
      <c r="AO59" s="160"/>
      <c r="AP59" s="159"/>
      <c r="AQ59" s="159"/>
      <c r="AR59" s="381"/>
      <c r="AS59" s="381"/>
      <c r="AT59" s="382"/>
      <c r="AU59" s="55"/>
      <c r="AV59" s="54"/>
      <c r="AW59" s="54"/>
      <c r="AX59" s="54"/>
      <c r="AY59" s="188"/>
      <c r="AZ59" s="54"/>
      <c r="BA59" s="54"/>
      <c r="BB59" s="54"/>
      <c r="BC59" s="54"/>
      <c r="BD59" s="383"/>
      <c r="BE59" s="384"/>
      <c r="BF59" s="385"/>
    </row>
    <row r="60" spans="1:58" ht="6.95" customHeight="1">
      <c r="C60" s="1139">
        <f>+C27</f>
        <v>43101</v>
      </c>
      <c r="D60" s="1140"/>
      <c r="E60" s="1140"/>
      <c r="F60" s="1140"/>
      <c r="G60" s="1140"/>
      <c r="H60" s="1140"/>
      <c r="I60" s="1140"/>
      <c r="J60" s="1140"/>
      <c r="K60" s="1143"/>
      <c r="L60" s="1144"/>
      <c r="M60" s="1147">
        <f>1+C60</f>
        <v>43102</v>
      </c>
      <c r="N60" s="1148"/>
      <c r="O60" s="1148"/>
      <c r="P60" s="1148"/>
      <c r="Q60" s="1148"/>
      <c r="R60" s="1148"/>
      <c r="S60" s="1148"/>
      <c r="T60" s="1149"/>
      <c r="U60" s="1153"/>
      <c r="V60" s="1154"/>
      <c r="W60" s="1140">
        <f>1+M60</f>
        <v>43103</v>
      </c>
      <c r="X60" s="1140"/>
      <c r="Y60" s="1140"/>
      <c r="Z60" s="1140"/>
      <c r="AA60" s="1140"/>
      <c r="AB60" s="1140"/>
      <c r="AC60" s="1140"/>
      <c r="AD60" s="1140"/>
      <c r="AE60" s="1153"/>
      <c r="AF60" s="1154"/>
      <c r="AG60" s="373"/>
      <c r="AH60" s="373"/>
      <c r="AI60" s="373"/>
      <c r="AJ60" s="373"/>
      <c r="AK60" s="373"/>
      <c r="AL60" s="373"/>
      <c r="AM60" s="169"/>
      <c r="AO60" s="170"/>
      <c r="AW60" s="172"/>
      <c r="AX60" s="172"/>
    </row>
    <row r="61" spans="1:58" s="173" customFormat="1" ht="6.95" customHeight="1" thickBot="1">
      <c r="A61" s="1"/>
      <c r="C61" s="1141"/>
      <c r="D61" s="1142"/>
      <c r="E61" s="1142"/>
      <c r="F61" s="1142"/>
      <c r="G61" s="1142"/>
      <c r="H61" s="1142"/>
      <c r="I61" s="1142"/>
      <c r="J61" s="1142"/>
      <c r="K61" s="1145"/>
      <c r="L61" s="1146"/>
      <c r="M61" s="1150"/>
      <c r="N61" s="1151"/>
      <c r="O61" s="1151"/>
      <c r="P61" s="1151"/>
      <c r="Q61" s="1151"/>
      <c r="R61" s="1151"/>
      <c r="S61" s="1151"/>
      <c r="T61" s="1152"/>
      <c r="U61" s="1155"/>
      <c r="V61" s="1156"/>
      <c r="W61" s="1142"/>
      <c r="X61" s="1142"/>
      <c r="Y61" s="1142"/>
      <c r="Z61" s="1142"/>
      <c r="AA61" s="1142"/>
      <c r="AB61" s="1142"/>
      <c r="AC61" s="1142"/>
      <c r="AD61" s="1142"/>
      <c r="AE61" s="1155"/>
      <c r="AF61" s="1156"/>
      <c r="AG61" s="386"/>
      <c r="AH61" s="386"/>
      <c r="AI61" s="386"/>
      <c r="AJ61" s="386"/>
      <c r="AK61" s="386"/>
      <c r="AL61" s="386"/>
      <c r="AM61" s="189"/>
      <c r="AO61" s="190"/>
      <c r="AW61" s="172"/>
      <c r="AX61" s="172"/>
    </row>
    <row r="62" spans="1:58" ht="14.1" customHeight="1" thickBot="1">
      <c r="B62" s="174" t="str">
        <f>+B58</f>
        <v>CEQR</v>
      </c>
      <c r="C62" s="374"/>
      <c r="D62" s="375"/>
      <c r="E62" s="175"/>
      <c r="F62" s="176">
        <f>+D62-C62-E62</f>
        <v>0</v>
      </c>
      <c r="G62" s="153"/>
      <c r="H62" s="363"/>
      <c r="I62" s="176">
        <f>+H62-G62</f>
        <v>0</v>
      </c>
      <c r="J62" s="175"/>
      <c r="K62" s="177">
        <f>+I62+F62-L62</f>
        <v>0</v>
      </c>
      <c r="L62" s="178">
        <f>IF(C62&gt;0,(F62+I62)+IF(K$27&gt;0,0+F62,-8),0)</f>
        <v>0</v>
      </c>
      <c r="M62" s="361"/>
      <c r="N62" s="361"/>
      <c r="O62" s="96"/>
      <c r="P62" s="97">
        <f>+N62-M62-O62</f>
        <v>0</v>
      </c>
      <c r="Q62" s="101"/>
      <c r="R62" s="361"/>
      <c r="S62" s="176">
        <f>+R62-Q62</f>
        <v>0</v>
      </c>
      <c r="T62" s="96"/>
      <c r="U62" s="98">
        <f>+S62+P62-V62</f>
        <v>0</v>
      </c>
      <c r="V62" s="191">
        <f>IF(M62&gt;0,(P62+S62)+IF(U$27&gt;0,0+P62,-8),0)</f>
        <v>0</v>
      </c>
      <c r="W62" s="360"/>
      <c r="X62" s="361"/>
      <c r="Y62" s="96"/>
      <c r="Z62" s="97">
        <f>+X62-W62-Y62</f>
        <v>0</v>
      </c>
      <c r="AA62" s="361"/>
      <c r="AB62" s="361"/>
      <c r="AC62" s="176">
        <f>+AB62-AA62</f>
        <v>0</v>
      </c>
      <c r="AD62" s="96"/>
      <c r="AE62" s="98">
        <f>+AC62+Z62-AF62</f>
        <v>0</v>
      </c>
      <c r="AF62" s="192">
        <f>IF(W62&gt;0,(Z62+AC62)+IF(AE$27&gt;0,0+Z62,-8),0)</f>
        <v>0</v>
      </c>
      <c r="AG62" s="55"/>
      <c r="AH62" s="193">
        <v>0</v>
      </c>
      <c r="AI62" s="194">
        <f>+K58+(IF(ISBLANK($K$56),-8,0))</f>
        <v>-8</v>
      </c>
      <c r="AJ62" s="194">
        <f>IF(ISBLANK($U$56),-8,0)+U58</f>
        <v>-8</v>
      </c>
      <c r="AK62" s="195">
        <f>IF(ISBLANK($AE$56),-8,0)+AE58</f>
        <v>-8</v>
      </c>
      <c r="AL62" s="194">
        <f>IF(ISBLANK($AO$56),-8,0)+AM58+AW62</f>
        <v>0</v>
      </c>
      <c r="AM62" s="194">
        <f>IF(ISBLANK($K$60),-8,0)+K62</f>
        <v>-8</v>
      </c>
      <c r="AN62" s="194">
        <f>IF(ISBLANK($U$60),-8,0)+U62</f>
        <v>-8</v>
      </c>
      <c r="AO62" s="194">
        <f>IF(ISBLANK($AE$60),-8,0)+AE62</f>
        <v>-8</v>
      </c>
      <c r="AP62" s="196">
        <f>SUM(AH62:AO62)</f>
        <v>-48</v>
      </c>
      <c r="AQ62" s="197"/>
      <c r="AR62" s="1157">
        <f>+X87*Q87</f>
        <v>0</v>
      </c>
      <c r="AS62" s="1158"/>
      <c r="AT62" s="198">
        <f>IF(K36+L36&gt;0,1,0)+IF(U36+V36&gt;0,1,0)+IF(AE36+AF36&gt;0,1,0)+IF(AO36&gt;3,1,0)+IF(K62+L62&gt;0,1,0)+IF(U62+V62&gt;0,1,0)+IF(AE62+AF62&gt;0,1,0)</f>
        <v>3</v>
      </c>
      <c r="AU62" s="55"/>
      <c r="AV62" s="55"/>
      <c r="AW62" s="1134"/>
      <c r="AX62" s="1135"/>
    </row>
    <row r="63" spans="1:58" ht="14.1" customHeight="1" thickBot="1"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Z63" s="164"/>
      <c r="AA63" s="165"/>
      <c r="AC63" s="169"/>
      <c r="AD63" s="373"/>
      <c r="AE63" s="373"/>
      <c r="AF63" s="373"/>
      <c r="AG63" s="373"/>
      <c r="AH63" s="373"/>
      <c r="AI63" s="373"/>
      <c r="AJ63" s="373"/>
      <c r="AK63" s="991"/>
      <c r="AL63" s="991"/>
      <c r="AM63" s="169"/>
      <c r="AO63" s="170"/>
      <c r="AW63" s="172"/>
      <c r="AX63" s="172"/>
    </row>
    <row r="64" spans="1:58" ht="14.1" customHeight="1">
      <c r="O64" s="157"/>
      <c r="P64" s="158"/>
      <c r="Q64" s="159"/>
      <c r="R64" s="159"/>
      <c r="S64" s="158"/>
      <c r="T64" s="157"/>
      <c r="U64" s="160"/>
      <c r="V64" s="160"/>
      <c r="W64" s="55"/>
      <c r="X64" s="162"/>
      <c r="Y64" s="163"/>
      <c r="Z64" s="199"/>
      <c r="AA64" s="200"/>
      <c r="AB64" s="201"/>
      <c r="AC64" s="202"/>
      <c r="AD64" s="387"/>
      <c r="AE64" s="387"/>
      <c r="AF64" s="387"/>
      <c r="AG64" s="387"/>
      <c r="AH64" s="387"/>
      <c r="AI64" s="387"/>
      <c r="AJ64" s="387"/>
      <c r="AK64" s="387"/>
      <c r="AL64" s="387"/>
      <c r="AM64" s="202"/>
      <c r="AN64" s="201"/>
      <c r="AO64" s="201"/>
      <c r="AP64" s="201"/>
      <c r="AQ64" s="201"/>
      <c r="AR64" s="201"/>
      <c r="AS64" s="201"/>
      <c r="AT64" s="203"/>
      <c r="AW64" s="172"/>
      <c r="AX64" s="172"/>
    </row>
    <row r="65" spans="1:50" ht="18" customHeight="1">
      <c r="C65" s="156" t="s">
        <v>28</v>
      </c>
      <c r="O65" s="157"/>
      <c r="P65" s="158"/>
      <c r="Q65" s="159"/>
      <c r="R65" s="159"/>
      <c r="S65" s="158"/>
      <c r="T65" s="157"/>
      <c r="U65" s="160"/>
      <c r="V65" s="160"/>
      <c r="W65" s="55"/>
      <c r="X65" s="162"/>
      <c r="Y65" s="163"/>
      <c r="Z65" s="204"/>
      <c r="AA65" s="205" t="s">
        <v>29</v>
      </c>
      <c r="AB65" s="206"/>
      <c r="AC65" s="206"/>
      <c r="AD65" s="206"/>
      <c r="AE65" s="207"/>
      <c r="AF65" s="207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8"/>
      <c r="AR65" s="208"/>
      <c r="AS65" s="209"/>
      <c r="AT65" s="210"/>
      <c r="AW65" s="172"/>
      <c r="AX65" s="172"/>
    </row>
    <row r="66" spans="1:50" ht="3" customHeight="1">
      <c r="Q66" s="211"/>
      <c r="R66" s="212"/>
      <c r="S66" s="213"/>
      <c r="T66" s="214"/>
      <c r="Z66" s="215"/>
      <c r="AA66" s="216"/>
      <c r="AB66" s="216"/>
      <c r="AC66" s="217"/>
      <c r="AD66" s="217"/>
      <c r="AE66" s="217"/>
      <c r="AF66" s="217"/>
      <c r="AG66" s="217"/>
      <c r="AH66" s="218">
        <f>SUM(AH33:AH40)</f>
        <v>0</v>
      </c>
      <c r="AI66" s="217"/>
      <c r="AJ66" s="217" t="s">
        <v>30</v>
      </c>
      <c r="AK66" s="219" t="s">
        <v>31</v>
      </c>
      <c r="AL66" s="219"/>
      <c r="AM66" s="219"/>
      <c r="AN66" s="219"/>
      <c r="AO66" s="219"/>
      <c r="AP66" s="219"/>
      <c r="AQ66" s="220">
        <f>SUM(AP33:AP40)</f>
        <v>-144</v>
      </c>
      <c r="AR66" s="216"/>
      <c r="AS66" s="216"/>
      <c r="AT66" s="210"/>
      <c r="AX66" s="172"/>
    </row>
    <row r="67" spans="1:50" ht="14.1" customHeight="1" thickBot="1">
      <c r="B67" s="6" t="s">
        <v>32</v>
      </c>
      <c r="C67" s="1081" t="s">
        <v>33</v>
      </c>
      <c r="D67" s="1081"/>
      <c r="E67" s="1081" t="s">
        <v>34</v>
      </c>
      <c r="F67" s="1081"/>
      <c r="G67" s="1082" t="s">
        <v>35</v>
      </c>
      <c r="H67" s="1083"/>
      <c r="I67" s="1088" t="s">
        <v>36</v>
      </c>
      <c r="J67" s="1089"/>
      <c r="K67" s="1090" t="s">
        <v>37</v>
      </c>
      <c r="L67" s="1090"/>
      <c r="M67" s="5"/>
      <c r="N67" s="1091" t="s">
        <v>38</v>
      </c>
      <c r="O67" s="1091"/>
      <c r="P67" s="5"/>
      <c r="Q67" s="1095" t="s">
        <v>39</v>
      </c>
      <c r="R67" s="1096"/>
      <c r="U67" s="1101" t="s">
        <v>40</v>
      </c>
      <c r="V67" s="1104" t="s">
        <v>41</v>
      </c>
      <c r="W67" s="1107" t="s">
        <v>42</v>
      </c>
      <c r="X67" s="1110" t="s">
        <v>43</v>
      </c>
      <c r="Z67" s="221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3" t="s">
        <v>44</v>
      </c>
      <c r="AR67" s="224"/>
      <c r="AS67" s="222"/>
      <c r="AT67" s="225"/>
      <c r="AX67" s="172"/>
    </row>
    <row r="68" spans="1:50" ht="14.1" customHeight="1">
      <c r="B68" s="6" t="s">
        <v>45</v>
      </c>
      <c r="C68" s="1081"/>
      <c r="D68" s="1081"/>
      <c r="E68" s="1081"/>
      <c r="F68" s="1081"/>
      <c r="G68" s="1084"/>
      <c r="H68" s="1085"/>
      <c r="I68" s="1088"/>
      <c r="J68" s="1089"/>
      <c r="K68" s="1090"/>
      <c r="L68" s="1090"/>
      <c r="M68" s="5"/>
      <c r="N68" s="1091"/>
      <c r="O68" s="1091"/>
      <c r="P68" s="5"/>
      <c r="Q68" s="1097"/>
      <c r="R68" s="1098"/>
      <c r="U68" s="1102"/>
      <c r="V68" s="1105"/>
      <c r="W68" s="1108"/>
      <c r="X68" s="1111"/>
      <c r="AA68" s="332"/>
      <c r="AB68" s="1369"/>
      <c r="AC68" s="1369"/>
      <c r="AD68" s="1369"/>
      <c r="AE68" s="1369"/>
      <c r="AF68" s="1369"/>
      <c r="AG68" s="1369"/>
      <c r="AH68" s="1369"/>
      <c r="AI68" s="1369"/>
      <c r="AJ68" s="1369"/>
      <c r="AK68" s="1369"/>
      <c r="AL68" s="1369"/>
      <c r="AM68" s="226"/>
      <c r="AN68" s="226"/>
      <c r="AO68" s="226"/>
      <c r="AP68" s="226"/>
      <c r="AQ68" s="332"/>
      <c r="AX68" s="172"/>
    </row>
    <row r="69" spans="1:50" ht="14.1" customHeight="1">
      <c r="B69" s="6" t="s">
        <v>46</v>
      </c>
      <c r="C69" s="1081"/>
      <c r="D69" s="1081"/>
      <c r="E69" s="1081"/>
      <c r="F69" s="1081"/>
      <c r="G69" s="1084"/>
      <c r="H69" s="1085"/>
      <c r="I69" s="1088"/>
      <c r="J69" s="1089"/>
      <c r="K69" s="1090"/>
      <c r="L69" s="1090"/>
      <c r="M69" s="5"/>
      <c r="N69" s="1091"/>
      <c r="O69" s="1091"/>
      <c r="P69" s="5"/>
      <c r="Q69" s="1099"/>
      <c r="R69" s="1100"/>
      <c r="U69" s="1102"/>
      <c r="V69" s="1105"/>
      <c r="W69" s="1108"/>
      <c r="X69" s="1111"/>
      <c r="AA69" s="332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373"/>
      <c r="AN69" s="373"/>
      <c r="AO69" s="373"/>
      <c r="AP69" s="373"/>
      <c r="AQ69" s="169"/>
      <c r="AS69" s="170"/>
      <c r="AT69" s="170"/>
      <c r="AV69" s="373"/>
      <c r="AX69" s="172"/>
    </row>
    <row r="70" spans="1:50" ht="26.25">
      <c r="B70" s="227" t="s">
        <v>47</v>
      </c>
      <c r="C70" s="1113">
        <f>+E70*7</f>
        <v>198.33333333333331</v>
      </c>
      <c r="D70" s="1113"/>
      <c r="E70" s="1114">
        <f>+K70/30</f>
        <v>28.333333333333332</v>
      </c>
      <c r="F70" s="1114"/>
      <c r="G70" s="1084"/>
      <c r="H70" s="1085"/>
      <c r="I70" s="1115">
        <f>+E70/8</f>
        <v>3.5416666666666665</v>
      </c>
      <c r="J70" s="1116"/>
      <c r="K70" s="1117">
        <v>850</v>
      </c>
      <c r="L70" s="1117"/>
      <c r="M70" s="228"/>
      <c r="N70" s="1078">
        <f>+I70/6*7</f>
        <v>4.1319444444444446</v>
      </c>
      <c r="O70" s="1079"/>
      <c r="P70" s="228"/>
      <c r="Q70" s="1072">
        <f>+$I$71-I70</f>
        <v>1.2395833333333335</v>
      </c>
      <c r="R70" s="1072"/>
      <c r="U70" s="1102"/>
      <c r="V70" s="1105"/>
      <c r="W70" s="1108"/>
      <c r="X70" s="1111"/>
      <c r="AA70" s="332"/>
      <c r="AB70" s="332"/>
      <c r="AC70" s="332"/>
      <c r="AD70" s="332"/>
    </row>
    <row r="71" spans="1:50" ht="24.75">
      <c r="B71" s="229" t="s">
        <v>48</v>
      </c>
      <c r="C71" s="1073">
        <f>+E71*7</f>
        <v>267.75</v>
      </c>
      <c r="D71" s="1073"/>
      <c r="E71" s="1074">
        <f>+K71/30</f>
        <v>38.25</v>
      </c>
      <c r="F71" s="1074"/>
      <c r="G71" s="1086"/>
      <c r="H71" s="1087"/>
      <c r="I71" s="1075">
        <f>+E71/8</f>
        <v>4.78125</v>
      </c>
      <c r="J71" s="1076"/>
      <c r="K71" s="1077">
        <f>+K70*1.35</f>
        <v>1147.5</v>
      </c>
      <c r="L71" s="1077"/>
      <c r="M71" s="228"/>
      <c r="N71" s="1078">
        <f>+I71/6*7</f>
        <v>5.578125</v>
      </c>
      <c r="O71" s="1079"/>
      <c r="P71" s="228"/>
      <c r="Q71" s="1072">
        <f>+$I$71-I71</f>
        <v>0</v>
      </c>
      <c r="R71" s="1072"/>
      <c r="U71" s="1102"/>
      <c r="V71" s="1105"/>
      <c r="W71" s="1108"/>
      <c r="X71" s="1111"/>
      <c r="AA71" s="332"/>
      <c r="AB71" s="332"/>
      <c r="AC71" s="332"/>
      <c r="AD71" s="332"/>
    </row>
    <row r="72" spans="1:50" ht="2.1" customHeight="1">
      <c r="B72" s="230"/>
      <c r="C72" s="231"/>
      <c r="D72" s="231"/>
      <c r="G72" s="232"/>
      <c r="H72" s="232"/>
      <c r="I72" s="233"/>
      <c r="J72" s="233"/>
      <c r="K72" s="234"/>
      <c r="L72" s="234"/>
      <c r="M72" s="5"/>
      <c r="N72" s="235"/>
      <c r="O72" s="235"/>
      <c r="P72" s="5"/>
      <c r="Q72" s="236"/>
      <c r="R72" s="236"/>
      <c r="U72" s="1103"/>
      <c r="V72" s="1106"/>
      <c r="W72" s="1109"/>
      <c r="X72" s="1112"/>
      <c r="AA72" s="332"/>
      <c r="AB72" s="332"/>
      <c r="AC72" s="332"/>
      <c r="AD72" s="332"/>
    </row>
    <row r="73" spans="1:50" ht="16.5">
      <c r="A73" s="1">
        <v>1</v>
      </c>
      <c r="B73" s="237" t="s">
        <v>49</v>
      </c>
      <c r="C73" s="1070">
        <f>6*3+7*33.8</f>
        <v>254.59999999999997</v>
      </c>
      <c r="D73" s="1071"/>
      <c r="E73" s="1402">
        <f t="shared" ref="E73:E89" si="56">+C73/7</f>
        <v>36.371428571428567</v>
      </c>
      <c r="F73" s="1403"/>
      <c r="G73" s="388"/>
      <c r="H73" s="388"/>
      <c r="I73" s="1052">
        <f t="shared" ref="I73:I81" si="57">+E73/8</f>
        <v>4.5464285714285708</v>
      </c>
      <c r="J73" s="1058"/>
      <c r="K73" s="1059">
        <f t="shared" ref="K73:K81" si="58">+E73*30</f>
        <v>1091.1428571428569</v>
      </c>
      <c r="L73" s="1059"/>
      <c r="M73" s="5"/>
      <c r="N73" s="1020">
        <f t="shared" ref="N73:N89" si="59">+I73/6*7</f>
        <v>5.3041666666666654</v>
      </c>
      <c r="O73" s="1020"/>
      <c r="P73" s="5"/>
      <c r="Q73" s="1056">
        <f t="shared" ref="Q73:Q89" si="60">+$I$71-I73</f>
        <v>0.23482142857142918</v>
      </c>
      <c r="R73" s="1057"/>
      <c r="U73" s="238">
        <f t="shared" ref="U73:U79" si="61">+AE33+U33+K33+AO11+AE11+U11+K11</f>
        <v>32.5</v>
      </c>
      <c r="V73" s="239">
        <v>48</v>
      </c>
      <c r="W73" s="240">
        <f t="shared" ref="W73:W88" si="62">+V73-U73</f>
        <v>15.5</v>
      </c>
      <c r="X73" s="241">
        <f t="shared" ref="X73:X79" si="63">+J11+T11+AD11+J33+T33+AD33</f>
        <v>0</v>
      </c>
      <c r="Z73" s="226"/>
      <c r="AA73" s="226"/>
      <c r="AB73" s="226"/>
      <c r="AC73" s="226"/>
      <c r="AD73" s="226"/>
      <c r="AE73" s="104"/>
      <c r="AF73" s="104"/>
      <c r="AG73" s="104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</row>
    <row r="74" spans="1:50" ht="16.5">
      <c r="A74" s="1">
        <v>2</v>
      </c>
      <c r="B74" s="237" t="s">
        <v>50</v>
      </c>
      <c r="C74" s="1070">
        <f>6*3+7*38.5</f>
        <v>287.5</v>
      </c>
      <c r="D74" s="1071"/>
      <c r="E74" s="1402">
        <f t="shared" si="56"/>
        <v>41.071428571428569</v>
      </c>
      <c r="F74" s="1403"/>
      <c r="G74" s="388"/>
      <c r="H74" s="388"/>
      <c r="I74" s="1052">
        <f t="shared" si="57"/>
        <v>5.1339285714285712</v>
      </c>
      <c r="J74" s="1058"/>
      <c r="K74" s="1059">
        <f t="shared" si="58"/>
        <v>1232.1428571428571</v>
      </c>
      <c r="L74" s="1059"/>
      <c r="M74" s="5"/>
      <c r="N74" s="1020">
        <f t="shared" si="59"/>
        <v>5.989583333333333</v>
      </c>
      <c r="O74" s="1020"/>
      <c r="P74" s="5"/>
      <c r="Q74" s="1056">
        <f t="shared" si="60"/>
        <v>-0.35267857142857117</v>
      </c>
      <c r="R74" s="1057"/>
      <c r="U74" s="238">
        <f t="shared" si="61"/>
        <v>24</v>
      </c>
      <c r="V74" s="239">
        <v>48</v>
      </c>
      <c r="W74" s="240">
        <f t="shared" si="62"/>
        <v>24</v>
      </c>
      <c r="X74" s="241">
        <f t="shared" si="63"/>
        <v>0</v>
      </c>
      <c r="Z74" s="226"/>
      <c r="AA74" s="226"/>
      <c r="AB74" s="226"/>
      <c r="AC74" s="226"/>
      <c r="AD74" s="226"/>
      <c r="AE74" s="104"/>
      <c r="AF74" s="104"/>
      <c r="AG74" s="104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</row>
    <row r="75" spans="1:50" ht="16.5">
      <c r="A75" s="1">
        <v>2</v>
      </c>
      <c r="B75" s="237" t="s">
        <v>51</v>
      </c>
      <c r="C75" s="1070">
        <f>6*3+7*38.5</f>
        <v>287.5</v>
      </c>
      <c r="D75" s="1071"/>
      <c r="E75" s="1402">
        <f t="shared" si="56"/>
        <v>41.071428571428569</v>
      </c>
      <c r="F75" s="1403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-0.35267857142857117</v>
      </c>
      <c r="R75" s="1057"/>
      <c r="U75" s="238">
        <f t="shared" si="61"/>
        <v>24</v>
      </c>
      <c r="V75" s="239">
        <v>48</v>
      </c>
      <c r="W75" s="240">
        <f t="shared" si="62"/>
        <v>24</v>
      </c>
      <c r="X75" s="241">
        <f t="shared" si="63"/>
        <v>0</v>
      </c>
      <c r="Z75" s="389"/>
      <c r="AA75" s="390"/>
      <c r="AB75" s="390"/>
      <c r="AC75" s="390"/>
      <c r="AD75" s="390"/>
      <c r="AE75" s="386"/>
      <c r="AF75" s="386"/>
      <c r="AG75" s="242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</row>
    <row r="76" spans="1:50" ht="16.5">
      <c r="A76" s="1">
        <v>4</v>
      </c>
      <c r="B76" s="243" t="s">
        <v>52</v>
      </c>
      <c r="C76" s="1046">
        <f>6*3+7*30.762</f>
        <v>233.334</v>
      </c>
      <c r="D76" s="1047"/>
      <c r="E76" s="1402">
        <f t="shared" si="56"/>
        <v>33.33342857142857</v>
      </c>
      <c r="F76" s="1403"/>
      <c r="G76" s="388"/>
      <c r="H76" s="388"/>
      <c r="I76" s="1052">
        <f t="shared" si="57"/>
        <v>4.1666785714285712</v>
      </c>
      <c r="J76" s="1058"/>
      <c r="K76" s="1059">
        <f t="shared" si="58"/>
        <v>1000.0028571428571</v>
      </c>
      <c r="L76" s="1059"/>
      <c r="M76" s="5"/>
      <c r="N76" s="1020">
        <f t="shared" si="59"/>
        <v>4.8611250000000004</v>
      </c>
      <c r="O76" s="1020"/>
      <c r="P76" s="5"/>
      <c r="Q76" s="1056">
        <f t="shared" si="60"/>
        <v>0.61457142857142877</v>
      </c>
      <c r="R76" s="1057"/>
      <c r="S76" s="1066">
        <f>20*30/180*117</f>
        <v>390</v>
      </c>
      <c r="T76" s="1067"/>
      <c r="U76" s="238">
        <f t="shared" si="61"/>
        <v>48</v>
      </c>
      <c r="V76" s="239">
        <v>48</v>
      </c>
      <c r="W76" s="240">
        <f t="shared" si="62"/>
        <v>0</v>
      </c>
      <c r="X76" s="241">
        <f t="shared" si="63"/>
        <v>0</v>
      </c>
      <c r="Z76" s="1045" t="s">
        <v>53</v>
      </c>
      <c r="AA76" s="1045"/>
      <c r="AB76" s="1045"/>
      <c r="AC76" s="1045"/>
      <c r="AD76" s="389" t="s">
        <v>54</v>
      </c>
      <c r="AE76" s="390"/>
      <c r="AF76" s="386"/>
      <c r="AG76" s="391"/>
      <c r="AH76" s="391"/>
      <c r="AI76" s="386"/>
      <c r="AJ76" s="386"/>
      <c r="AK76" s="392"/>
      <c r="AL76" s="392"/>
      <c r="AM76" s="392"/>
      <c r="AN76" s="392"/>
      <c r="AO76" s="392"/>
      <c r="AP76" s="392"/>
      <c r="AQ76" s="392"/>
      <c r="AR76" s="392"/>
      <c r="AS76" s="386"/>
      <c r="AT76" s="386"/>
    </row>
    <row r="77" spans="1:50" ht="16.5">
      <c r="A77" s="1">
        <v>5</v>
      </c>
      <c r="B77" s="237" t="s">
        <v>55</v>
      </c>
      <c r="C77" s="1046">
        <f>6*3+7*38.5</f>
        <v>287.5</v>
      </c>
      <c r="D77" s="1047"/>
      <c r="E77" s="1402">
        <f t="shared" si="56"/>
        <v>41.071428571428569</v>
      </c>
      <c r="F77" s="1403"/>
      <c r="G77" s="388"/>
      <c r="H77" s="388"/>
      <c r="I77" s="1052">
        <f t="shared" si="57"/>
        <v>5.1339285714285712</v>
      </c>
      <c r="J77" s="1058"/>
      <c r="K77" s="1059">
        <f t="shared" si="58"/>
        <v>1232.1428571428571</v>
      </c>
      <c r="L77" s="1059"/>
      <c r="M77" s="5"/>
      <c r="N77" s="1020">
        <f t="shared" si="59"/>
        <v>5.989583333333333</v>
      </c>
      <c r="O77" s="1020"/>
      <c r="P77" s="5"/>
      <c r="Q77" s="1056">
        <f t="shared" si="60"/>
        <v>-0.35267857142857117</v>
      </c>
      <c r="R77" s="1057"/>
      <c r="U77" s="238">
        <f t="shared" si="61"/>
        <v>24.5</v>
      </c>
      <c r="V77" s="239">
        <v>48</v>
      </c>
      <c r="W77" s="240">
        <f t="shared" si="62"/>
        <v>23.5</v>
      </c>
      <c r="X77" s="241">
        <f t="shared" si="63"/>
        <v>0</v>
      </c>
      <c r="Z77" s="390"/>
      <c r="AA77" s="390"/>
      <c r="AB77" s="390"/>
      <c r="AC77" s="390"/>
      <c r="AD77" s="390"/>
      <c r="AE77" s="386"/>
      <c r="AF77" s="386"/>
      <c r="AG77" s="244"/>
      <c r="AH77" s="244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86"/>
      <c r="AT77" s="386"/>
    </row>
    <row r="78" spans="1:50" ht="16.5">
      <c r="A78" s="1">
        <v>7</v>
      </c>
      <c r="B78" s="245" t="s">
        <v>56</v>
      </c>
      <c r="C78" s="1060">
        <f>6*3+7*(38.5)</f>
        <v>287.5</v>
      </c>
      <c r="D78" s="1061"/>
      <c r="E78" s="1402">
        <f>+C78/7</f>
        <v>41.071428571428569</v>
      </c>
      <c r="F78" s="1403"/>
      <c r="G78" s="1068">
        <f>+C78/6</f>
        <v>47.916666666666664</v>
      </c>
      <c r="H78" s="1069"/>
      <c r="I78" s="1052">
        <f>+E78/8</f>
        <v>5.1339285714285712</v>
      </c>
      <c r="J78" s="1058"/>
      <c r="K78" s="1059">
        <f>+E78*30</f>
        <v>1232.1428571428571</v>
      </c>
      <c r="L78" s="1059"/>
      <c r="M78" s="5"/>
      <c r="N78" s="1020">
        <f>+I78/6*7</f>
        <v>5.989583333333333</v>
      </c>
      <c r="O78" s="1020"/>
      <c r="P78" s="5"/>
      <c r="Q78" s="1056">
        <f>+$I$71-I78</f>
        <v>-0.35267857142857117</v>
      </c>
      <c r="R78" s="1057"/>
      <c r="U78" s="238">
        <f t="shared" si="61"/>
        <v>38</v>
      </c>
      <c r="V78" s="239">
        <v>48</v>
      </c>
      <c r="W78" s="240">
        <f>+V78-U78</f>
        <v>10</v>
      </c>
      <c r="X78" s="241">
        <f t="shared" si="63"/>
        <v>0</v>
      </c>
      <c r="Z78" s="246"/>
      <c r="AA78" s="246"/>
      <c r="AB78" s="1064" t="s">
        <v>57</v>
      </c>
      <c r="AC78" s="1065"/>
      <c r="AD78" s="1065"/>
      <c r="AE78" s="1065"/>
      <c r="AF78" s="1065"/>
      <c r="AG78" s="1065"/>
      <c r="AH78" s="1065"/>
      <c r="AI78" s="1065"/>
      <c r="AJ78" s="1065"/>
      <c r="AK78" s="1065"/>
      <c r="AL78" s="393"/>
      <c r="AM78" s="391"/>
      <c r="AN78" s="391"/>
      <c r="AO78" s="391"/>
      <c r="AP78" s="391"/>
      <c r="AQ78" s="391"/>
      <c r="AR78" s="391"/>
      <c r="AS78" s="386"/>
      <c r="AT78" s="386"/>
    </row>
    <row r="79" spans="1:50" s="249" customFormat="1" ht="16.5">
      <c r="A79" s="247">
        <v>6</v>
      </c>
      <c r="B79" s="245" t="s">
        <v>58</v>
      </c>
      <c r="C79" s="1070">
        <f>6*3+7*33.8</f>
        <v>254.59999999999997</v>
      </c>
      <c r="D79" s="1071"/>
      <c r="E79" s="1402">
        <f t="shared" si="56"/>
        <v>36.371428571428567</v>
      </c>
      <c r="F79" s="1403"/>
      <c r="G79" s="388"/>
      <c r="H79" s="388"/>
      <c r="I79" s="1052">
        <f t="shared" si="57"/>
        <v>4.5464285714285708</v>
      </c>
      <c r="J79" s="1058"/>
      <c r="K79" s="1059">
        <f t="shared" si="58"/>
        <v>1091.1428571428569</v>
      </c>
      <c r="L79" s="1059"/>
      <c r="M79" s="5"/>
      <c r="N79" s="1020">
        <f t="shared" si="59"/>
        <v>5.3041666666666654</v>
      </c>
      <c r="O79" s="1020"/>
      <c r="P79" s="5"/>
      <c r="Q79" s="1056">
        <f t="shared" si="60"/>
        <v>0.23482142857142918</v>
      </c>
      <c r="R79" s="1057"/>
      <c r="S79" s="1066">
        <f>20*30/180*117</f>
        <v>390</v>
      </c>
      <c r="T79" s="1067"/>
      <c r="U79" s="238">
        <f t="shared" si="61"/>
        <v>0</v>
      </c>
      <c r="V79" s="239">
        <v>48</v>
      </c>
      <c r="W79" s="240">
        <f t="shared" si="62"/>
        <v>48</v>
      </c>
      <c r="X79" s="241">
        <f t="shared" si="63"/>
        <v>0</v>
      </c>
      <c r="Y79" s="248"/>
      <c r="Z79" s="390"/>
      <c r="AA79" s="390"/>
      <c r="AB79" s="390"/>
      <c r="AC79" s="390"/>
      <c r="AD79" s="390"/>
      <c r="AE79" s="386"/>
      <c r="AF79" s="386"/>
      <c r="AG79" s="391"/>
      <c r="AH79" s="391"/>
      <c r="AI79" s="393"/>
      <c r="AJ79" s="393"/>
      <c r="AK79" s="393"/>
      <c r="AL79" s="393"/>
      <c r="AM79" s="391"/>
      <c r="AN79" s="391"/>
      <c r="AO79" s="391"/>
      <c r="AP79" s="391"/>
      <c r="AQ79" s="391"/>
      <c r="AR79" s="391"/>
      <c r="AS79" s="386"/>
      <c r="AT79" s="386"/>
    </row>
    <row r="80" spans="1:50" s="249" customFormat="1" ht="16.5">
      <c r="A80" s="1">
        <v>8</v>
      </c>
      <c r="B80" s="245" t="s">
        <v>59</v>
      </c>
      <c r="C80" s="1060">
        <v>287.36</v>
      </c>
      <c r="D80" s="1061"/>
      <c r="E80" s="1402">
        <f t="shared" si="56"/>
        <v>41.051428571428573</v>
      </c>
      <c r="F80" s="1403"/>
      <c r="G80" s="1062">
        <f>+E80</f>
        <v>41.051428571428573</v>
      </c>
      <c r="H80" s="1063"/>
      <c r="I80" s="1052">
        <f t="shared" si="57"/>
        <v>5.1314285714285717</v>
      </c>
      <c r="J80" s="1058"/>
      <c r="K80" s="1404">
        <f t="shared" si="58"/>
        <v>1231.5428571428572</v>
      </c>
      <c r="L80" s="1404"/>
      <c r="M80" s="5"/>
      <c r="N80" s="1020">
        <f t="shared" si="59"/>
        <v>5.9866666666666664</v>
      </c>
      <c r="O80" s="1020"/>
      <c r="P80" s="5"/>
      <c r="Q80" s="1056">
        <f t="shared" si="60"/>
        <v>-0.35017857142857167</v>
      </c>
      <c r="R80" s="1057"/>
      <c r="S80" s="332"/>
      <c r="T80" s="332"/>
      <c r="U80" s="238">
        <f>+AE41+U41+K41+AO19+AE19+U19+K19</f>
        <v>16</v>
      </c>
      <c r="V80" s="239">
        <v>48</v>
      </c>
      <c r="W80" s="240">
        <f t="shared" si="62"/>
        <v>32</v>
      </c>
      <c r="X80" s="241">
        <f>+J19+T19+AD19+J41+T41+AD41</f>
        <v>0</v>
      </c>
      <c r="Y80" s="332"/>
      <c r="Z80" s="390"/>
      <c r="AA80" s="390"/>
      <c r="AB80" s="390"/>
      <c r="AC80" s="390"/>
      <c r="AD80" s="390"/>
      <c r="AE80" s="386"/>
      <c r="AF80" s="386"/>
      <c r="AG80" s="391"/>
      <c r="AH80" s="391"/>
      <c r="AI80" s="393"/>
      <c r="AJ80" s="393"/>
      <c r="AK80" s="393"/>
      <c r="AL80" s="393"/>
      <c r="AM80" s="391"/>
      <c r="AN80" s="391"/>
      <c r="AO80" s="391"/>
      <c r="AP80" s="391"/>
      <c r="AQ80" s="391"/>
      <c r="AR80" s="391"/>
      <c r="AS80" s="386"/>
      <c r="AT80" s="386"/>
    </row>
    <row r="81" spans="1:46" ht="16.5">
      <c r="B81" s="243" t="s">
        <v>60</v>
      </c>
      <c r="C81" s="1060">
        <v>198.34</v>
      </c>
      <c r="D81" s="1061"/>
      <c r="E81" s="1402">
        <f t="shared" ref="E81:E86" si="64">+C81/7</f>
        <v>28.334285714285716</v>
      </c>
      <c r="F81" s="1403"/>
      <c r="G81" s="1062">
        <f>+E81</f>
        <v>28.334285714285716</v>
      </c>
      <c r="H81" s="1063"/>
      <c r="I81" s="1052">
        <f t="shared" si="57"/>
        <v>3.5417857142857145</v>
      </c>
      <c r="J81" s="1058"/>
      <c r="K81" s="1059">
        <f t="shared" si="58"/>
        <v>850.02857142857147</v>
      </c>
      <c r="L81" s="1059"/>
      <c r="M81" s="5"/>
      <c r="N81" s="1020">
        <f>+I81/6*7</f>
        <v>4.132083333333334</v>
      </c>
      <c r="O81" s="1020"/>
      <c r="P81" s="5"/>
      <c r="Q81" s="1056">
        <f>+$I$71-I81</f>
        <v>1.2394642857142855</v>
      </c>
      <c r="R81" s="1057"/>
      <c r="U81" s="238">
        <f>+AE46+U46+K46+AO24+AE24+U24+K24</f>
        <v>0</v>
      </c>
      <c r="V81" s="239">
        <v>48</v>
      </c>
      <c r="W81" s="240">
        <f>+V81-U81</f>
        <v>48</v>
      </c>
      <c r="X81" s="241">
        <f>+J20+T20+AD20+J42+T42+AD42</f>
        <v>0</v>
      </c>
      <c r="Z81" s="246"/>
      <c r="AA81" s="246"/>
      <c r="AB81" s="390"/>
      <c r="AC81" s="390"/>
      <c r="AD81" s="390"/>
      <c r="AE81" s="386"/>
      <c r="AF81" s="386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86"/>
      <c r="AT81" s="386"/>
    </row>
    <row r="82" spans="1:46" ht="16.5">
      <c r="B82" s="250" t="s">
        <v>17</v>
      </c>
      <c r="C82" s="1035">
        <f>+G82*6</f>
        <v>169.99979999999999</v>
      </c>
      <c r="D82" s="1036"/>
      <c r="E82" s="1037">
        <f t="shared" si="64"/>
        <v>24.285685714285712</v>
      </c>
      <c r="F82" s="1038"/>
      <c r="G82" s="1384">
        <v>28.333300000000001</v>
      </c>
      <c r="H82" s="1385"/>
      <c r="I82" s="1037">
        <f>+G82/8</f>
        <v>3.5416625000000002</v>
      </c>
      <c r="J82" s="1038"/>
      <c r="K82" s="1388">
        <f>+G82*30</f>
        <v>849.99900000000002</v>
      </c>
      <c r="L82" s="1389"/>
      <c r="M82" s="5"/>
      <c r="N82" s="1020">
        <f>+I82/6*7</f>
        <v>4.1319395833333337</v>
      </c>
      <c r="O82" s="1020"/>
      <c r="P82" s="5"/>
      <c r="Q82" s="1033">
        <f>+$I$71-I82</f>
        <v>1.2395874999999998</v>
      </c>
      <c r="R82" s="1034"/>
      <c r="U82" s="238">
        <f>+AE45+U45+K45+AO23+AE23+U23+K23</f>
        <v>36</v>
      </c>
      <c r="V82" s="239">
        <v>48</v>
      </c>
      <c r="W82" s="240">
        <f>+V82-U82</f>
        <v>12</v>
      </c>
      <c r="X82" s="241">
        <f>+J21+T21+AD21+J43+T43+AD43</f>
        <v>0</v>
      </c>
      <c r="Z82" s="1045">
        <f>+K82/G82</f>
        <v>30</v>
      </c>
      <c r="AA82" s="1045"/>
      <c r="AB82" s="1045"/>
      <c r="AC82" s="1045"/>
      <c r="AD82" s="390"/>
      <c r="AE82" s="386"/>
      <c r="AF82" s="386"/>
      <c r="AG82" s="244"/>
      <c r="AH82" s="244"/>
      <c r="AI82" s="391"/>
      <c r="AJ82" s="391"/>
      <c r="AK82" s="391"/>
      <c r="AL82" s="391"/>
      <c r="AM82" s="391"/>
      <c r="AN82" s="391"/>
      <c r="AO82" s="391"/>
      <c r="AP82" s="391"/>
      <c r="AQ82" s="391"/>
      <c r="AR82" s="391"/>
      <c r="AS82" s="386"/>
      <c r="AT82" s="386"/>
    </row>
    <row r="83" spans="1:46" ht="16.5">
      <c r="A83" s="1">
        <v>3</v>
      </c>
      <c r="B83" s="237" t="s">
        <v>61</v>
      </c>
      <c r="C83" s="1046">
        <f>6*3+7*35</f>
        <v>263</v>
      </c>
      <c r="D83" s="1047"/>
      <c r="E83" s="1402">
        <f t="shared" si="64"/>
        <v>37.571428571428569</v>
      </c>
      <c r="F83" s="1403"/>
      <c r="G83" s="388"/>
      <c r="H83" s="388"/>
      <c r="I83" s="1052">
        <f>+E83/8</f>
        <v>4.6964285714285712</v>
      </c>
      <c r="J83" s="1058"/>
      <c r="K83" s="1059">
        <f>+E83*30</f>
        <v>1127.1428571428571</v>
      </c>
      <c r="L83" s="1059"/>
      <c r="M83" s="251"/>
      <c r="N83" s="1020">
        <f>+I83/6*7</f>
        <v>5.479166666666667</v>
      </c>
      <c r="O83" s="1020"/>
      <c r="P83" s="5"/>
      <c r="Q83" s="1056">
        <f>+$I$71-I83</f>
        <v>8.4821428571428825E-2</v>
      </c>
      <c r="R83" s="1057"/>
      <c r="U83" s="238">
        <f>+AE44+U44+K44+AO22+AE22+U22+K22</f>
        <v>0</v>
      </c>
      <c r="V83" s="239">
        <v>48</v>
      </c>
      <c r="W83" s="240">
        <f>+V83-U83</f>
        <v>48</v>
      </c>
      <c r="X83" s="241">
        <f>+J22+T22+AD22+J44+T44+AD44</f>
        <v>0</v>
      </c>
      <c r="Z83" s="252"/>
      <c r="AA83" s="394"/>
      <c r="AB83" s="389"/>
      <c r="AC83" s="390"/>
      <c r="AD83" s="390"/>
      <c r="AE83" s="386"/>
      <c r="AF83" s="386"/>
      <c r="AG83" s="391"/>
      <c r="AH83" s="391"/>
      <c r="AI83" s="393"/>
      <c r="AJ83" s="393"/>
      <c r="AK83" s="393"/>
      <c r="AL83" s="393"/>
      <c r="AM83" s="391"/>
      <c r="AN83" s="391"/>
      <c r="AO83" s="391"/>
      <c r="AP83" s="391"/>
      <c r="AQ83" s="391"/>
      <c r="AR83" s="391"/>
      <c r="AS83" s="386"/>
      <c r="AT83" s="386"/>
    </row>
    <row r="84" spans="1:46" ht="16.5">
      <c r="B84" s="250" t="s">
        <v>62</v>
      </c>
      <c r="C84" s="1035">
        <f>+G84*6</f>
        <v>169.99979999999999</v>
      </c>
      <c r="D84" s="1036"/>
      <c r="E84" s="1037">
        <f t="shared" si="64"/>
        <v>24.285685714285712</v>
      </c>
      <c r="F84" s="1038"/>
      <c r="G84" s="1384">
        <v>28.333300000000001</v>
      </c>
      <c r="H84" s="1385"/>
      <c r="I84" s="1037">
        <f>+G84/8</f>
        <v>3.5416625000000002</v>
      </c>
      <c r="J84" s="1038"/>
      <c r="K84" s="1388">
        <f>+G84*30</f>
        <v>849.99900000000002</v>
      </c>
      <c r="L84" s="1389"/>
      <c r="M84" s="5"/>
      <c r="N84" s="1020">
        <f t="shared" si="59"/>
        <v>4.1319395833333337</v>
      </c>
      <c r="O84" s="1020"/>
      <c r="P84" s="5"/>
      <c r="Q84" s="1004">
        <f t="shared" si="60"/>
        <v>1.2395874999999998</v>
      </c>
      <c r="R84" s="1005"/>
      <c r="U84" s="238">
        <f>+AE46+U46+K46+AO24+AE24+U24+K24</f>
        <v>0</v>
      </c>
      <c r="V84" s="239">
        <v>48</v>
      </c>
      <c r="W84" s="240">
        <f t="shared" si="62"/>
        <v>48</v>
      </c>
      <c r="X84" s="241">
        <f>+J23+T23+AD23+J45+T45+AD45</f>
        <v>0</v>
      </c>
      <c r="Z84" s="1045">
        <f>+K84/G84</f>
        <v>30</v>
      </c>
      <c r="AA84" s="1045"/>
      <c r="AB84" s="1045"/>
      <c r="AC84" s="1045"/>
      <c r="AD84" s="390"/>
      <c r="AE84" s="386"/>
      <c r="AF84" s="386"/>
      <c r="AG84" s="393"/>
      <c r="AH84" s="393"/>
      <c r="AI84" s="391"/>
      <c r="AJ84" s="391"/>
      <c r="AK84" s="391"/>
      <c r="AL84" s="391"/>
      <c r="AM84" s="391"/>
      <c r="AN84" s="391"/>
      <c r="AO84" s="391"/>
      <c r="AP84" s="391"/>
      <c r="AQ84" s="391"/>
      <c r="AR84" s="391"/>
      <c r="AS84" s="386"/>
      <c r="AT84" s="386"/>
    </row>
    <row r="85" spans="1:46" ht="16.5">
      <c r="B85" s="250" t="s">
        <v>30</v>
      </c>
      <c r="C85" s="1035">
        <f>+G85*6</f>
        <v>169.99979999999999</v>
      </c>
      <c r="D85" s="1036"/>
      <c r="E85" s="1037">
        <f t="shared" si="64"/>
        <v>24.285685714285712</v>
      </c>
      <c r="F85" s="1038"/>
      <c r="G85" s="1384">
        <v>28.333300000000001</v>
      </c>
      <c r="H85" s="1385"/>
      <c r="I85" s="1037">
        <f>+G85/8</f>
        <v>3.5416625000000002</v>
      </c>
      <c r="J85" s="1038"/>
      <c r="K85" s="1388">
        <f>+G85*30</f>
        <v>849.99900000000002</v>
      </c>
      <c r="L85" s="1389"/>
      <c r="M85" s="5"/>
      <c r="N85" s="1020">
        <f t="shared" si="59"/>
        <v>4.1319395833333337</v>
      </c>
      <c r="O85" s="1020"/>
      <c r="P85" s="5"/>
      <c r="Q85" s="1033">
        <f t="shared" si="60"/>
        <v>1.2395874999999998</v>
      </c>
      <c r="R85" s="1034"/>
      <c r="U85" s="238" t="e">
        <f>+AE49+U49+K49+AO27+AE27+U27+K27</f>
        <v>#VALUE!</v>
      </c>
      <c r="V85" s="239">
        <v>48</v>
      </c>
      <c r="W85" s="240" t="e">
        <f t="shared" si="62"/>
        <v>#VALUE!</v>
      </c>
      <c r="X85" s="241">
        <f>+J27+T27+AD27+J49+T49+AD49</f>
        <v>0</v>
      </c>
      <c r="Z85" s="246"/>
      <c r="AA85" s="246"/>
      <c r="AB85" s="390"/>
      <c r="AC85" s="390"/>
      <c r="AD85" s="390"/>
      <c r="AE85" s="386"/>
      <c r="AF85" s="386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91"/>
      <c r="AS85" s="386"/>
      <c r="AT85" s="386"/>
    </row>
    <row r="86" spans="1:46" ht="16.5">
      <c r="A86" s="247"/>
      <c r="B86" s="250" t="s">
        <v>30</v>
      </c>
      <c r="C86" s="1024">
        <v>100</v>
      </c>
      <c r="D86" s="1025"/>
      <c r="E86" s="1030">
        <f t="shared" si="64"/>
        <v>14.285714285714286</v>
      </c>
      <c r="F86" s="1409"/>
      <c r="G86" s="1028">
        <f>+C86/6</f>
        <v>16.666666666666668</v>
      </c>
      <c r="H86" s="1029"/>
      <c r="I86" s="1030">
        <f>+E86/8/6*7</f>
        <v>2.0833333333333335</v>
      </c>
      <c r="J86" s="1031"/>
      <c r="K86" s="1032">
        <f>+G86*30</f>
        <v>500.00000000000006</v>
      </c>
      <c r="L86" s="1032"/>
      <c r="M86" s="5"/>
      <c r="N86" s="1020">
        <f>+I86/6*7</f>
        <v>2.4305555555555558</v>
      </c>
      <c r="O86" s="1020"/>
      <c r="P86" s="5"/>
      <c r="Q86" s="1033">
        <f>+$I$71-I86</f>
        <v>2.6979166666666665</v>
      </c>
      <c r="R86" s="1034"/>
      <c r="U86" s="238">
        <f>+AE45+U45+K45+AO23+AE23+U23+K23</f>
        <v>36</v>
      </c>
      <c r="V86" s="239">
        <v>48</v>
      </c>
      <c r="W86" s="240">
        <f>+V86-U86</f>
        <v>12</v>
      </c>
      <c r="X86" s="241">
        <f>+J23+T23+AD23+J45+T45+AD45</f>
        <v>0</v>
      </c>
      <c r="Y86" s="248"/>
      <c r="Z86" s="390"/>
      <c r="AA86" s="390"/>
      <c r="AB86" s="390"/>
      <c r="AC86" s="390"/>
      <c r="AD86" s="390"/>
      <c r="AE86" s="386"/>
      <c r="AF86" s="386"/>
      <c r="AG86" s="391"/>
      <c r="AH86" s="391"/>
      <c r="AI86" s="386"/>
      <c r="AJ86" s="386"/>
      <c r="AK86" s="392"/>
      <c r="AL86" s="392"/>
      <c r="AM86" s="392"/>
      <c r="AN86" s="392"/>
      <c r="AO86" s="392"/>
      <c r="AP86" s="392"/>
      <c r="AQ86" s="392"/>
      <c r="AR86" s="392"/>
      <c r="AS86" s="386"/>
      <c r="AT86" s="386"/>
    </row>
    <row r="87" spans="1:46" ht="16.5">
      <c r="B87" s="253" t="s">
        <v>63</v>
      </c>
      <c r="C87" s="1010">
        <f>78.3333333333333*7</f>
        <v>548.33333333333314</v>
      </c>
      <c r="D87" s="1011"/>
      <c r="E87" s="1405">
        <f t="shared" si="56"/>
        <v>78.3333333333333</v>
      </c>
      <c r="F87" s="1406"/>
      <c r="G87" s="1407">
        <f>+C87/6</f>
        <v>91.388888888888857</v>
      </c>
      <c r="H87" s="1408"/>
      <c r="I87" s="1016">
        <f>+E87/8</f>
        <v>9.7916666666666625</v>
      </c>
      <c r="J87" s="1017"/>
      <c r="K87" s="1018">
        <f>+E87*30</f>
        <v>2349.9999999999991</v>
      </c>
      <c r="L87" s="1019"/>
      <c r="M87" s="5"/>
      <c r="N87" s="1020">
        <f t="shared" si="59"/>
        <v>11.423611111111107</v>
      </c>
      <c r="O87" s="1020"/>
      <c r="P87" s="5"/>
      <c r="Q87" s="1004">
        <f t="shared" si="60"/>
        <v>-5.0104166666666625</v>
      </c>
      <c r="R87" s="1005"/>
      <c r="U87" s="238">
        <f>+AE50+U50+K50+AO28+AE28+U28+K28</f>
        <v>0</v>
      </c>
      <c r="V87" s="239">
        <v>48</v>
      </c>
      <c r="W87" s="240">
        <f t="shared" si="62"/>
        <v>48</v>
      </c>
      <c r="X87" s="241">
        <f>+J28+T28+AD28+J50+T50+AD50</f>
        <v>0</v>
      </c>
      <c r="Z87" s="246"/>
      <c r="AA87" s="246"/>
      <c r="AB87" s="390"/>
      <c r="AC87" s="390"/>
      <c r="AD87" s="390"/>
      <c r="AE87" s="386"/>
      <c r="AF87" s="386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86"/>
      <c r="AR87" s="386"/>
      <c r="AS87" s="386"/>
      <c r="AT87" s="386"/>
    </row>
    <row r="88" spans="1:46" ht="14.1" customHeight="1">
      <c r="B88" s="237" t="s">
        <v>64</v>
      </c>
      <c r="C88" s="1416">
        <f>6*3+7*19.43</f>
        <v>154.01</v>
      </c>
      <c r="D88" s="1417"/>
      <c r="E88" s="1068">
        <f t="shared" si="56"/>
        <v>22.001428571428569</v>
      </c>
      <c r="F88" s="1069"/>
      <c r="G88" s="388"/>
      <c r="H88" s="388"/>
      <c r="I88" s="1412">
        <f>+E88/8</f>
        <v>2.7501785714285711</v>
      </c>
      <c r="J88" s="1413"/>
      <c r="K88" s="1418">
        <f>+E88*30</f>
        <v>660.04285714285709</v>
      </c>
      <c r="L88" s="1419"/>
      <c r="M88" s="5"/>
      <c r="N88" s="1020">
        <f t="shared" si="59"/>
        <v>3.2085416666666666</v>
      </c>
      <c r="O88" s="1020"/>
      <c r="P88" s="5"/>
      <c r="Q88" s="1056">
        <f t="shared" si="60"/>
        <v>2.0310714285714289</v>
      </c>
      <c r="R88" s="1057"/>
      <c r="U88" s="238" t="e">
        <f>+AE51+U51+K51+AO29+AE29+U29+K29</f>
        <v>#VALUE!</v>
      </c>
      <c r="V88" s="239">
        <v>48</v>
      </c>
      <c r="W88" s="240" t="e">
        <f t="shared" si="62"/>
        <v>#VALUE!</v>
      </c>
      <c r="X88" s="241" t="e">
        <f>+J29+T29+AD29+J51+T51+AD51</f>
        <v>#VALUE!</v>
      </c>
      <c r="Z88" s="390"/>
      <c r="AA88" s="390"/>
      <c r="AB88" s="390"/>
      <c r="AC88" s="390"/>
      <c r="AD88" s="390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</row>
    <row r="89" spans="1:46" ht="14.1" customHeight="1">
      <c r="B89" s="254" t="s">
        <v>65</v>
      </c>
      <c r="C89" s="1410">
        <v>168.01</v>
      </c>
      <c r="D89" s="1411"/>
      <c r="E89" s="1068">
        <f t="shared" si="56"/>
        <v>24.001428571428569</v>
      </c>
      <c r="F89" s="1069"/>
      <c r="G89" s="388"/>
      <c r="H89" s="388"/>
      <c r="I89" s="1412">
        <f>+E89/8</f>
        <v>3.0001785714285711</v>
      </c>
      <c r="J89" s="1413"/>
      <c r="K89" s="1414">
        <f>+E89*30</f>
        <v>720.04285714285709</v>
      </c>
      <c r="L89" s="1415"/>
      <c r="M89" s="5"/>
      <c r="N89" s="1020">
        <f t="shared" si="59"/>
        <v>3.5002083333333331</v>
      </c>
      <c r="O89" s="1020"/>
      <c r="P89" s="5"/>
      <c r="Q89" s="1056">
        <f t="shared" si="60"/>
        <v>1.7810714285714289</v>
      </c>
      <c r="R89" s="1057"/>
      <c r="Z89" s="390"/>
      <c r="AA89" s="390"/>
      <c r="AB89" s="390"/>
      <c r="AC89" s="391"/>
      <c r="AD89" s="391"/>
      <c r="AE89" s="391"/>
      <c r="AF89" s="391"/>
      <c r="AG89" s="391"/>
      <c r="AH89" s="391"/>
      <c r="AI89" s="391"/>
      <c r="AJ89" s="391"/>
      <c r="AK89" s="391"/>
      <c r="AL89" s="386"/>
      <c r="AM89" s="386"/>
      <c r="AN89" s="386"/>
      <c r="AO89" s="386"/>
      <c r="AP89" s="386"/>
      <c r="AQ89" s="386"/>
      <c r="AR89" s="386"/>
      <c r="AS89" s="386"/>
      <c r="AT89" s="386"/>
    </row>
    <row r="90" spans="1:46">
      <c r="Z90" s="390"/>
      <c r="AA90" s="386"/>
      <c r="AB90" s="386"/>
      <c r="AC90" s="386"/>
      <c r="AD90" s="386"/>
      <c r="AE90" s="391"/>
      <c r="AF90" s="391"/>
      <c r="AG90" s="386"/>
      <c r="AH90" s="386"/>
      <c r="AI90" s="386"/>
      <c r="AJ90" s="391"/>
      <c r="AK90" s="391"/>
      <c r="AL90" s="386"/>
      <c r="AM90" s="386"/>
      <c r="AN90" s="386"/>
      <c r="AO90" s="386"/>
      <c r="AP90" s="386"/>
      <c r="AQ90" s="386"/>
      <c r="AR90" s="386"/>
      <c r="AS90" s="386"/>
      <c r="AT90" s="386"/>
    </row>
    <row r="91" spans="1:46">
      <c r="AE91" s="255"/>
      <c r="AF91" s="255"/>
      <c r="AJ91" s="255"/>
      <c r="AK91" s="255"/>
    </row>
    <row r="92" spans="1:46" ht="26.25" thickBot="1">
      <c r="B92" s="256" t="s">
        <v>59</v>
      </c>
      <c r="H92" s="1124">
        <v>42922</v>
      </c>
      <c r="I92" s="1124"/>
      <c r="J92" s="1124"/>
      <c r="K92" s="1124"/>
      <c r="L92" s="1124"/>
      <c r="M92" s="1124"/>
      <c r="N92" s="1124"/>
      <c r="AD92" s="257"/>
      <c r="AE92" s="257"/>
      <c r="AF92" s="257"/>
      <c r="AG92" s="104"/>
      <c r="AH92" s="104"/>
      <c r="AI92" s="104"/>
      <c r="AJ92" s="255"/>
      <c r="AK92" s="255"/>
    </row>
    <row r="93" spans="1:46" ht="16.5" thickBot="1">
      <c r="B93" s="395">
        <v>1231.53</v>
      </c>
      <c r="C93" s="156" t="s">
        <v>66</v>
      </c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173"/>
      <c r="AQ93" s="173"/>
      <c r="AR93" s="173"/>
      <c r="AS93" s="173"/>
      <c r="AT93" s="173"/>
    </row>
    <row r="94" spans="1:46" ht="15.75">
      <c r="B94" s="365">
        <f>+B93/30*7</f>
        <v>287.35700000000003</v>
      </c>
      <c r="C94" s="156" t="s">
        <v>67</v>
      </c>
      <c r="D94" s="258"/>
      <c r="O94" s="1093" t="s">
        <v>68</v>
      </c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91"/>
      <c r="AF94" s="391"/>
      <c r="AG94" s="386"/>
      <c r="AH94" s="386"/>
      <c r="AI94" s="386"/>
      <c r="AJ94" s="391"/>
      <c r="AK94" s="391"/>
      <c r="AL94" s="386"/>
      <c r="AM94" s="386"/>
      <c r="AN94" s="386"/>
      <c r="AO94" s="386"/>
      <c r="AP94" s="173"/>
      <c r="AQ94" s="173"/>
      <c r="AR94" s="173"/>
      <c r="AS94" s="173"/>
      <c r="AT94" s="173"/>
    </row>
    <row r="95" spans="1:46">
      <c r="B95" s="365">
        <f>+B94-18</f>
        <v>269.35700000000003</v>
      </c>
      <c r="C95" s="156" t="s">
        <v>69</v>
      </c>
      <c r="O95" s="1093">
        <f>+B93</f>
        <v>1231.53</v>
      </c>
      <c r="P95" s="1093"/>
      <c r="Q95" s="1093" t="s">
        <v>70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A95" s="6" t="s">
        <v>71</v>
      </c>
      <c r="AD95" s="386"/>
      <c r="AE95" s="391"/>
      <c r="AF95" s="391"/>
      <c r="AG95" s="386"/>
      <c r="AH95" s="386"/>
      <c r="AI95" s="386"/>
      <c r="AJ95" s="391"/>
      <c r="AK95" s="391"/>
      <c r="AL95" s="386"/>
      <c r="AM95" s="386"/>
      <c r="AN95" s="386"/>
      <c r="AO95" s="386"/>
      <c r="AP95" s="173"/>
      <c r="AQ95" s="173"/>
      <c r="AR95" s="173"/>
      <c r="AS95" s="173"/>
      <c r="AT95" s="173"/>
    </row>
    <row r="96" spans="1:46">
      <c r="B96" s="396">
        <f>+B95/7+0</f>
        <v>38.479571428571433</v>
      </c>
      <c r="C96" s="259" t="s">
        <v>72</v>
      </c>
      <c r="D96" s="260"/>
      <c r="O96" s="1093">
        <f>+O95/30*7</f>
        <v>287.35700000000003</v>
      </c>
      <c r="P96" s="1093"/>
      <c r="Q96" s="1093" t="s">
        <v>73</v>
      </c>
      <c r="R96" s="1093"/>
      <c r="S96" s="1093"/>
      <c r="T96" s="1093"/>
      <c r="U96" s="1093"/>
      <c r="V96" s="1093"/>
      <c r="W96" s="1093"/>
      <c r="X96" s="1093"/>
      <c r="Y96" s="1093"/>
      <c r="Z96" s="1093"/>
      <c r="AA96" s="1092">
        <f>+O96*0.87</f>
        <v>250.00059000000002</v>
      </c>
      <c r="AB96" s="1092"/>
      <c r="AD96" s="386"/>
      <c r="AE96" s="261"/>
      <c r="AF96" s="261"/>
      <c r="AG96" s="386"/>
      <c r="AH96" s="386"/>
      <c r="AI96" s="386"/>
      <c r="AJ96" s="261"/>
      <c r="AK96" s="261"/>
      <c r="AL96" s="397"/>
      <c r="AM96" s="397"/>
      <c r="AN96" s="397"/>
      <c r="AO96" s="397"/>
      <c r="AP96" s="398"/>
      <c r="AQ96" s="398"/>
      <c r="AR96" s="173"/>
      <c r="AS96" s="173"/>
      <c r="AT96" s="173"/>
    </row>
    <row r="97" spans="2:46">
      <c r="O97" s="1093">
        <f>+O96/7</f>
        <v>41.051000000000002</v>
      </c>
      <c r="P97" s="1093"/>
      <c r="Q97" s="1093" t="s">
        <v>74</v>
      </c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91"/>
      <c r="AF97" s="391"/>
      <c r="AG97" s="386"/>
      <c r="AH97" s="386"/>
      <c r="AI97" s="386"/>
      <c r="AJ97" s="391"/>
      <c r="AK97" s="391"/>
      <c r="AL97" s="399"/>
      <c r="AM97" s="399"/>
      <c r="AN97" s="397"/>
      <c r="AO97" s="397"/>
      <c r="AP97" s="398"/>
      <c r="AQ97" s="398"/>
      <c r="AR97" s="173"/>
      <c r="AS97" s="173"/>
      <c r="AT97" s="173"/>
    </row>
    <row r="98" spans="2:46" ht="15.75">
      <c r="B98" s="400">
        <f>+B96</f>
        <v>38.479571428571433</v>
      </c>
      <c r="C98" s="262" t="s">
        <v>75</v>
      </c>
      <c r="D98" s="263"/>
      <c r="E98" s="263"/>
      <c r="F98" s="263"/>
      <c r="O98" s="1094">
        <f>(O96-18)/7</f>
        <v>38.479571428571433</v>
      </c>
      <c r="P98" s="1094"/>
      <c r="Q98" s="1094" t="s">
        <v>76</v>
      </c>
      <c r="R98" s="1094"/>
      <c r="S98" s="1094"/>
      <c r="T98" s="1094"/>
      <c r="U98" s="1094"/>
      <c r="V98" s="1094"/>
      <c r="W98" s="1094"/>
      <c r="X98" s="1094"/>
      <c r="Y98" s="1094"/>
      <c r="Z98" s="1094"/>
      <c r="AD98" s="386"/>
      <c r="AE98" s="264"/>
      <c r="AF98" s="264"/>
      <c r="AG98" s="265"/>
      <c r="AH98" s="265"/>
      <c r="AI98" s="265"/>
      <c r="AJ98" s="264"/>
      <c r="AK98" s="264"/>
      <c r="AL98" s="397"/>
      <c r="AM98" s="397"/>
      <c r="AN98" s="397"/>
      <c r="AO98" s="397"/>
      <c r="AP98" s="398"/>
      <c r="AQ98" s="398"/>
      <c r="AR98" s="173"/>
      <c r="AS98" s="173"/>
      <c r="AT98" s="173"/>
    </row>
    <row r="99" spans="2:46">
      <c r="B99" s="365">
        <v>3</v>
      </c>
      <c r="C99" s="156" t="s">
        <v>77</v>
      </c>
      <c r="O99" s="1093">
        <v>3</v>
      </c>
      <c r="P99" s="1093"/>
      <c r="Q99" s="1093" t="s">
        <v>78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D99" s="386"/>
      <c r="AE99" s="386"/>
      <c r="AF99" s="991">
        <v>993814365</v>
      </c>
      <c r="AG99" s="991"/>
      <c r="AH99" s="991"/>
      <c r="AI99" s="991"/>
      <c r="AJ99" s="991"/>
      <c r="AK99" s="386"/>
      <c r="AL99" s="397"/>
      <c r="AM99" s="397"/>
      <c r="AN99" s="397"/>
      <c r="AO99" s="397"/>
      <c r="AP99" s="398"/>
      <c r="AQ99" s="398"/>
      <c r="AR99" s="173"/>
      <c r="AS99" s="173"/>
      <c r="AT99" s="173"/>
    </row>
    <row r="100" spans="2:46">
      <c r="B100" s="396">
        <f>+B99+B98</f>
        <v>41.479571428571433</v>
      </c>
      <c r="C100" s="259" t="s">
        <v>79</v>
      </c>
      <c r="D100" s="266"/>
      <c r="E100" s="267"/>
      <c r="F100" s="268"/>
      <c r="G100" s="266"/>
      <c r="H100" s="266"/>
      <c r="I100" s="268"/>
      <c r="J100" s="266"/>
      <c r="K100" s="269"/>
      <c r="L100" s="269"/>
      <c r="M100" s="260"/>
      <c r="O100" s="1093">
        <f>+O99+O98</f>
        <v>41.479571428571433</v>
      </c>
      <c r="P100" s="1093"/>
      <c r="AD100" s="386"/>
      <c r="AE100" s="391"/>
      <c r="AF100" s="391"/>
      <c r="AG100" s="386"/>
      <c r="AH100" s="386"/>
      <c r="AI100" s="386"/>
      <c r="AJ100" s="391"/>
      <c r="AK100" s="391"/>
      <c r="AL100" s="399"/>
      <c r="AM100" s="399"/>
      <c r="AN100" s="399"/>
      <c r="AO100" s="399"/>
      <c r="AP100" s="401"/>
      <c r="AQ100" s="173"/>
      <c r="AR100" s="173"/>
      <c r="AS100" s="173"/>
      <c r="AT100" s="173"/>
    </row>
    <row r="101" spans="2:46">
      <c r="B101" s="365"/>
      <c r="AD101" s="386"/>
      <c r="AE101" s="402"/>
      <c r="AF101" s="402"/>
      <c r="AG101" s="402"/>
      <c r="AH101" s="386"/>
      <c r="AI101" s="386"/>
      <c r="AJ101" s="402"/>
      <c r="AK101" s="402"/>
      <c r="AL101" s="397"/>
      <c r="AM101" s="386"/>
      <c r="AN101" s="386"/>
      <c r="AO101" s="386"/>
      <c r="AP101" s="173"/>
      <c r="AQ101" s="173"/>
      <c r="AR101" s="173"/>
      <c r="AS101" s="173"/>
      <c r="AT101" s="173"/>
    </row>
    <row r="102" spans="2:46">
      <c r="B102" s="365">
        <f>+B100*6</f>
        <v>248.8774285714286</v>
      </c>
      <c r="C102" s="156" t="s">
        <v>80</v>
      </c>
      <c r="O102" s="1093" t="s">
        <v>81</v>
      </c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093"/>
      <c r="AD102" s="386"/>
      <c r="AE102" s="386"/>
      <c r="AF102" s="386"/>
      <c r="AG102" s="386"/>
      <c r="AH102" s="386"/>
      <c r="AI102" s="397"/>
      <c r="AJ102" s="397"/>
      <c r="AK102" s="399"/>
      <c r="AL102" s="392"/>
      <c r="AM102" s="391"/>
      <c r="AN102" s="392"/>
      <c r="AO102" s="386"/>
      <c r="AP102" s="173"/>
      <c r="AQ102" s="173"/>
      <c r="AR102" s="173"/>
      <c r="AS102" s="173"/>
      <c r="AT102" s="173"/>
    </row>
    <row r="103" spans="2:46">
      <c r="B103" s="403">
        <f>+B98</f>
        <v>38.479571428571433</v>
      </c>
      <c r="C103" s="270" t="s">
        <v>82</v>
      </c>
      <c r="D103" s="271"/>
      <c r="E103" s="272"/>
      <c r="F103" s="273"/>
      <c r="G103" s="271"/>
      <c r="H103" s="271"/>
      <c r="I103" s="273"/>
      <c r="J103" s="271"/>
      <c r="K103" s="274"/>
      <c r="L103" s="275"/>
      <c r="O103" s="1093">
        <f>+O95*1.1</f>
        <v>1354.683</v>
      </c>
      <c r="P103" s="1093"/>
      <c r="Q103" s="1093" t="s">
        <v>70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A103" s="6" t="s">
        <v>83</v>
      </c>
      <c r="AG103" s="173"/>
      <c r="AH103" s="173"/>
      <c r="AI103" s="398"/>
      <c r="AJ103" s="398"/>
      <c r="AK103" s="398"/>
      <c r="AL103" s="173"/>
      <c r="AM103" s="173"/>
      <c r="AN103" s="173"/>
      <c r="AO103" s="173"/>
    </row>
    <row r="104" spans="2:46">
      <c r="B104" s="396">
        <f>+B103+B102</f>
        <v>287.35700000000003</v>
      </c>
      <c r="C104" s="259" t="s">
        <v>84</v>
      </c>
      <c r="D104" s="266"/>
      <c r="E104" s="267"/>
      <c r="F104" s="268"/>
      <c r="G104" s="266"/>
      <c r="H104" s="266"/>
      <c r="I104" s="268"/>
      <c r="J104" s="266"/>
      <c r="K104" s="276"/>
      <c r="L104" s="275"/>
      <c r="O104" s="1093">
        <f>+O103/30*7</f>
        <v>316.09270000000004</v>
      </c>
      <c r="P104" s="1093"/>
      <c r="Q104" s="1093" t="s">
        <v>73</v>
      </c>
      <c r="R104" s="1093"/>
      <c r="S104" s="1093"/>
      <c r="T104" s="1093"/>
      <c r="U104" s="1093"/>
      <c r="V104" s="1093"/>
      <c r="W104" s="1093"/>
      <c r="X104" s="1093"/>
      <c r="Y104" s="1093"/>
      <c r="Z104" s="1093"/>
      <c r="AA104" s="1092">
        <f>+O104*0.87</f>
        <v>275.00064900000001</v>
      </c>
      <c r="AB104" s="1092"/>
      <c r="AG104" s="173"/>
      <c r="AH104" s="173"/>
      <c r="AI104" s="398"/>
      <c r="AJ104" s="398"/>
      <c r="AK104" s="277"/>
      <c r="AL104" s="173"/>
      <c r="AM104" s="173"/>
      <c r="AN104" s="173"/>
      <c r="AO104" s="173"/>
    </row>
    <row r="105" spans="2:46">
      <c r="B105" s="404"/>
      <c r="C105" s="278"/>
      <c r="D105" s="226"/>
      <c r="E105" s="279"/>
      <c r="F105" s="280"/>
      <c r="G105" s="226"/>
      <c r="H105" s="226"/>
      <c r="I105" s="280"/>
      <c r="J105" s="226"/>
      <c r="K105" s="275"/>
      <c r="L105" s="275"/>
      <c r="O105" s="1093">
        <f>+O104/7</f>
        <v>45.156100000000002</v>
      </c>
      <c r="P105" s="1093"/>
      <c r="Q105" s="1093" t="s">
        <v>74</v>
      </c>
      <c r="R105" s="1093"/>
      <c r="S105" s="1093"/>
      <c r="T105" s="1093"/>
      <c r="U105" s="1093"/>
      <c r="V105" s="1093"/>
      <c r="W105" s="1093"/>
      <c r="X105" s="1093"/>
      <c r="Y105" s="1093"/>
      <c r="Z105" s="1093"/>
      <c r="AG105" s="173"/>
      <c r="AH105" s="173"/>
      <c r="AI105" s="281"/>
      <c r="AJ105" s="282"/>
      <c r="AK105" s="277"/>
      <c r="AL105" s="173"/>
      <c r="AM105" s="173"/>
      <c r="AN105" s="173"/>
      <c r="AO105" s="173"/>
    </row>
    <row r="106" spans="2:46" ht="15.75">
      <c r="B106" s="405">
        <f>+B104/7</f>
        <v>41.051000000000002</v>
      </c>
      <c r="C106" s="283" t="s">
        <v>85</v>
      </c>
      <c r="D106" s="284"/>
      <c r="E106" s="285"/>
      <c r="F106" s="286"/>
      <c r="G106" s="287"/>
      <c r="H106" s="287"/>
      <c r="I106" s="280"/>
      <c r="J106" s="226"/>
      <c r="K106" s="275"/>
      <c r="L106" s="275"/>
      <c r="O106" s="1094">
        <f>(O104-18)/7</f>
        <v>42.584671428571433</v>
      </c>
      <c r="P106" s="1094"/>
      <c r="Q106" s="1094" t="s">
        <v>76</v>
      </c>
      <c r="R106" s="1094"/>
      <c r="S106" s="1094"/>
      <c r="T106" s="1094"/>
      <c r="U106" s="1094"/>
      <c r="V106" s="1094"/>
      <c r="W106" s="1094"/>
      <c r="X106" s="1094"/>
      <c r="Y106" s="1094"/>
      <c r="Z106" s="1094"/>
      <c r="AG106" s="173"/>
      <c r="AH106" s="173"/>
      <c r="AI106" s="173"/>
      <c r="AJ106" s="173"/>
      <c r="AK106" s="277"/>
      <c r="AL106" s="173"/>
      <c r="AM106" s="173"/>
      <c r="AN106" s="173"/>
      <c r="AO106" s="173"/>
    </row>
    <row r="107" spans="2:46">
      <c r="B107" s="404"/>
      <c r="C107" s="278"/>
      <c r="D107" s="226"/>
      <c r="E107" s="279"/>
      <c r="F107" s="280"/>
      <c r="G107" s="226"/>
      <c r="H107" s="226"/>
      <c r="I107" s="280"/>
      <c r="J107" s="226"/>
      <c r="K107" s="275"/>
      <c r="L107" s="275"/>
      <c r="O107" s="1093">
        <v>3</v>
      </c>
      <c r="P107" s="1093"/>
      <c r="Q107" s="1093" t="s">
        <v>78</v>
      </c>
      <c r="R107" s="1093"/>
      <c r="S107" s="1093"/>
      <c r="T107" s="1093"/>
      <c r="U107" s="1093"/>
      <c r="V107" s="1093"/>
      <c r="W107" s="1093"/>
      <c r="X107" s="1093"/>
      <c r="Y107" s="1093"/>
      <c r="Z107" s="109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2:46">
      <c r="B108" s="404"/>
      <c r="C108" s="278"/>
      <c r="D108" s="226"/>
      <c r="E108" s="279"/>
      <c r="F108" s="280"/>
      <c r="G108" s="226"/>
      <c r="H108" s="226"/>
      <c r="I108" s="280"/>
      <c r="J108" s="226"/>
      <c r="K108" s="275"/>
      <c r="L108" s="275"/>
      <c r="O108" s="1093">
        <f>+O107+O106</f>
        <v>45.584671428571433</v>
      </c>
      <c r="P108" s="109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2:46">
      <c r="B109" s="365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2:46" ht="26.25" thickBot="1">
      <c r="B110" s="256" t="s">
        <v>56</v>
      </c>
      <c r="H110" s="1124">
        <v>42744</v>
      </c>
      <c r="I110" s="1124"/>
      <c r="J110" s="1124"/>
      <c r="K110" s="1124"/>
      <c r="L110" s="1124"/>
      <c r="M110" s="1124"/>
      <c r="N110" s="1124"/>
      <c r="AD110" s="257"/>
      <c r="AE110" s="257"/>
      <c r="AF110" s="257"/>
      <c r="AG110" s="104"/>
      <c r="AH110" s="104"/>
      <c r="AI110" s="104"/>
      <c r="AJ110" s="255"/>
      <c r="AK110" s="255"/>
    </row>
    <row r="111" spans="2:46" ht="16.5" thickBot="1">
      <c r="B111" s="395">
        <v>1232.1400000000001</v>
      </c>
      <c r="C111" s="156" t="s">
        <v>66</v>
      </c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  <c r="AP111" s="173"/>
      <c r="AQ111" s="173"/>
      <c r="AR111" s="173"/>
      <c r="AS111" s="173"/>
      <c r="AT111" s="173"/>
    </row>
    <row r="112" spans="2:46" ht="15.75">
      <c r="B112" s="365">
        <f>+B111/30*7</f>
        <v>287.49933333333337</v>
      </c>
      <c r="C112" s="156" t="s">
        <v>67</v>
      </c>
      <c r="D112" s="258"/>
      <c r="O112" s="1093" t="s">
        <v>68</v>
      </c>
      <c r="P112" s="1093"/>
      <c r="Q112" s="1093"/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391"/>
      <c r="AF112" s="391"/>
      <c r="AG112" s="386"/>
      <c r="AH112" s="386"/>
      <c r="AI112" s="386"/>
      <c r="AJ112" s="391"/>
      <c r="AK112" s="391"/>
      <c r="AL112" s="386"/>
      <c r="AM112" s="386"/>
      <c r="AN112" s="386"/>
      <c r="AO112" s="386"/>
      <c r="AP112" s="173"/>
      <c r="AQ112" s="173"/>
      <c r="AR112" s="173"/>
      <c r="AS112" s="173"/>
      <c r="AT112" s="173"/>
    </row>
    <row r="113" spans="2:46">
      <c r="B113" s="365">
        <f>+B112-18</f>
        <v>269.49933333333337</v>
      </c>
      <c r="C113" s="156" t="s">
        <v>69</v>
      </c>
      <c r="O113" s="1093">
        <f>+B111</f>
        <v>1232.1400000000001</v>
      </c>
      <c r="P113" s="1093"/>
      <c r="Q113" s="1093" t="s">
        <v>70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A113" s="6" t="s">
        <v>71</v>
      </c>
      <c r="AD113" s="386"/>
      <c r="AE113" s="391"/>
      <c r="AF113" s="391"/>
      <c r="AG113" s="386"/>
      <c r="AH113" s="386"/>
      <c r="AI113" s="386"/>
      <c r="AJ113" s="391"/>
      <c r="AK113" s="391"/>
      <c r="AL113" s="386"/>
      <c r="AM113" s="386"/>
      <c r="AN113" s="386"/>
      <c r="AO113" s="386"/>
      <c r="AP113" s="173"/>
      <c r="AQ113" s="173"/>
      <c r="AR113" s="173"/>
      <c r="AS113" s="173"/>
      <c r="AT113" s="173"/>
    </row>
    <row r="114" spans="2:46">
      <c r="B114" s="396">
        <f>+B113/7+0</f>
        <v>38.499904761904766</v>
      </c>
      <c r="C114" s="259" t="s">
        <v>72</v>
      </c>
      <c r="D114" s="260"/>
      <c r="O114" s="1093">
        <f>+O113/30*7</f>
        <v>287.49933333333337</v>
      </c>
      <c r="P114" s="1093"/>
      <c r="Q114" s="1093" t="s">
        <v>73</v>
      </c>
      <c r="R114" s="1093"/>
      <c r="S114" s="1093"/>
      <c r="T114" s="1093"/>
      <c r="U114" s="1093"/>
      <c r="V114" s="1093"/>
      <c r="W114" s="1093"/>
      <c r="X114" s="1093"/>
      <c r="Y114" s="1093"/>
      <c r="Z114" s="1093"/>
      <c r="AA114" s="1092">
        <f>+O114*0.87</f>
        <v>250.12442000000001</v>
      </c>
      <c r="AB114" s="1092"/>
      <c r="AD114" s="386"/>
      <c r="AE114" s="261"/>
      <c r="AF114" s="261"/>
      <c r="AG114" s="386"/>
      <c r="AH114" s="386"/>
      <c r="AI114" s="386"/>
      <c r="AJ114" s="261"/>
      <c r="AK114" s="261"/>
      <c r="AL114" s="397"/>
      <c r="AM114" s="397"/>
      <c r="AN114" s="397"/>
      <c r="AO114" s="397"/>
      <c r="AP114" s="398"/>
      <c r="AQ114" s="398"/>
      <c r="AR114" s="173"/>
      <c r="AS114" s="173"/>
      <c r="AT114" s="173"/>
    </row>
    <row r="115" spans="2:46">
      <c r="O115" s="1093">
        <f>+O114/7</f>
        <v>41.071333333333335</v>
      </c>
      <c r="P115" s="1093"/>
      <c r="Q115" s="1093" t="s">
        <v>74</v>
      </c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91"/>
      <c r="AF115" s="391"/>
      <c r="AG115" s="386"/>
      <c r="AH115" s="386"/>
      <c r="AI115" s="386"/>
      <c r="AJ115" s="391"/>
      <c r="AK115" s="391"/>
      <c r="AL115" s="399"/>
      <c r="AM115" s="399"/>
      <c r="AN115" s="397"/>
      <c r="AO115" s="397"/>
      <c r="AP115" s="398"/>
      <c r="AQ115" s="398"/>
      <c r="AR115" s="173"/>
      <c r="AS115" s="173"/>
      <c r="AT115" s="173"/>
    </row>
    <row r="116" spans="2:46" ht="15.75">
      <c r="B116" s="400">
        <f>+B114</f>
        <v>38.499904761904766</v>
      </c>
      <c r="C116" s="262" t="s">
        <v>75</v>
      </c>
      <c r="D116" s="263"/>
      <c r="E116" s="263"/>
      <c r="F116" s="263"/>
      <c r="O116" s="1094">
        <f>(O114-18)/7</f>
        <v>38.499904761904766</v>
      </c>
      <c r="P116" s="1094"/>
      <c r="Q116" s="1094" t="s">
        <v>76</v>
      </c>
      <c r="R116" s="1094"/>
      <c r="S116" s="1094"/>
      <c r="T116" s="1094"/>
      <c r="U116" s="1094"/>
      <c r="V116" s="1094"/>
      <c r="W116" s="1094"/>
      <c r="X116" s="1094"/>
      <c r="Y116" s="1094"/>
      <c r="Z116" s="1094"/>
      <c r="AD116" s="386"/>
      <c r="AE116" s="264"/>
      <c r="AF116" s="264"/>
      <c r="AG116" s="265"/>
      <c r="AH116" s="265"/>
      <c r="AI116" s="265"/>
      <c r="AJ116" s="264"/>
      <c r="AK116" s="264"/>
      <c r="AL116" s="397"/>
      <c r="AM116" s="397"/>
      <c r="AN116" s="397"/>
      <c r="AO116" s="397"/>
      <c r="AP116" s="398"/>
      <c r="AQ116" s="398"/>
      <c r="AR116" s="173"/>
      <c r="AS116" s="173"/>
      <c r="AT116" s="173"/>
    </row>
    <row r="117" spans="2:46">
      <c r="B117" s="365">
        <v>3</v>
      </c>
      <c r="C117" s="156" t="s">
        <v>77</v>
      </c>
      <c r="O117" s="1093">
        <v>3</v>
      </c>
      <c r="P117" s="1093"/>
      <c r="Q117" s="1093" t="s">
        <v>78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D117" s="386"/>
      <c r="AE117" s="386"/>
      <c r="AF117" s="991">
        <v>993814365</v>
      </c>
      <c r="AG117" s="991"/>
      <c r="AH117" s="991"/>
      <c r="AI117" s="991"/>
      <c r="AJ117" s="991"/>
      <c r="AK117" s="386"/>
      <c r="AL117" s="397"/>
      <c r="AM117" s="397"/>
      <c r="AN117" s="397"/>
      <c r="AO117" s="397"/>
      <c r="AP117" s="398"/>
      <c r="AQ117" s="398"/>
      <c r="AR117" s="173"/>
      <c r="AS117" s="173"/>
      <c r="AT117" s="173"/>
    </row>
    <row r="118" spans="2:46">
      <c r="B118" s="396">
        <f>+B117+B116</f>
        <v>41.499904761904766</v>
      </c>
      <c r="C118" s="259" t="s">
        <v>79</v>
      </c>
      <c r="D118" s="266"/>
      <c r="E118" s="267"/>
      <c r="F118" s="268"/>
      <c r="G118" s="266"/>
      <c r="H118" s="266"/>
      <c r="I118" s="268"/>
      <c r="J118" s="266"/>
      <c r="K118" s="269"/>
      <c r="L118" s="269"/>
      <c r="M118" s="260"/>
      <c r="O118" s="1093">
        <f>+O117+O116</f>
        <v>41.499904761904766</v>
      </c>
      <c r="P118" s="1093"/>
      <c r="AD118" s="386"/>
      <c r="AE118" s="391"/>
      <c r="AF118" s="391"/>
      <c r="AG118" s="386"/>
      <c r="AH118" s="386"/>
      <c r="AI118" s="386"/>
      <c r="AJ118" s="391"/>
      <c r="AK118" s="391"/>
      <c r="AL118" s="399"/>
      <c r="AM118" s="399"/>
      <c r="AN118" s="399"/>
      <c r="AO118" s="399"/>
      <c r="AP118" s="401"/>
      <c r="AQ118" s="173"/>
      <c r="AR118" s="173"/>
      <c r="AS118" s="173"/>
      <c r="AT118" s="173"/>
    </row>
    <row r="119" spans="2:46">
      <c r="B119" s="365"/>
      <c r="AD119" s="386"/>
      <c r="AE119" s="402"/>
      <c r="AF119" s="402"/>
      <c r="AG119" s="402"/>
      <c r="AH119" s="386"/>
      <c r="AI119" s="386"/>
      <c r="AJ119" s="402"/>
      <c r="AK119" s="402"/>
      <c r="AL119" s="397"/>
      <c r="AM119" s="386"/>
      <c r="AN119" s="386"/>
      <c r="AO119" s="386"/>
      <c r="AP119" s="173"/>
      <c r="AQ119" s="173"/>
      <c r="AR119" s="173"/>
      <c r="AS119" s="173"/>
      <c r="AT119" s="173"/>
    </row>
    <row r="120" spans="2:46">
      <c r="B120" s="365">
        <f>+B118*6</f>
        <v>248.99942857142861</v>
      </c>
      <c r="C120" s="156" t="s">
        <v>80</v>
      </c>
      <c r="O120" s="1093" t="s">
        <v>81</v>
      </c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D120" s="386"/>
      <c r="AE120" s="386"/>
      <c r="AF120" s="386"/>
      <c r="AG120" s="386"/>
      <c r="AH120" s="386"/>
      <c r="AI120" s="397"/>
      <c r="AJ120" s="397"/>
      <c r="AK120" s="399"/>
      <c r="AL120" s="392"/>
      <c r="AM120" s="391"/>
      <c r="AN120" s="392"/>
      <c r="AO120" s="386"/>
      <c r="AP120" s="173"/>
      <c r="AQ120" s="173"/>
      <c r="AR120" s="173"/>
      <c r="AS120" s="173"/>
      <c r="AT120" s="173"/>
    </row>
    <row r="121" spans="2:46">
      <c r="B121" s="403">
        <f>+B116</f>
        <v>38.499904761904766</v>
      </c>
      <c r="C121" s="270" t="s">
        <v>82</v>
      </c>
      <c r="D121" s="271"/>
      <c r="E121" s="272"/>
      <c r="F121" s="273"/>
      <c r="G121" s="271"/>
      <c r="H121" s="271"/>
      <c r="I121" s="273"/>
      <c r="J121" s="271"/>
      <c r="K121" s="274"/>
      <c r="L121" s="275"/>
      <c r="O121" s="1093">
        <f>+O113*1.1</f>
        <v>1355.3540000000003</v>
      </c>
      <c r="P121" s="1093"/>
      <c r="Q121" s="1093" t="s">
        <v>70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A121" s="6" t="s">
        <v>83</v>
      </c>
      <c r="AG121" s="173"/>
      <c r="AH121" s="173"/>
      <c r="AI121" s="398"/>
      <c r="AJ121" s="398"/>
      <c r="AK121" s="398"/>
      <c r="AL121" s="173"/>
      <c r="AM121" s="173"/>
      <c r="AN121" s="173"/>
      <c r="AO121" s="173"/>
    </row>
    <row r="122" spans="2:46">
      <c r="B122" s="396">
        <f>+B121+B120</f>
        <v>287.49933333333337</v>
      </c>
      <c r="C122" s="259" t="s">
        <v>84</v>
      </c>
      <c r="D122" s="266"/>
      <c r="E122" s="267"/>
      <c r="F122" s="268"/>
      <c r="G122" s="266"/>
      <c r="H122" s="266"/>
      <c r="I122" s="268"/>
      <c r="J122" s="266"/>
      <c r="K122" s="276"/>
      <c r="L122" s="275"/>
      <c r="O122" s="1093">
        <f>+O121/30*7</f>
        <v>316.2492666666667</v>
      </c>
      <c r="P122" s="1093"/>
      <c r="Q122" s="1093" t="s">
        <v>73</v>
      </c>
      <c r="R122" s="1093"/>
      <c r="S122" s="1093"/>
      <c r="T122" s="1093"/>
      <c r="U122" s="1093"/>
      <c r="V122" s="1093"/>
      <c r="W122" s="1093"/>
      <c r="X122" s="1093"/>
      <c r="Y122" s="1093"/>
      <c r="Z122" s="1093"/>
      <c r="AA122" s="1092">
        <f>+O122*0.87</f>
        <v>275.13686200000001</v>
      </c>
      <c r="AB122" s="1092"/>
      <c r="AG122" s="173"/>
      <c r="AH122" s="173"/>
      <c r="AI122" s="398"/>
      <c r="AJ122" s="398"/>
      <c r="AK122" s="277"/>
      <c r="AL122" s="173"/>
      <c r="AM122" s="173"/>
      <c r="AN122" s="173"/>
      <c r="AO122" s="173"/>
    </row>
    <row r="123" spans="2:46">
      <c r="B123" s="404"/>
      <c r="C123" s="278"/>
      <c r="D123" s="226"/>
      <c r="E123" s="279"/>
      <c r="F123" s="280"/>
      <c r="G123" s="226"/>
      <c r="H123" s="226"/>
      <c r="I123" s="280"/>
      <c r="J123" s="226"/>
      <c r="K123" s="275"/>
      <c r="L123" s="275"/>
      <c r="O123" s="1093">
        <f>+O122/7</f>
        <v>45.178466666666672</v>
      </c>
      <c r="P123" s="1093"/>
      <c r="Q123" s="1093" t="s">
        <v>74</v>
      </c>
      <c r="R123" s="1093"/>
      <c r="S123" s="1093"/>
      <c r="T123" s="1093"/>
      <c r="U123" s="1093"/>
      <c r="V123" s="1093"/>
      <c r="W123" s="1093"/>
      <c r="X123" s="1093"/>
      <c r="Y123" s="1093"/>
      <c r="Z123" s="1093"/>
      <c r="AG123" s="173"/>
      <c r="AH123" s="173"/>
      <c r="AI123" s="281"/>
      <c r="AJ123" s="282"/>
      <c r="AK123" s="277"/>
      <c r="AL123" s="173"/>
      <c r="AM123" s="173"/>
      <c r="AN123" s="173"/>
      <c r="AO123" s="173"/>
    </row>
    <row r="124" spans="2:46" ht="15.75">
      <c r="B124" s="405">
        <f>+B122/7</f>
        <v>41.071333333333335</v>
      </c>
      <c r="C124" s="283" t="s">
        <v>85</v>
      </c>
      <c r="D124" s="284"/>
      <c r="E124" s="285"/>
      <c r="F124" s="286"/>
      <c r="G124" s="287"/>
      <c r="H124" s="287"/>
      <c r="I124" s="280"/>
      <c r="J124" s="226"/>
      <c r="K124" s="275"/>
      <c r="L124" s="275"/>
      <c r="O124" s="1094">
        <f>(O122-18)/7</f>
        <v>42.607038095238103</v>
      </c>
      <c r="P124" s="1094"/>
      <c r="Q124" s="1094" t="s">
        <v>76</v>
      </c>
      <c r="R124" s="1094"/>
      <c r="S124" s="1094"/>
      <c r="T124" s="1094"/>
      <c r="U124" s="1094"/>
      <c r="V124" s="1094"/>
      <c r="W124" s="1094"/>
      <c r="X124" s="1094"/>
      <c r="Y124" s="1094"/>
      <c r="Z124" s="1094"/>
      <c r="AG124" s="173"/>
      <c r="AH124" s="173"/>
      <c r="AI124" s="173"/>
      <c r="AJ124" s="173"/>
      <c r="AK124" s="277"/>
      <c r="AL124" s="173"/>
      <c r="AM124" s="173"/>
      <c r="AN124" s="173"/>
      <c r="AO124" s="173"/>
    </row>
    <row r="125" spans="2:46">
      <c r="B125" s="404"/>
      <c r="C125" s="278"/>
      <c r="D125" s="226"/>
      <c r="E125" s="279"/>
      <c r="F125" s="280"/>
      <c r="G125" s="226"/>
      <c r="H125" s="226"/>
      <c r="I125" s="280"/>
      <c r="J125" s="226"/>
      <c r="K125" s="275"/>
      <c r="L125" s="275"/>
      <c r="O125" s="1093">
        <v>3</v>
      </c>
      <c r="P125" s="1093"/>
      <c r="Q125" s="1093" t="s">
        <v>78</v>
      </c>
      <c r="R125" s="1093"/>
      <c r="S125" s="1093"/>
      <c r="T125" s="1093"/>
      <c r="U125" s="1093"/>
      <c r="V125" s="1093"/>
      <c r="W125" s="1093"/>
      <c r="X125" s="1093"/>
      <c r="Y125" s="1093"/>
      <c r="Z125" s="109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2:46">
      <c r="B126" s="404"/>
      <c r="C126" s="278"/>
      <c r="D126" s="226"/>
      <c r="E126" s="279"/>
      <c r="F126" s="280"/>
      <c r="G126" s="226"/>
      <c r="H126" s="226"/>
      <c r="I126" s="280"/>
      <c r="J126" s="226"/>
      <c r="K126" s="275"/>
      <c r="L126" s="275"/>
      <c r="O126" s="1093">
        <f>+O125+O124</f>
        <v>45.607038095238103</v>
      </c>
      <c r="P126" s="109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2:46">
      <c r="B127" s="365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2:46"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2:46"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2:46" ht="26.25" thickBot="1">
      <c r="B130" s="256" t="s">
        <v>86</v>
      </c>
      <c r="H130" s="1124">
        <v>42736</v>
      </c>
      <c r="I130" s="1124"/>
      <c r="J130" s="1124"/>
      <c r="K130" s="1124"/>
      <c r="L130" s="1124"/>
      <c r="M130" s="1124"/>
      <c r="N130" s="1124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2:46" ht="16.5" thickBot="1">
      <c r="B131" s="395">
        <v>850</v>
      </c>
      <c r="C131" s="156" t="s">
        <v>66</v>
      </c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  <c r="AP131" s="173"/>
      <c r="AQ131" s="173"/>
      <c r="AR131" s="173"/>
      <c r="AS131" s="173"/>
      <c r="AT131" s="173"/>
    </row>
    <row r="132" spans="2:46" ht="15.75">
      <c r="B132" s="365">
        <f>+B131/30*7</f>
        <v>198.33333333333331</v>
      </c>
      <c r="C132" s="156" t="s">
        <v>67</v>
      </c>
      <c r="D132" s="258"/>
      <c r="O132" s="1093" t="s">
        <v>68</v>
      </c>
      <c r="P132" s="1093"/>
      <c r="Q132" s="1093"/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91"/>
      <c r="AF132" s="391"/>
      <c r="AG132" s="386"/>
      <c r="AH132" s="386"/>
      <c r="AI132" s="386"/>
      <c r="AJ132" s="391"/>
      <c r="AK132" s="391"/>
      <c r="AL132" s="386"/>
      <c r="AM132" s="386"/>
      <c r="AN132" s="386"/>
      <c r="AO132" s="386"/>
      <c r="AP132" s="173"/>
      <c r="AQ132" s="173"/>
      <c r="AR132" s="173"/>
      <c r="AS132" s="173"/>
      <c r="AT132" s="173"/>
    </row>
    <row r="133" spans="2:46">
      <c r="B133" s="365">
        <f>+B132-18</f>
        <v>180.33333333333331</v>
      </c>
      <c r="C133" s="156" t="s">
        <v>69</v>
      </c>
      <c r="O133" s="1093">
        <f>+B131</f>
        <v>850</v>
      </c>
      <c r="P133" s="1093"/>
      <c r="Q133" s="1093" t="s">
        <v>70</v>
      </c>
      <c r="R133" s="1093"/>
      <c r="S133" s="1093"/>
      <c r="T133" s="1093"/>
      <c r="U133" s="1093"/>
      <c r="V133" s="1093"/>
      <c r="W133" s="1093"/>
      <c r="X133" s="1093"/>
      <c r="Y133" s="1093"/>
      <c r="Z133" s="1093"/>
      <c r="AA133" s="6" t="s">
        <v>71</v>
      </c>
      <c r="AD133" s="406" t="s">
        <v>87</v>
      </c>
      <c r="AE133" s="288"/>
      <c r="AF133" s="288"/>
      <c r="AG133" s="1122">
        <v>233.32</v>
      </c>
      <c r="AH133" s="1122"/>
      <c r="AI133" s="289"/>
      <c r="AJ133" s="1123">
        <f>233.32-AG133</f>
        <v>0</v>
      </c>
      <c r="AK133" s="1123"/>
      <c r="AL133" s="290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96">
        <f>+B133/7</f>
        <v>25.761904761904759</v>
      </c>
      <c r="C134" s="259" t="s">
        <v>72</v>
      </c>
      <c r="D134" s="260"/>
      <c r="O134" s="1093">
        <f>+O133/30*7</f>
        <v>198.33333333333331</v>
      </c>
      <c r="P134" s="1093"/>
      <c r="Q134" s="1093" t="s">
        <v>73</v>
      </c>
      <c r="R134" s="1093"/>
      <c r="S134" s="1093"/>
      <c r="T134" s="1093"/>
      <c r="U134" s="1093"/>
      <c r="V134" s="1093"/>
      <c r="W134" s="1093"/>
      <c r="X134" s="1093"/>
      <c r="Y134" s="1093"/>
      <c r="Z134" s="1093"/>
      <c r="AA134" s="1092">
        <f>+O134*0.87</f>
        <v>172.54999999999998</v>
      </c>
      <c r="AB134" s="1092"/>
      <c r="AD134" s="407" t="s">
        <v>88</v>
      </c>
      <c r="AE134" s="291"/>
      <c r="AF134" s="291"/>
      <c r="AG134" s="1118">
        <f>218.15-19.83</f>
        <v>198.32</v>
      </c>
      <c r="AH134" s="1118"/>
      <c r="AI134" s="292"/>
      <c r="AJ134" s="1119">
        <f>233.32-AG134</f>
        <v>35</v>
      </c>
      <c r="AK134" s="1119"/>
      <c r="AL134" s="408"/>
      <c r="AM134" s="397"/>
      <c r="AN134" s="397"/>
      <c r="AO134" s="397"/>
      <c r="AP134" s="398"/>
      <c r="AQ134" s="398"/>
      <c r="AR134" s="173"/>
      <c r="AS134" s="173"/>
      <c r="AT134" s="173"/>
    </row>
    <row r="135" spans="2:46">
      <c r="O135" s="1093">
        <f>+O134/7</f>
        <v>28.333333333333332</v>
      </c>
      <c r="P135" s="1093"/>
      <c r="Q135" s="1093" t="s">
        <v>74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407" t="s">
        <v>89</v>
      </c>
      <c r="AE135" s="293"/>
      <c r="AF135" s="293"/>
      <c r="AG135" s="1118">
        <f>218.15-19.83</f>
        <v>198.32</v>
      </c>
      <c r="AH135" s="1118"/>
      <c r="AI135" s="292"/>
      <c r="AJ135" s="1119">
        <f>233.32-AG135</f>
        <v>35</v>
      </c>
      <c r="AK135" s="1119"/>
      <c r="AL135" s="409"/>
      <c r="AM135" s="399"/>
      <c r="AN135" s="397"/>
      <c r="AO135" s="397"/>
      <c r="AP135" s="398"/>
      <c r="AQ135" s="398"/>
      <c r="AR135" s="173"/>
      <c r="AS135" s="173"/>
      <c r="AT135" s="173"/>
    </row>
    <row r="136" spans="2:46" ht="15.75">
      <c r="B136" s="400">
        <f>+B134</f>
        <v>25.761904761904759</v>
      </c>
      <c r="C136" s="262" t="s">
        <v>75</v>
      </c>
      <c r="D136" s="263"/>
      <c r="E136" s="263"/>
      <c r="F136" s="263"/>
      <c r="O136" s="1094">
        <f>(O134-18)/7</f>
        <v>25.761904761904759</v>
      </c>
      <c r="P136" s="1094"/>
      <c r="Q136" s="1094" t="s">
        <v>76</v>
      </c>
      <c r="R136" s="1094"/>
      <c r="S136" s="1094"/>
      <c r="T136" s="1094"/>
      <c r="U136" s="1094"/>
      <c r="V136" s="1094"/>
      <c r="W136" s="1094"/>
      <c r="X136" s="1094"/>
      <c r="Y136" s="1094"/>
      <c r="Z136" s="1094"/>
      <c r="AD136" s="407" t="s">
        <v>90</v>
      </c>
      <c r="AE136" s="294"/>
      <c r="AF136" s="294"/>
      <c r="AG136" s="1118">
        <f>228.07-29.75</f>
        <v>198.32</v>
      </c>
      <c r="AH136" s="1118"/>
      <c r="AI136" s="295"/>
      <c r="AJ136" s="1119">
        <f>233.32-AG136</f>
        <v>35</v>
      </c>
      <c r="AK136" s="1119"/>
      <c r="AL136" s="408"/>
      <c r="AM136" s="397"/>
      <c r="AN136" s="397"/>
      <c r="AO136" s="397"/>
      <c r="AP136" s="398"/>
      <c r="AQ136" s="398"/>
      <c r="AR136" s="173"/>
      <c r="AS136" s="173"/>
      <c r="AT136" s="173"/>
    </row>
    <row r="137" spans="2:46">
      <c r="B137" s="365">
        <v>3</v>
      </c>
      <c r="C137" s="156" t="s">
        <v>77</v>
      </c>
      <c r="O137" s="1093">
        <v>3</v>
      </c>
      <c r="P137" s="1093"/>
      <c r="Q137" s="1093" t="s">
        <v>78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D137" s="407" t="s">
        <v>91</v>
      </c>
      <c r="AE137" s="292"/>
      <c r="AF137" s="294"/>
      <c r="AG137" s="1118">
        <f>208.24-9.92</f>
        <v>198.32000000000002</v>
      </c>
      <c r="AH137" s="1118"/>
      <c r="AI137" s="295"/>
      <c r="AJ137" s="1119">
        <f>233.32-AG137</f>
        <v>34.999999999999972</v>
      </c>
      <c r="AK137" s="1119"/>
      <c r="AL137" s="408"/>
      <c r="AM137" s="397"/>
      <c r="AN137" s="397"/>
      <c r="AO137" s="397"/>
      <c r="AP137" s="398"/>
      <c r="AQ137" s="398"/>
      <c r="AR137" s="173"/>
      <c r="AS137" s="173"/>
      <c r="AT137" s="173"/>
    </row>
    <row r="138" spans="2:46">
      <c r="B138" s="396">
        <f>+B137+B136</f>
        <v>28.761904761904759</v>
      </c>
      <c r="C138" s="259" t="s">
        <v>79</v>
      </c>
      <c r="D138" s="266"/>
      <c r="E138" s="267"/>
      <c r="F138" s="268"/>
      <c r="G138" s="266"/>
      <c r="H138" s="266"/>
      <c r="I138" s="268"/>
      <c r="J138" s="266"/>
      <c r="K138" s="269"/>
      <c r="L138" s="269"/>
      <c r="M138" s="260"/>
      <c r="O138" s="1093">
        <f>+O137+O136</f>
        <v>28.761904761904759</v>
      </c>
      <c r="P138" s="1093"/>
      <c r="AD138" s="296"/>
      <c r="AE138" s="293"/>
      <c r="AF138" s="293"/>
      <c r="AG138" s="297" t="s">
        <v>92</v>
      </c>
      <c r="AH138" s="298"/>
      <c r="AI138" s="292"/>
      <c r="AJ138" s="293"/>
      <c r="AK138" s="1120">
        <f>SUM(AJ133:AK137)</f>
        <v>139.99999999999997</v>
      </c>
      <c r="AL138" s="1121"/>
      <c r="AM138" s="399"/>
      <c r="AN138" s="399"/>
      <c r="AO138" s="399"/>
      <c r="AP138" s="401"/>
      <c r="AQ138" s="173"/>
      <c r="AR138" s="173"/>
      <c r="AS138" s="173"/>
      <c r="AT138" s="173"/>
    </row>
    <row r="139" spans="2:46">
      <c r="B139" s="365"/>
      <c r="AD139" s="299"/>
      <c r="AE139" s="410"/>
      <c r="AF139" s="410"/>
      <c r="AG139" s="300"/>
      <c r="AH139" s="301"/>
      <c r="AI139" s="411" t="s">
        <v>93</v>
      </c>
      <c r="AJ139" s="410"/>
      <c r="AK139" s="410"/>
      <c r="AL139" s="412"/>
      <c r="AM139" s="386"/>
      <c r="AN139" s="386"/>
      <c r="AO139" s="386"/>
      <c r="AP139" s="173"/>
      <c r="AQ139" s="173"/>
      <c r="AR139" s="173"/>
      <c r="AS139" s="173"/>
      <c r="AT139" s="173"/>
    </row>
    <row r="140" spans="2:46">
      <c r="B140" s="365">
        <f>+B138*6</f>
        <v>172.57142857142856</v>
      </c>
      <c r="C140" s="156" t="s">
        <v>80</v>
      </c>
      <c r="O140" s="1093" t="s">
        <v>81</v>
      </c>
      <c r="P140" s="1093"/>
      <c r="Q140" s="1093"/>
      <c r="R140" s="1093"/>
      <c r="S140" s="1093"/>
      <c r="T140" s="1093"/>
      <c r="U140" s="1093"/>
      <c r="V140" s="1093"/>
      <c r="W140" s="1093"/>
      <c r="X140" s="1093"/>
      <c r="Y140" s="1093"/>
      <c r="Z140" s="1093"/>
      <c r="AD140" s="386"/>
      <c r="AE140" s="386"/>
      <c r="AF140" s="386"/>
      <c r="AG140" s="386"/>
      <c r="AH140" s="386"/>
      <c r="AI140" s="397"/>
      <c r="AJ140" s="397"/>
      <c r="AK140" s="399"/>
      <c r="AL140" s="392"/>
      <c r="AM140" s="391"/>
      <c r="AN140" s="392"/>
      <c r="AO140" s="386"/>
      <c r="AP140" s="173"/>
      <c r="AQ140" s="173"/>
      <c r="AR140" s="173"/>
      <c r="AS140" s="173"/>
      <c r="AT140" s="173"/>
    </row>
    <row r="141" spans="2:46">
      <c r="B141" s="403">
        <f>+B136</f>
        <v>25.761904761904759</v>
      </c>
      <c r="C141" s="270" t="s">
        <v>82</v>
      </c>
      <c r="D141" s="271"/>
      <c r="E141" s="272"/>
      <c r="F141" s="273"/>
      <c r="G141" s="271"/>
      <c r="H141" s="271"/>
      <c r="I141" s="273"/>
      <c r="J141" s="271"/>
      <c r="K141" s="274"/>
      <c r="L141" s="275"/>
      <c r="O141" s="1093">
        <f>+O133*1.1</f>
        <v>935.00000000000011</v>
      </c>
      <c r="P141" s="1093"/>
      <c r="Q141" s="1093" t="s">
        <v>70</v>
      </c>
      <c r="R141" s="1093"/>
      <c r="S141" s="1093"/>
      <c r="T141" s="1093"/>
      <c r="U141" s="1093"/>
      <c r="V141" s="1093"/>
      <c r="W141" s="1093"/>
      <c r="X141" s="1093"/>
      <c r="Y141" s="1093"/>
      <c r="Z141" s="1093"/>
      <c r="AA141" s="6" t="s">
        <v>83</v>
      </c>
      <c r="AG141" s="173"/>
      <c r="AH141" s="173"/>
      <c r="AI141" s="398"/>
      <c r="AJ141" s="398"/>
      <c r="AK141" s="398"/>
      <c r="AL141" s="173"/>
      <c r="AM141" s="173"/>
      <c r="AN141" s="173"/>
      <c r="AO141" s="173"/>
    </row>
    <row r="142" spans="2:46">
      <c r="B142" s="396">
        <f>+B141+B140</f>
        <v>198.33333333333331</v>
      </c>
      <c r="C142" s="259" t="s">
        <v>84</v>
      </c>
      <c r="D142" s="266"/>
      <c r="E142" s="267"/>
      <c r="F142" s="268"/>
      <c r="G142" s="266"/>
      <c r="H142" s="266"/>
      <c r="I142" s="268"/>
      <c r="J142" s="266"/>
      <c r="K142" s="276"/>
      <c r="L142" s="275"/>
      <c r="O142" s="1093">
        <f>+O141/30*7</f>
        <v>218.16666666666669</v>
      </c>
      <c r="P142" s="1093"/>
      <c r="Q142" s="1093" t="s">
        <v>73</v>
      </c>
      <c r="R142" s="1093"/>
      <c r="S142" s="1093"/>
      <c r="T142" s="1093"/>
      <c r="U142" s="1093"/>
      <c r="V142" s="1093"/>
      <c r="W142" s="1093"/>
      <c r="X142" s="1093"/>
      <c r="Y142" s="1093"/>
      <c r="Z142" s="1093"/>
      <c r="AA142" s="1092">
        <f>+O142*0.87</f>
        <v>189.80500000000001</v>
      </c>
      <c r="AB142" s="1092"/>
      <c r="AG142" s="173"/>
      <c r="AH142" s="173"/>
      <c r="AI142" s="398"/>
      <c r="AJ142" s="398"/>
      <c r="AK142" s="277"/>
      <c r="AL142" s="173"/>
      <c r="AM142" s="173"/>
      <c r="AN142" s="173"/>
      <c r="AO142" s="173"/>
    </row>
    <row r="143" spans="2:46">
      <c r="B143" s="404"/>
      <c r="C143" s="278"/>
      <c r="D143" s="226"/>
      <c r="E143" s="279"/>
      <c r="F143" s="280"/>
      <c r="G143" s="226"/>
      <c r="H143" s="226"/>
      <c r="I143" s="280"/>
      <c r="J143" s="226"/>
      <c r="K143" s="275"/>
      <c r="L143" s="275"/>
      <c r="O143" s="1093">
        <f>+O142/7</f>
        <v>31.166666666666668</v>
      </c>
      <c r="P143" s="1093"/>
      <c r="Q143" s="1093" t="s">
        <v>74</v>
      </c>
      <c r="R143" s="1093"/>
      <c r="S143" s="1093"/>
      <c r="T143" s="1093"/>
      <c r="U143" s="1093"/>
      <c r="V143" s="1093"/>
      <c r="W143" s="1093"/>
      <c r="X143" s="1093"/>
      <c r="Y143" s="1093"/>
      <c r="Z143" s="1093"/>
      <c r="AG143" s="173"/>
      <c r="AH143" s="173"/>
      <c r="AI143" s="281"/>
      <c r="AJ143" s="282"/>
      <c r="AK143" s="277"/>
      <c r="AL143" s="173"/>
      <c r="AM143" s="173"/>
      <c r="AN143" s="173"/>
      <c r="AO143" s="173"/>
    </row>
    <row r="144" spans="2:46">
      <c r="B144" s="413">
        <f>+B142/7</f>
        <v>28.333333333333332</v>
      </c>
      <c r="C144" s="302" t="s">
        <v>85</v>
      </c>
      <c r="F144" s="280"/>
      <c r="G144" s="226"/>
      <c r="H144" s="226"/>
      <c r="I144" s="280"/>
      <c r="J144" s="226"/>
      <c r="K144" s="275"/>
      <c r="L144" s="275"/>
      <c r="O144" s="1094">
        <f>(O142-18)/7</f>
        <v>28.595238095238098</v>
      </c>
      <c r="P144" s="1094"/>
      <c r="Q144" s="1094" t="s">
        <v>76</v>
      </c>
      <c r="R144" s="1094"/>
      <c r="S144" s="1094"/>
      <c r="T144" s="1094"/>
      <c r="U144" s="1094"/>
      <c r="V144" s="1094"/>
      <c r="W144" s="1094"/>
      <c r="X144" s="1094"/>
      <c r="Y144" s="1094"/>
      <c r="Z144" s="1094"/>
      <c r="AG144" s="173"/>
      <c r="AH144" s="173"/>
      <c r="AI144" s="173"/>
      <c r="AJ144" s="173"/>
      <c r="AK144" s="277"/>
      <c r="AL144" s="173"/>
      <c r="AM144" s="173"/>
      <c r="AN144" s="173"/>
      <c r="AO144" s="173"/>
    </row>
    <row r="145" spans="2:46">
      <c r="B145" s="404"/>
      <c r="C145" s="278"/>
      <c r="D145" s="226"/>
      <c r="E145" s="279"/>
      <c r="F145" s="280"/>
      <c r="G145" s="226"/>
      <c r="H145" s="226"/>
      <c r="I145" s="280"/>
      <c r="J145" s="226"/>
      <c r="K145" s="275"/>
      <c r="L145" s="275"/>
      <c r="O145" s="1093">
        <v>3</v>
      </c>
      <c r="P145" s="1093"/>
      <c r="Q145" s="1093" t="s">
        <v>78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2:46">
      <c r="B146" s="404"/>
      <c r="C146" s="278"/>
      <c r="D146" s="226"/>
      <c r="E146" s="279"/>
      <c r="F146" s="280"/>
      <c r="G146" s="226"/>
      <c r="H146" s="226"/>
      <c r="I146" s="280"/>
      <c r="J146" s="226"/>
      <c r="K146" s="275"/>
      <c r="L146" s="275"/>
      <c r="O146" s="1093">
        <f>+O145+O144</f>
        <v>31.595238095238098</v>
      </c>
      <c r="P146" s="109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2:46">
      <c r="B147" s="365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2:46"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2:46" ht="15.75" thickBot="1"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2:46" ht="16.5" thickBot="1">
      <c r="B150" s="414">
        <v>850</v>
      </c>
      <c r="C150" s="303" t="s">
        <v>66</v>
      </c>
      <c r="D150" s="331"/>
      <c r="E150" s="304"/>
      <c r="F150" s="305"/>
      <c r="G150" s="331"/>
      <c r="H150" s="331"/>
      <c r="I150" s="305"/>
      <c r="J150" s="331"/>
      <c r="K150" s="306"/>
      <c r="L150" s="306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  <c r="AA150" s="307"/>
      <c r="AB150" s="307"/>
      <c r="AC150" s="308"/>
      <c r="AD150" s="386"/>
      <c r="AE150" s="386"/>
      <c r="AF150" s="386"/>
      <c r="AG150" s="386"/>
      <c r="AH150" s="386"/>
      <c r="AI150" s="386"/>
      <c r="AJ150" s="386"/>
      <c r="AK150" s="386"/>
      <c r="AL150" s="386"/>
      <c r="AM150" s="386"/>
      <c r="AN150" s="386"/>
      <c r="AO150" s="386"/>
      <c r="AP150" s="173"/>
      <c r="AQ150" s="173"/>
      <c r="AR150" s="173"/>
      <c r="AS150" s="173"/>
      <c r="AT150" s="173"/>
    </row>
    <row r="151" spans="2:46" ht="15.75">
      <c r="B151" s="415">
        <f>+B150/30*7</f>
        <v>198.33333333333331</v>
      </c>
      <c r="C151" s="278" t="s">
        <v>67</v>
      </c>
      <c r="D151" s="309"/>
      <c r="E151" s="279"/>
      <c r="F151" s="280"/>
      <c r="G151" s="226"/>
      <c r="H151" s="226"/>
      <c r="I151" s="280"/>
      <c r="J151" s="226"/>
      <c r="K151" s="275"/>
      <c r="L151" s="275"/>
      <c r="M151" s="226"/>
      <c r="N151" s="226"/>
      <c r="O151" s="1093" t="s">
        <v>68</v>
      </c>
      <c r="P151" s="1093"/>
      <c r="Q151" s="1093"/>
      <c r="R151" s="1093"/>
      <c r="S151" s="1093"/>
      <c r="T151" s="1093"/>
      <c r="U151" s="1093"/>
      <c r="V151" s="1093"/>
      <c r="W151" s="1093"/>
      <c r="X151" s="1093"/>
      <c r="Y151" s="1093"/>
      <c r="Z151" s="1093"/>
      <c r="AA151" s="104"/>
      <c r="AB151" s="104"/>
      <c r="AC151" s="310"/>
      <c r="AD151" s="386"/>
      <c r="AE151" s="391"/>
      <c r="AF151" s="391"/>
      <c r="AG151" s="386"/>
      <c r="AH151" s="386"/>
      <c r="AI151" s="386"/>
      <c r="AJ151" s="391"/>
      <c r="AK151" s="391"/>
      <c r="AL151" s="386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415">
        <f>+B151-18</f>
        <v>180.33333333333331</v>
      </c>
      <c r="C152" s="278" t="s">
        <v>69</v>
      </c>
      <c r="D152" s="226"/>
      <c r="E152" s="279"/>
      <c r="F152" s="280"/>
      <c r="G152" s="226"/>
      <c r="H152" s="226"/>
      <c r="I152" s="280"/>
      <c r="J152" s="226"/>
      <c r="K152" s="275"/>
      <c r="L152" s="275"/>
      <c r="M152" s="226"/>
      <c r="N152" s="226"/>
      <c r="O152" s="1093">
        <f>+B150</f>
        <v>850</v>
      </c>
      <c r="P152" s="1093"/>
      <c r="Q152" s="1093" t="s">
        <v>70</v>
      </c>
      <c r="R152" s="1093"/>
      <c r="S152" s="1093"/>
      <c r="T152" s="1093"/>
      <c r="U152" s="1093"/>
      <c r="V152" s="1093"/>
      <c r="W152" s="1093"/>
      <c r="X152" s="1093"/>
      <c r="Y152" s="1093"/>
      <c r="Z152" s="1093"/>
      <c r="AA152" s="104" t="s">
        <v>71</v>
      </c>
      <c r="AB152" s="104"/>
      <c r="AC152" s="310"/>
      <c r="AD152" s="386"/>
      <c r="AE152" s="391"/>
      <c r="AF152" s="391"/>
      <c r="AG152" s="386"/>
      <c r="AH152" s="386"/>
      <c r="AI152" s="386"/>
      <c r="AJ152" s="391"/>
      <c r="AK152" s="391"/>
      <c r="AL152" s="386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416">
        <f>+B152/7</f>
        <v>25.761904761904759</v>
      </c>
      <c r="C153" s="259" t="s">
        <v>72</v>
      </c>
      <c r="D153" s="260"/>
      <c r="E153" s="279"/>
      <c r="F153" s="280"/>
      <c r="G153" s="226"/>
      <c r="H153" s="226"/>
      <c r="I153" s="280"/>
      <c r="J153" s="226"/>
      <c r="K153" s="275"/>
      <c r="L153" s="275"/>
      <c r="M153" s="226"/>
      <c r="N153" s="226"/>
      <c r="O153" s="1093">
        <f>+O152/30*7</f>
        <v>198.33333333333331</v>
      </c>
      <c r="P153" s="1093"/>
      <c r="Q153" s="1093" t="s">
        <v>73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1092">
        <f>+O153*0.87</f>
        <v>172.54999999999998</v>
      </c>
      <c r="AB153" s="1092"/>
      <c r="AC153" s="310"/>
      <c r="AD153" s="386"/>
      <c r="AE153" s="261"/>
      <c r="AF153" s="261"/>
      <c r="AG153" s="386"/>
      <c r="AH153" s="386"/>
      <c r="AI153" s="386"/>
      <c r="AJ153" s="261"/>
      <c r="AK153" s="261"/>
      <c r="AL153" s="397"/>
      <c r="AM153" s="397"/>
      <c r="AN153" s="397"/>
      <c r="AO153" s="397"/>
      <c r="AP153" s="398"/>
      <c r="AQ153" s="398"/>
      <c r="AR153" s="173"/>
      <c r="AS153" s="173"/>
      <c r="AT153" s="173"/>
    </row>
    <row r="154" spans="2:46">
      <c r="B154" s="311"/>
      <c r="C154" s="226"/>
      <c r="D154" s="226"/>
      <c r="E154" s="279"/>
      <c r="F154" s="280"/>
      <c r="G154" s="226"/>
      <c r="H154" s="226"/>
      <c r="I154" s="280"/>
      <c r="J154" s="226"/>
      <c r="K154" s="275"/>
      <c r="L154" s="275"/>
      <c r="M154" s="226"/>
      <c r="N154" s="226"/>
      <c r="O154" s="1093">
        <f>+O153/7</f>
        <v>28.333333333333332</v>
      </c>
      <c r="P154" s="1093"/>
      <c r="Q154" s="1093" t="s">
        <v>74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4"/>
      <c r="AB154" s="104"/>
      <c r="AC154" s="310"/>
      <c r="AD154" s="386"/>
      <c r="AE154" s="391"/>
      <c r="AF154" s="391"/>
      <c r="AG154" s="386"/>
      <c r="AH154" s="386"/>
      <c r="AI154" s="386"/>
      <c r="AJ154" s="391"/>
      <c r="AK154" s="391"/>
      <c r="AL154" s="399"/>
      <c r="AM154" s="399"/>
      <c r="AN154" s="397"/>
      <c r="AO154" s="397"/>
      <c r="AP154" s="398"/>
      <c r="AQ154" s="398"/>
      <c r="AR154" s="173"/>
      <c r="AS154" s="173"/>
      <c r="AT154" s="173"/>
    </row>
    <row r="155" spans="2:46" ht="15.75">
      <c r="B155" s="417">
        <f>+B153</f>
        <v>25.761904761904759</v>
      </c>
      <c r="C155" s="312" t="s">
        <v>75</v>
      </c>
      <c r="D155" s="286"/>
      <c r="E155" s="286"/>
      <c r="F155" s="286"/>
      <c r="G155" s="226"/>
      <c r="H155" s="226"/>
      <c r="I155" s="280"/>
      <c r="J155" s="226"/>
      <c r="K155" s="275"/>
      <c r="L155" s="275"/>
      <c r="M155" s="226"/>
      <c r="N155" s="226"/>
      <c r="O155" s="1094">
        <f>(O153-18)/7</f>
        <v>25.761904761904759</v>
      </c>
      <c r="P155" s="1094"/>
      <c r="Q155" s="1094" t="s">
        <v>76</v>
      </c>
      <c r="R155" s="1094"/>
      <c r="S155" s="1094"/>
      <c r="T155" s="1094"/>
      <c r="U155" s="1094"/>
      <c r="V155" s="1094"/>
      <c r="W155" s="1094"/>
      <c r="X155" s="1094"/>
      <c r="Y155" s="1094"/>
      <c r="Z155" s="1094"/>
      <c r="AA155" s="104"/>
      <c r="AB155" s="104"/>
      <c r="AC155" s="310"/>
      <c r="AD155" s="386"/>
      <c r="AE155" s="264"/>
      <c r="AF155" s="264"/>
      <c r="AG155" s="265"/>
      <c r="AH155" s="265"/>
      <c r="AI155" s="265"/>
      <c r="AJ155" s="264"/>
      <c r="AK155" s="264"/>
      <c r="AL155" s="397"/>
      <c r="AM155" s="397"/>
      <c r="AN155" s="397"/>
      <c r="AO155" s="397"/>
      <c r="AP155" s="398"/>
      <c r="AQ155" s="398"/>
      <c r="AR155" s="173"/>
      <c r="AS155" s="173"/>
      <c r="AT155" s="173"/>
    </row>
    <row r="156" spans="2:46">
      <c r="B156" s="415">
        <v>3</v>
      </c>
      <c r="C156" s="278" t="s">
        <v>77</v>
      </c>
      <c r="D156" s="226"/>
      <c r="E156" s="279"/>
      <c r="F156" s="280"/>
      <c r="G156" s="226"/>
      <c r="H156" s="226"/>
      <c r="I156" s="280"/>
      <c r="J156" s="226"/>
      <c r="K156" s="275"/>
      <c r="L156" s="275"/>
      <c r="M156" s="226"/>
      <c r="N156" s="226"/>
      <c r="O156" s="1093">
        <v>3</v>
      </c>
      <c r="P156" s="1093"/>
      <c r="Q156" s="1093" t="s">
        <v>78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A156" s="104"/>
      <c r="AB156" s="104"/>
      <c r="AC156" s="310"/>
      <c r="AD156" s="386"/>
      <c r="AE156" s="386"/>
      <c r="AF156" s="991">
        <v>993814365</v>
      </c>
      <c r="AG156" s="991"/>
      <c r="AH156" s="991"/>
      <c r="AI156" s="991"/>
      <c r="AJ156" s="991"/>
      <c r="AK156" s="386"/>
      <c r="AL156" s="397"/>
      <c r="AM156" s="397"/>
      <c r="AN156" s="397"/>
      <c r="AO156" s="397"/>
      <c r="AP156" s="398"/>
      <c r="AQ156" s="398"/>
      <c r="AR156" s="173"/>
      <c r="AS156" s="173"/>
      <c r="AT156" s="173"/>
    </row>
    <row r="157" spans="2:46">
      <c r="B157" s="416">
        <f>+B156+B155</f>
        <v>28.761904761904759</v>
      </c>
      <c r="C157" s="259" t="s">
        <v>79</v>
      </c>
      <c r="D157" s="266"/>
      <c r="E157" s="267"/>
      <c r="F157" s="268"/>
      <c r="G157" s="266"/>
      <c r="H157" s="266"/>
      <c r="I157" s="268"/>
      <c r="J157" s="266"/>
      <c r="K157" s="269"/>
      <c r="L157" s="269"/>
      <c r="M157" s="260"/>
      <c r="N157" s="226"/>
      <c r="O157" s="1093">
        <f>+O156+O155</f>
        <v>28.761904761904759</v>
      </c>
      <c r="P157" s="1093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104"/>
      <c r="AB157" s="104"/>
      <c r="AC157" s="310"/>
      <c r="AD157" s="386"/>
      <c r="AE157" s="391"/>
      <c r="AF157" s="391"/>
      <c r="AG157" s="386"/>
      <c r="AH157" s="386"/>
      <c r="AI157" s="386"/>
      <c r="AJ157" s="391"/>
      <c r="AK157" s="391"/>
      <c r="AL157" s="399"/>
      <c r="AM157" s="399"/>
      <c r="AN157" s="399"/>
      <c r="AO157" s="399"/>
      <c r="AP157" s="401"/>
      <c r="AQ157" s="173"/>
      <c r="AR157" s="173"/>
      <c r="AS157" s="173"/>
      <c r="AT157" s="173"/>
    </row>
    <row r="158" spans="2:46">
      <c r="B158" s="415"/>
      <c r="C158" s="226"/>
      <c r="D158" s="226"/>
      <c r="E158" s="279"/>
      <c r="F158" s="280"/>
      <c r="G158" s="226"/>
      <c r="H158" s="226"/>
      <c r="I158" s="280"/>
      <c r="J158" s="226"/>
      <c r="K158" s="275"/>
      <c r="L158" s="275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104"/>
      <c r="AB158" s="104"/>
      <c r="AC158" s="310"/>
      <c r="AD158" s="386"/>
      <c r="AE158" s="402"/>
      <c r="AF158" s="402"/>
      <c r="AG158" s="402"/>
      <c r="AH158" s="386"/>
      <c r="AI158" s="386"/>
      <c r="AJ158" s="402"/>
      <c r="AK158" s="402"/>
      <c r="AL158" s="397"/>
      <c r="AM158" s="386"/>
      <c r="AN158" s="386"/>
      <c r="AO158" s="386"/>
      <c r="AP158" s="173"/>
      <c r="AQ158" s="173"/>
      <c r="AR158" s="173"/>
      <c r="AS158" s="173"/>
      <c r="AT158" s="173"/>
    </row>
    <row r="159" spans="2:46">
      <c r="B159" s="415">
        <f>+B157*6</f>
        <v>172.57142857142856</v>
      </c>
      <c r="C159" s="278" t="s">
        <v>80</v>
      </c>
      <c r="D159" s="226"/>
      <c r="E159" s="279"/>
      <c r="F159" s="280"/>
      <c r="G159" s="226"/>
      <c r="H159" s="226"/>
      <c r="I159" s="280"/>
      <c r="J159" s="226"/>
      <c r="K159" s="275"/>
      <c r="L159" s="275"/>
      <c r="M159" s="226"/>
      <c r="N159" s="226"/>
      <c r="O159" s="1093" t="s">
        <v>81</v>
      </c>
      <c r="P159" s="1093"/>
      <c r="Q159" s="1093"/>
      <c r="R159" s="1093"/>
      <c r="S159" s="1093"/>
      <c r="T159" s="1093"/>
      <c r="U159" s="1093"/>
      <c r="V159" s="1093"/>
      <c r="W159" s="1093"/>
      <c r="X159" s="1093"/>
      <c r="Y159" s="1093"/>
      <c r="Z159" s="1093"/>
      <c r="AA159" s="104"/>
      <c r="AB159" s="104"/>
      <c r="AC159" s="310"/>
      <c r="AD159" s="386"/>
      <c r="AE159" s="386"/>
      <c r="AF159" s="386"/>
      <c r="AG159" s="386"/>
      <c r="AH159" s="386"/>
      <c r="AI159" s="397"/>
      <c r="AJ159" s="397"/>
      <c r="AK159" s="399"/>
      <c r="AL159" s="392"/>
      <c r="AM159" s="391"/>
      <c r="AN159" s="392"/>
      <c r="AO159" s="386"/>
      <c r="AP159" s="173"/>
      <c r="AQ159" s="173"/>
      <c r="AR159" s="173"/>
      <c r="AS159" s="173"/>
      <c r="AT159" s="173"/>
    </row>
    <row r="160" spans="2:46">
      <c r="B160" s="418">
        <f>+B155</f>
        <v>25.761904761904759</v>
      </c>
      <c r="C160" s="270" t="s">
        <v>82</v>
      </c>
      <c r="D160" s="271"/>
      <c r="E160" s="272"/>
      <c r="F160" s="273"/>
      <c r="G160" s="271"/>
      <c r="H160" s="271"/>
      <c r="I160" s="273"/>
      <c r="J160" s="271"/>
      <c r="K160" s="274"/>
      <c r="L160" s="275"/>
      <c r="M160" s="226"/>
      <c r="N160" s="226"/>
      <c r="O160" s="1093">
        <f>+O152*1.1</f>
        <v>935.00000000000011</v>
      </c>
      <c r="P160" s="1093"/>
      <c r="Q160" s="1093" t="s">
        <v>70</v>
      </c>
      <c r="R160" s="1093"/>
      <c r="S160" s="1093"/>
      <c r="T160" s="1093"/>
      <c r="U160" s="1093"/>
      <c r="V160" s="1093"/>
      <c r="W160" s="1093"/>
      <c r="X160" s="1093"/>
      <c r="Y160" s="1093"/>
      <c r="Z160" s="1093"/>
      <c r="AA160" s="104" t="s">
        <v>83</v>
      </c>
      <c r="AB160" s="104"/>
      <c r="AC160" s="310"/>
      <c r="AG160" s="173"/>
      <c r="AH160" s="173"/>
      <c r="AI160" s="398"/>
      <c r="AJ160" s="398"/>
      <c r="AK160" s="398"/>
      <c r="AL160" s="173"/>
      <c r="AM160" s="173"/>
      <c r="AN160" s="173"/>
      <c r="AO160" s="173"/>
    </row>
    <row r="161" spans="2:41">
      <c r="B161" s="416">
        <f>+B160+B159</f>
        <v>198.33333333333331</v>
      </c>
      <c r="C161" s="259" t="s">
        <v>84</v>
      </c>
      <c r="D161" s="266"/>
      <c r="E161" s="267"/>
      <c r="F161" s="268"/>
      <c r="G161" s="266"/>
      <c r="H161" s="266"/>
      <c r="I161" s="268"/>
      <c r="J161" s="266"/>
      <c r="K161" s="276"/>
      <c r="L161" s="275"/>
      <c r="M161" s="226"/>
      <c r="N161" s="226"/>
      <c r="O161" s="1093">
        <f>+O160/30*7</f>
        <v>218.16666666666669</v>
      </c>
      <c r="P161" s="1093"/>
      <c r="Q161" s="1093" t="s">
        <v>73</v>
      </c>
      <c r="R161" s="1093"/>
      <c r="S161" s="1093"/>
      <c r="T161" s="1093"/>
      <c r="U161" s="1093"/>
      <c r="V161" s="1093"/>
      <c r="W161" s="1093"/>
      <c r="X161" s="1093"/>
      <c r="Y161" s="1093"/>
      <c r="Z161" s="1093"/>
      <c r="AA161" s="1092">
        <f>+O161*0.87</f>
        <v>189.80500000000001</v>
      </c>
      <c r="AB161" s="1092"/>
      <c r="AC161" s="310"/>
      <c r="AG161" s="173"/>
      <c r="AH161" s="173"/>
      <c r="AI161" s="398"/>
      <c r="AJ161" s="398"/>
      <c r="AK161" s="277"/>
      <c r="AL161" s="173"/>
      <c r="AM161" s="173"/>
      <c r="AN161" s="173"/>
      <c r="AO161" s="173"/>
    </row>
    <row r="162" spans="2:41">
      <c r="B162" s="415"/>
      <c r="C162" s="278"/>
      <c r="D162" s="226"/>
      <c r="E162" s="279"/>
      <c r="F162" s="280"/>
      <c r="G162" s="226"/>
      <c r="H162" s="226"/>
      <c r="I162" s="280"/>
      <c r="J162" s="226"/>
      <c r="K162" s="275"/>
      <c r="L162" s="275"/>
      <c r="M162" s="226"/>
      <c r="N162" s="226"/>
      <c r="O162" s="1093">
        <f>+O161/7</f>
        <v>31.166666666666668</v>
      </c>
      <c r="P162" s="1093"/>
      <c r="Q162" s="1093" t="s">
        <v>74</v>
      </c>
      <c r="R162" s="1093"/>
      <c r="S162" s="1093"/>
      <c r="T162" s="1093"/>
      <c r="U162" s="1093"/>
      <c r="V162" s="1093"/>
      <c r="W162" s="1093"/>
      <c r="X162" s="1093"/>
      <c r="Y162" s="1093"/>
      <c r="Z162" s="1093"/>
      <c r="AA162" s="104"/>
      <c r="AB162" s="104"/>
      <c r="AC162" s="310"/>
      <c r="AG162" s="173"/>
      <c r="AH162" s="173"/>
      <c r="AI162" s="281"/>
      <c r="AJ162" s="282"/>
      <c r="AK162" s="277"/>
      <c r="AL162" s="173"/>
      <c r="AM162" s="173"/>
      <c r="AN162" s="173"/>
      <c r="AO162" s="173"/>
    </row>
    <row r="163" spans="2:41">
      <c r="B163" s="419">
        <f>+B161/7</f>
        <v>28.333333333333332</v>
      </c>
      <c r="C163" s="313" t="s">
        <v>85</v>
      </c>
      <c r="D163" s="226"/>
      <c r="E163" s="279"/>
      <c r="F163" s="280"/>
      <c r="G163" s="226"/>
      <c r="H163" s="226"/>
      <c r="I163" s="280"/>
      <c r="J163" s="226"/>
      <c r="K163" s="275"/>
      <c r="L163" s="275"/>
      <c r="M163" s="226"/>
      <c r="N163" s="226"/>
      <c r="O163" s="1094">
        <f>(O161-18)/7</f>
        <v>28.595238095238098</v>
      </c>
      <c r="P163" s="1094"/>
      <c r="Q163" s="1094" t="s">
        <v>76</v>
      </c>
      <c r="R163" s="1094"/>
      <c r="S163" s="1094"/>
      <c r="T163" s="1094"/>
      <c r="U163" s="1094"/>
      <c r="V163" s="1094"/>
      <c r="W163" s="1094"/>
      <c r="X163" s="1094"/>
      <c r="Y163" s="1094"/>
      <c r="Z163" s="1094"/>
      <c r="AA163" s="104"/>
      <c r="AB163" s="104"/>
      <c r="AC163" s="310"/>
      <c r="AG163" s="173"/>
      <c r="AH163" s="173"/>
      <c r="AI163" s="173"/>
      <c r="AJ163" s="173"/>
      <c r="AK163" s="277"/>
      <c r="AL163" s="173"/>
      <c r="AM163" s="173"/>
      <c r="AN163" s="173"/>
      <c r="AO163" s="173"/>
    </row>
    <row r="164" spans="2:41">
      <c r="B164" s="415"/>
      <c r="C164" s="278"/>
      <c r="D164" s="226"/>
      <c r="E164" s="279"/>
      <c r="F164" s="280"/>
      <c r="G164" s="226"/>
      <c r="H164" s="226"/>
      <c r="I164" s="280"/>
      <c r="J164" s="226"/>
      <c r="K164" s="275"/>
      <c r="L164" s="275"/>
      <c r="M164" s="226"/>
      <c r="N164" s="226"/>
      <c r="O164" s="1093">
        <v>3</v>
      </c>
      <c r="P164" s="1093"/>
      <c r="Q164" s="1093" t="s">
        <v>78</v>
      </c>
      <c r="R164" s="1093"/>
      <c r="S164" s="1093"/>
      <c r="T164" s="1093"/>
      <c r="U164" s="1093"/>
      <c r="V164" s="1093"/>
      <c r="W164" s="1093"/>
      <c r="X164" s="1093"/>
      <c r="Y164" s="1093"/>
      <c r="Z164" s="1093"/>
      <c r="AA164" s="104"/>
      <c r="AB164" s="104"/>
      <c r="AC164" s="310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2:41" ht="15.75" thickBot="1">
      <c r="B165" s="420"/>
      <c r="C165" s="314"/>
      <c r="D165" s="315"/>
      <c r="E165" s="316"/>
      <c r="F165" s="317"/>
      <c r="G165" s="315"/>
      <c r="H165" s="315"/>
      <c r="I165" s="317"/>
      <c r="J165" s="315"/>
      <c r="K165" s="318"/>
      <c r="L165" s="318"/>
      <c r="M165" s="315"/>
      <c r="N165" s="315"/>
      <c r="O165" s="1381">
        <f>+O164+O163</f>
        <v>31.595238095238098</v>
      </c>
      <c r="P165" s="1381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9"/>
      <c r="AB165" s="319"/>
      <c r="AC165" s="320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2:41">
      <c r="B166" s="365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2:41" ht="15.75" thickBot="1">
      <c r="AE167" s="255"/>
      <c r="AF167" s="255"/>
      <c r="AJ167" s="255"/>
      <c r="AK167" s="255"/>
    </row>
    <row r="168" spans="2:41">
      <c r="C168" s="321"/>
      <c r="D168" s="331"/>
      <c r="E168" s="304"/>
      <c r="F168" s="305"/>
      <c r="G168" s="331"/>
      <c r="H168" s="331"/>
      <c r="I168" s="305"/>
      <c r="J168" s="331"/>
      <c r="K168" s="306"/>
      <c r="L168" s="306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07"/>
      <c r="AB168" s="307"/>
      <c r="AC168" s="307"/>
      <c r="AD168" s="307"/>
      <c r="AE168" s="322"/>
      <c r="AF168" s="322"/>
      <c r="AG168" s="308"/>
      <c r="AJ168" s="255"/>
      <c r="AK168" s="255"/>
    </row>
    <row r="169" spans="2:41" ht="18">
      <c r="C169" s="323"/>
      <c r="D169" s="226"/>
      <c r="E169" s="324" t="s">
        <v>94</v>
      </c>
      <c r="F169" s="280"/>
      <c r="G169" s="226"/>
      <c r="H169" s="226"/>
      <c r="I169" s="280"/>
      <c r="J169" s="226"/>
      <c r="K169" s="275"/>
      <c r="L169" s="275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104"/>
      <c r="AB169" s="104"/>
      <c r="AC169" s="104"/>
      <c r="AD169" s="104"/>
      <c r="AE169" s="255"/>
      <c r="AF169" s="255"/>
      <c r="AG169" s="310"/>
      <c r="AJ169" s="255"/>
      <c r="AK169" s="255"/>
    </row>
    <row r="170" spans="2:41">
      <c r="C170" s="323"/>
      <c r="D170" s="226"/>
      <c r="E170" s="279"/>
      <c r="F170" s="280"/>
      <c r="G170" s="226"/>
      <c r="H170" s="226"/>
      <c r="I170" s="280"/>
      <c r="J170" s="226"/>
      <c r="K170" s="275"/>
      <c r="L170" s="275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971" t="s">
        <v>95</v>
      </c>
      <c r="AB170" s="972"/>
      <c r="AC170" s="973"/>
      <c r="AD170" s="974" t="s">
        <v>96</v>
      </c>
      <c r="AE170" s="975"/>
      <c r="AF170" s="976"/>
      <c r="AG170" s="310"/>
      <c r="AH170" s="104"/>
      <c r="AI170" s="104"/>
      <c r="AJ170" s="255"/>
      <c r="AK170" s="255"/>
    </row>
    <row r="171" spans="2:41" ht="16.5" thickBot="1">
      <c r="C171" s="323"/>
      <c r="D171" s="977" t="s">
        <v>97</v>
      </c>
      <c r="E171" s="977"/>
      <c r="F171" s="977"/>
      <c r="G171" s="977"/>
      <c r="H171" s="977"/>
      <c r="I171" s="978" t="s">
        <v>98</v>
      </c>
      <c r="J171" s="978"/>
      <c r="K171" s="978"/>
      <c r="L171" s="979" t="s">
        <v>99</v>
      </c>
      <c r="M171" s="979"/>
      <c r="N171" s="979"/>
      <c r="O171" s="979" t="s">
        <v>100</v>
      </c>
      <c r="P171" s="979"/>
      <c r="Q171" s="979"/>
      <c r="R171" s="980" t="s">
        <v>101</v>
      </c>
      <c r="S171" s="980"/>
      <c r="T171" s="980"/>
      <c r="U171" s="979" t="s">
        <v>102</v>
      </c>
      <c r="V171" s="979"/>
      <c r="W171" s="981"/>
      <c r="X171" s="982" t="s">
        <v>103</v>
      </c>
      <c r="Y171" s="983"/>
      <c r="Z171" s="984"/>
      <c r="AA171" s="985" t="s">
        <v>104</v>
      </c>
      <c r="AB171" s="985"/>
      <c r="AC171" s="986"/>
      <c r="AD171" s="987" t="s">
        <v>104</v>
      </c>
      <c r="AE171" s="988"/>
      <c r="AF171" s="989"/>
      <c r="AG171" s="310"/>
      <c r="AH171" s="104"/>
      <c r="AI171" s="104"/>
      <c r="AJ171" s="255"/>
      <c r="AK171" s="255"/>
    </row>
    <row r="172" spans="2:41" ht="19.5" thickTop="1">
      <c r="C172" s="325">
        <v>1</v>
      </c>
      <c r="D172" s="957" t="s">
        <v>105</v>
      </c>
      <c r="E172" s="957"/>
      <c r="F172" s="957"/>
      <c r="G172" s="957"/>
      <c r="H172" s="957"/>
      <c r="I172" s="958">
        <v>38.5</v>
      </c>
      <c r="J172" s="958"/>
      <c r="K172" s="958"/>
      <c r="L172" s="959">
        <v>1</v>
      </c>
      <c r="M172" s="959"/>
      <c r="N172" s="959"/>
      <c r="O172" s="959">
        <v>2</v>
      </c>
      <c r="P172" s="959"/>
      <c r="Q172" s="959"/>
      <c r="R172" s="960">
        <f t="shared" ref="R172:R178" si="65">+I172+L172+O172</f>
        <v>41.5</v>
      </c>
      <c r="S172" s="960"/>
      <c r="T172" s="960"/>
      <c r="U172" s="961">
        <f t="shared" ref="U172:U178" si="66">+I172*7+(L172+O172)*6</f>
        <v>287.5</v>
      </c>
      <c r="V172" s="961"/>
      <c r="W172" s="962"/>
      <c r="X172" s="963">
        <f t="shared" ref="X172:X178" si="67">+U172/7*30</f>
        <v>1232.1428571428571</v>
      </c>
      <c r="Y172" s="964"/>
      <c r="Z172" s="965"/>
      <c r="AA172" s="966">
        <v>37.571399999999997</v>
      </c>
      <c r="AB172" s="967"/>
      <c r="AC172" s="967"/>
      <c r="AD172" s="968">
        <f t="shared" ref="AD172:AD178" si="68">+AA172*30</f>
        <v>1127.1419999999998</v>
      </c>
      <c r="AE172" s="968"/>
      <c r="AF172" s="968"/>
      <c r="AG172" s="310"/>
      <c r="AH172" s="104" t="s">
        <v>106</v>
      </c>
      <c r="AI172" s="954" t="s">
        <v>107</v>
      </c>
      <c r="AJ172" s="955"/>
      <c r="AK172" s="955"/>
      <c r="AL172" s="955"/>
      <c r="AM172" s="956"/>
    </row>
    <row r="173" spans="2:41" ht="17.25">
      <c r="C173" s="325">
        <v>2</v>
      </c>
      <c r="D173" s="950" t="s">
        <v>108</v>
      </c>
      <c r="E173" s="950"/>
      <c r="F173" s="950"/>
      <c r="G173" s="950"/>
      <c r="H173" s="950"/>
      <c r="I173" s="951">
        <v>38.5</v>
      </c>
      <c r="J173" s="951"/>
      <c r="K173" s="951"/>
      <c r="L173" s="952">
        <v>1</v>
      </c>
      <c r="M173" s="952"/>
      <c r="N173" s="952"/>
      <c r="O173" s="952">
        <v>2</v>
      </c>
      <c r="P173" s="952"/>
      <c r="Q173" s="952"/>
      <c r="R173" s="938">
        <f t="shared" si="65"/>
        <v>41.5</v>
      </c>
      <c r="S173" s="938"/>
      <c r="T173" s="938"/>
      <c r="U173" s="953">
        <f t="shared" si="66"/>
        <v>287.5</v>
      </c>
      <c r="V173" s="953"/>
      <c r="W173" s="954"/>
      <c r="X173" s="947">
        <f t="shared" si="67"/>
        <v>1232.1428571428571</v>
      </c>
      <c r="Y173" s="948"/>
      <c r="Z173" s="949"/>
      <c r="AA173" s="935">
        <v>35.571399999999997</v>
      </c>
      <c r="AB173" s="936"/>
      <c r="AC173" s="936"/>
      <c r="AD173" s="937">
        <f t="shared" si="68"/>
        <v>1067.1419999999998</v>
      </c>
      <c r="AE173" s="937"/>
      <c r="AF173" s="937"/>
      <c r="AG173" s="310"/>
      <c r="AH173" s="104"/>
      <c r="AI173" s="104"/>
      <c r="AJ173" s="255"/>
      <c r="AK173" s="255"/>
    </row>
    <row r="174" spans="2:41" ht="17.25">
      <c r="C174" s="325">
        <v>3</v>
      </c>
      <c r="D174" s="950" t="s">
        <v>109</v>
      </c>
      <c r="E174" s="950"/>
      <c r="F174" s="950"/>
      <c r="G174" s="950"/>
      <c r="H174" s="950"/>
      <c r="I174" s="951">
        <v>38.5</v>
      </c>
      <c r="J174" s="951"/>
      <c r="K174" s="951"/>
      <c r="L174" s="952">
        <v>1</v>
      </c>
      <c r="M174" s="952"/>
      <c r="N174" s="952"/>
      <c r="O174" s="952">
        <v>2</v>
      </c>
      <c r="P174" s="952"/>
      <c r="Q174" s="952"/>
      <c r="R174" s="938">
        <f t="shared" si="65"/>
        <v>41.5</v>
      </c>
      <c r="S174" s="938"/>
      <c r="T174" s="938"/>
      <c r="U174" s="953">
        <f t="shared" si="66"/>
        <v>287.5</v>
      </c>
      <c r="V174" s="953"/>
      <c r="W174" s="954"/>
      <c r="X174" s="947">
        <f t="shared" si="67"/>
        <v>1232.1428571428571</v>
      </c>
      <c r="Y174" s="948"/>
      <c r="Z174" s="949"/>
      <c r="AA174" s="935">
        <v>32.571399999999997</v>
      </c>
      <c r="AB174" s="936"/>
      <c r="AC174" s="936"/>
      <c r="AD174" s="937">
        <f t="shared" si="68"/>
        <v>977.14199999999994</v>
      </c>
      <c r="AE174" s="937"/>
      <c r="AF174" s="937"/>
      <c r="AG174" s="310"/>
      <c r="AH174" s="104"/>
      <c r="AI174" s="104"/>
      <c r="AJ174" s="255"/>
      <c r="AK174" s="255"/>
    </row>
    <row r="175" spans="2:41" ht="17.25">
      <c r="C175" s="325">
        <v>4</v>
      </c>
      <c r="D175" s="950" t="s">
        <v>110</v>
      </c>
      <c r="E175" s="950"/>
      <c r="F175" s="950"/>
      <c r="G175" s="950"/>
      <c r="H175" s="950"/>
      <c r="I175" s="951">
        <v>35</v>
      </c>
      <c r="J175" s="951"/>
      <c r="K175" s="951"/>
      <c r="L175" s="952">
        <v>1</v>
      </c>
      <c r="M175" s="952"/>
      <c r="N175" s="952"/>
      <c r="O175" s="952">
        <v>2</v>
      </c>
      <c r="P175" s="952"/>
      <c r="Q175" s="952"/>
      <c r="R175" s="938">
        <f t="shared" si="65"/>
        <v>38</v>
      </c>
      <c r="S175" s="938"/>
      <c r="T175" s="938"/>
      <c r="U175" s="953">
        <f t="shared" si="66"/>
        <v>263</v>
      </c>
      <c r="V175" s="953"/>
      <c r="W175" s="954"/>
      <c r="X175" s="947">
        <f t="shared" si="67"/>
        <v>1127.1428571428571</v>
      </c>
      <c r="Y175" s="948"/>
      <c r="Z175" s="949"/>
      <c r="AA175" s="935">
        <v>35.321399999999997</v>
      </c>
      <c r="AB175" s="936"/>
      <c r="AC175" s="936"/>
      <c r="AD175" s="937">
        <f t="shared" si="68"/>
        <v>1059.6419999999998</v>
      </c>
      <c r="AE175" s="937"/>
      <c r="AF175" s="937"/>
      <c r="AG175" s="310"/>
      <c r="AH175" s="104"/>
      <c r="AI175" s="104"/>
      <c r="AJ175" s="255"/>
      <c r="AK175" s="255"/>
    </row>
    <row r="176" spans="2:41" ht="17.25">
      <c r="C176" s="325">
        <v>5</v>
      </c>
      <c r="D176" s="950" t="s">
        <v>111</v>
      </c>
      <c r="E176" s="950"/>
      <c r="F176" s="950"/>
      <c r="G176" s="950"/>
      <c r="H176" s="950"/>
      <c r="I176" s="951">
        <v>33.799999999999997</v>
      </c>
      <c r="J176" s="951"/>
      <c r="K176" s="951"/>
      <c r="L176" s="952">
        <v>1</v>
      </c>
      <c r="M176" s="952"/>
      <c r="N176" s="952"/>
      <c r="O176" s="952">
        <v>2</v>
      </c>
      <c r="P176" s="952"/>
      <c r="Q176" s="952"/>
      <c r="R176" s="938">
        <f t="shared" si="65"/>
        <v>36.799999999999997</v>
      </c>
      <c r="S176" s="938"/>
      <c r="T176" s="938"/>
      <c r="U176" s="953">
        <f t="shared" si="66"/>
        <v>254.59999999999997</v>
      </c>
      <c r="V176" s="953"/>
      <c r="W176" s="954"/>
      <c r="X176" s="947">
        <f t="shared" si="67"/>
        <v>1091.1428571428569</v>
      </c>
      <c r="Y176" s="948"/>
      <c r="Z176" s="949"/>
      <c r="AA176" s="935">
        <v>31.571400000000001</v>
      </c>
      <c r="AB176" s="936"/>
      <c r="AC176" s="936"/>
      <c r="AD176" s="937">
        <f t="shared" si="68"/>
        <v>947.14200000000005</v>
      </c>
      <c r="AE176" s="937"/>
      <c r="AF176" s="937"/>
      <c r="AG176" s="310"/>
      <c r="AH176" s="104"/>
      <c r="AI176" s="104"/>
      <c r="AJ176" s="255"/>
      <c r="AK176" s="255"/>
    </row>
    <row r="177" spans="3:41" ht="17.25">
      <c r="C177" s="325">
        <v>6</v>
      </c>
      <c r="D177" s="950" t="s">
        <v>112</v>
      </c>
      <c r="E177" s="950"/>
      <c r="F177" s="950"/>
      <c r="G177" s="950"/>
      <c r="H177" s="950"/>
      <c r="I177" s="951">
        <v>33.799999999999997</v>
      </c>
      <c r="J177" s="951"/>
      <c r="K177" s="951"/>
      <c r="L177" s="952">
        <v>1</v>
      </c>
      <c r="M177" s="952"/>
      <c r="N177" s="952"/>
      <c r="O177" s="952">
        <v>2</v>
      </c>
      <c r="P177" s="952"/>
      <c r="Q177" s="952"/>
      <c r="R177" s="938">
        <f t="shared" si="65"/>
        <v>36.799999999999997</v>
      </c>
      <c r="S177" s="938"/>
      <c r="T177" s="938"/>
      <c r="U177" s="953">
        <f t="shared" si="66"/>
        <v>254.59999999999997</v>
      </c>
      <c r="V177" s="953"/>
      <c r="W177" s="954"/>
      <c r="X177" s="947">
        <f t="shared" si="67"/>
        <v>1091.1428571428569</v>
      </c>
      <c r="Y177" s="948"/>
      <c r="Z177" s="949"/>
      <c r="AA177" s="935">
        <v>33.333300000000001</v>
      </c>
      <c r="AB177" s="936"/>
      <c r="AC177" s="936"/>
      <c r="AD177" s="937">
        <f t="shared" si="68"/>
        <v>999.99900000000002</v>
      </c>
      <c r="AE177" s="937"/>
      <c r="AF177" s="937"/>
      <c r="AG177" s="310"/>
      <c r="AH177" s="104"/>
      <c r="AI177" s="104"/>
      <c r="AJ177" s="255"/>
      <c r="AK177" s="255"/>
    </row>
    <row r="178" spans="3:41" ht="17.25">
      <c r="C178" s="325">
        <v>7</v>
      </c>
      <c r="D178" s="950" t="s">
        <v>113</v>
      </c>
      <c r="E178" s="950"/>
      <c r="F178" s="950"/>
      <c r="G178" s="950"/>
      <c r="H178" s="950"/>
      <c r="I178" s="951">
        <v>26</v>
      </c>
      <c r="J178" s="951"/>
      <c r="K178" s="951"/>
      <c r="L178" s="952">
        <v>1</v>
      </c>
      <c r="M178" s="952"/>
      <c r="N178" s="952"/>
      <c r="O178" s="952">
        <v>2</v>
      </c>
      <c r="P178" s="952"/>
      <c r="Q178" s="952"/>
      <c r="R178" s="938">
        <f t="shared" si="65"/>
        <v>29</v>
      </c>
      <c r="S178" s="938"/>
      <c r="T178" s="938"/>
      <c r="U178" s="953">
        <f t="shared" si="66"/>
        <v>200</v>
      </c>
      <c r="V178" s="953"/>
      <c r="W178" s="954"/>
      <c r="X178" s="947">
        <f t="shared" si="67"/>
        <v>857.14285714285722</v>
      </c>
      <c r="Y178" s="948"/>
      <c r="Z178" s="949"/>
      <c r="AA178" s="935">
        <v>25</v>
      </c>
      <c r="AB178" s="936"/>
      <c r="AC178" s="936"/>
      <c r="AD178" s="937">
        <f t="shared" si="68"/>
        <v>750</v>
      </c>
      <c r="AE178" s="937"/>
      <c r="AF178" s="937"/>
      <c r="AG178" s="310"/>
      <c r="AH178" s="104"/>
      <c r="AI178" s="104"/>
      <c r="AJ178" s="255"/>
      <c r="AK178" s="255"/>
    </row>
    <row r="179" spans="3:41" ht="17.25">
      <c r="C179" s="323"/>
      <c r="D179" s="278"/>
      <c r="E179" s="279"/>
      <c r="F179" s="280"/>
      <c r="G179" s="226"/>
      <c r="H179" s="226"/>
      <c r="I179" s="280"/>
      <c r="J179" s="226"/>
      <c r="K179" s="275"/>
      <c r="L179" s="275"/>
      <c r="M179" s="226"/>
      <c r="N179" s="226"/>
      <c r="O179" s="226"/>
      <c r="P179" s="226"/>
      <c r="Q179" s="226"/>
      <c r="R179" s="226"/>
      <c r="S179" s="938" t="s">
        <v>23</v>
      </c>
      <c r="T179" s="938"/>
      <c r="U179" s="938"/>
      <c r="V179" s="226"/>
      <c r="W179" s="226"/>
      <c r="X179" s="939">
        <f>SUM(X172:Z178)</f>
        <v>7862.9999999999991</v>
      </c>
      <c r="Y179" s="940"/>
      <c r="Z179" s="941"/>
      <c r="AA179" s="326"/>
      <c r="AB179" s="326"/>
      <c r="AC179" s="326"/>
      <c r="AD179" s="942">
        <f>SUM(AD172:AF178)</f>
        <v>6928.2089999999989</v>
      </c>
      <c r="AE179" s="942"/>
      <c r="AF179" s="942"/>
      <c r="AG179" s="310"/>
      <c r="AH179" s="104"/>
      <c r="AI179" s="104"/>
      <c r="AJ179" s="255"/>
      <c r="AK179" s="255"/>
    </row>
    <row r="180" spans="3:41" ht="15.75" thickBot="1">
      <c r="C180" s="323"/>
      <c r="D180" s="226"/>
      <c r="E180" s="279"/>
      <c r="F180" s="280"/>
      <c r="G180" s="226"/>
      <c r="H180" s="226"/>
      <c r="I180" s="280"/>
      <c r="J180" s="226"/>
      <c r="K180" s="275"/>
      <c r="L180" s="275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104"/>
      <c r="AB180" s="104"/>
      <c r="AC180" s="104"/>
      <c r="AD180" s="104"/>
      <c r="AE180" s="255"/>
      <c r="AF180" s="255"/>
      <c r="AG180" s="310"/>
      <c r="AH180" s="104"/>
      <c r="AI180" s="104"/>
      <c r="AJ180" s="255"/>
      <c r="AK180" s="255"/>
    </row>
    <row r="181" spans="3:41" ht="15.75" thickBot="1">
      <c r="C181" s="323"/>
      <c r="D181" s="226"/>
      <c r="E181" s="279"/>
      <c r="F181" s="280"/>
      <c r="G181" s="226"/>
      <c r="H181" s="226"/>
      <c r="I181" s="280"/>
      <c r="J181" s="226"/>
      <c r="K181" s="275"/>
      <c r="L181" s="943" t="s">
        <v>114</v>
      </c>
      <c r="M181" s="943"/>
      <c r="N181" s="943"/>
      <c r="O181" s="226"/>
      <c r="P181" s="226"/>
      <c r="Q181" s="226"/>
      <c r="R181" s="226"/>
      <c r="S181" s="226"/>
      <c r="T181" s="327" t="s">
        <v>115</v>
      </c>
      <c r="U181" s="226"/>
      <c r="V181" s="226"/>
      <c r="W181" s="226"/>
      <c r="X181" s="226"/>
      <c r="Y181" s="226"/>
      <c r="Z181" s="226"/>
      <c r="AA181" s="104"/>
      <c r="AB181" s="104"/>
      <c r="AC181" s="104"/>
      <c r="AD181" s="944">
        <f>+X179-AD179+0.01</f>
        <v>934.80100000000016</v>
      </c>
      <c r="AE181" s="945"/>
      <c r="AF181" s="946"/>
      <c r="AG181" s="310"/>
      <c r="AH181" s="104"/>
      <c r="AI181" s="104"/>
      <c r="AJ181" s="255"/>
      <c r="AK181" s="255"/>
    </row>
    <row r="182" spans="3:41" ht="15.75" thickBot="1">
      <c r="C182" s="328"/>
      <c r="D182" s="315"/>
      <c r="E182" s="316"/>
      <c r="F182" s="317"/>
      <c r="G182" s="315"/>
      <c r="H182" s="315"/>
      <c r="I182" s="317"/>
      <c r="J182" s="315"/>
      <c r="K182" s="318"/>
      <c r="L182" s="318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9"/>
      <c r="AB182" s="319"/>
      <c r="AC182" s="319"/>
      <c r="AD182" s="329"/>
      <c r="AE182" s="329"/>
      <c r="AF182" s="329"/>
      <c r="AG182" s="320"/>
      <c r="AH182" s="104"/>
      <c r="AI182" s="104"/>
      <c r="AJ182" s="255"/>
      <c r="AK182" s="255"/>
    </row>
    <row r="183" spans="3:41"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3:41"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3:41">
      <c r="AG185" s="173"/>
      <c r="AH185" s="173"/>
      <c r="AI185" s="173"/>
      <c r="AJ185" s="173"/>
      <c r="AK185" s="173"/>
      <c r="AL185" s="173"/>
      <c r="AM185" s="173"/>
      <c r="AN185" s="173"/>
      <c r="AO185" s="173"/>
    </row>
  </sheetData>
  <mergeCells count="526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U67:U72"/>
    <mergeCell ref="V67:V72"/>
    <mergeCell ref="W67:W72"/>
    <mergeCell ref="X67:X72"/>
    <mergeCell ref="AB68:AL69"/>
    <mergeCell ref="C70:D70"/>
    <mergeCell ref="E70:F70"/>
    <mergeCell ref="I70:J70"/>
    <mergeCell ref="K70:L70"/>
    <mergeCell ref="N70:O70"/>
    <mergeCell ref="C73:D73"/>
    <mergeCell ref="E73:F73"/>
    <mergeCell ref="I73:J73"/>
    <mergeCell ref="K73:L73"/>
    <mergeCell ref="N73:O73"/>
    <mergeCell ref="Q73:R73"/>
    <mergeCell ref="Q70:R70"/>
    <mergeCell ref="C71:D71"/>
    <mergeCell ref="E71:F71"/>
    <mergeCell ref="I71:J71"/>
    <mergeCell ref="K71:L71"/>
    <mergeCell ref="N71:O71"/>
    <mergeCell ref="Q71:R71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6:T76"/>
    <mergeCell ref="Z76:AC76"/>
    <mergeCell ref="C77:D77"/>
    <mergeCell ref="E77:F77"/>
    <mergeCell ref="I77:J77"/>
    <mergeCell ref="K77:L77"/>
    <mergeCell ref="N77:O77"/>
    <mergeCell ref="Q77:R77"/>
    <mergeCell ref="C76:D76"/>
    <mergeCell ref="E76:F76"/>
    <mergeCell ref="I76:J76"/>
    <mergeCell ref="K76:L76"/>
    <mergeCell ref="N76:O76"/>
    <mergeCell ref="Q76:R76"/>
    <mergeCell ref="Q78:R78"/>
    <mergeCell ref="AB78:AK78"/>
    <mergeCell ref="C79:D79"/>
    <mergeCell ref="E79:F79"/>
    <mergeCell ref="I79:J79"/>
    <mergeCell ref="K79:L79"/>
    <mergeCell ref="N79:O79"/>
    <mergeCell ref="Q79:R79"/>
    <mergeCell ref="S79:T79"/>
    <mergeCell ref="C78:D78"/>
    <mergeCell ref="E78:F78"/>
    <mergeCell ref="G78:H78"/>
    <mergeCell ref="I78:J78"/>
    <mergeCell ref="K78:L78"/>
    <mergeCell ref="N78:O78"/>
    <mergeCell ref="Q80:R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Z82:AC82"/>
    <mergeCell ref="C83:D83"/>
    <mergeCell ref="E83:F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4:R84"/>
    <mergeCell ref="Z84:AC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C89:D89"/>
    <mergeCell ref="E89:F89"/>
    <mergeCell ref="I89:J89"/>
    <mergeCell ref="K89:L89"/>
    <mergeCell ref="N89:O89"/>
    <mergeCell ref="Q89:R89"/>
    <mergeCell ref="C88:D88"/>
    <mergeCell ref="E88:F88"/>
    <mergeCell ref="I88:J88"/>
    <mergeCell ref="K88:L88"/>
    <mergeCell ref="N88:O88"/>
    <mergeCell ref="Q88:R88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O105:P105"/>
    <mergeCell ref="Q105:Z105"/>
    <mergeCell ref="O106:P106"/>
    <mergeCell ref="Q106:Z106"/>
    <mergeCell ref="O107:P107"/>
    <mergeCell ref="Q107:Z107"/>
    <mergeCell ref="AF99:AJ99"/>
    <mergeCell ref="O100:P100"/>
    <mergeCell ref="O102:Z102"/>
    <mergeCell ref="O103:P103"/>
    <mergeCell ref="Q103:Z103"/>
    <mergeCell ref="O104:P104"/>
    <mergeCell ref="Q104:Z104"/>
    <mergeCell ref="AA104:AB104"/>
    <mergeCell ref="AA114:AB114"/>
    <mergeCell ref="O115:P115"/>
    <mergeCell ref="Q115:Z115"/>
    <mergeCell ref="O116:P116"/>
    <mergeCell ref="Q116:Z116"/>
    <mergeCell ref="O117:P117"/>
    <mergeCell ref="Q117:Z117"/>
    <mergeCell ref="O108:P108"/>
    <mergeCell ref="H110:N110"/>
    <mergeCell ref="O112:Z112"/>
    <mergeCell ref="O113:P113"/>
    <mergeCell ref="Q113:Z113"/>
    <mergeCell ref="O114:P114"/>
    <mergeCell ref="Q114:Z114"/>
    <mergeCell ref="O123:P123"/>
    <mergeCell ref="Q123:Z123"/>
    <mergeCell ref="O124:P124"/>
    <mergeCell ref="Q124:Z124"/>
    <mergeCell ref="O125:P125"/>
    <mergeCell ref="Q125:Z125"/>
    <mergeCell ref="AF117:AJ117"/>
    <mergeCell ref="O118:P118"/>
    <mergeCell ref="O120:Z120"/>
    <mergeCell ref="O121:P121"/>
    <mergeCell ref="Q121:Z121"/>
    <mergeCell ref="O122:P122"/>
    <mergeCell ref="Q122:Z122"/>
    <mergeCell ref="AA122:AB122"/>
    <mergeCell ref="AJ133:AK133"/>
    <mergeCell ref="O134:P134"/>
    <mergeCell ref="Q134:Z134"/>
    <mergeCell ref="AA134:AB134"/>
    <mergeCell ref="AG134:AH134"/>
    <mergeCell ref="AJ134:AK134"/>
    <mergeCell ref="O126:P126"/>
    <mergeCell ref="H130:N130"/>
    <mergeCell ref="O132:Z132"/>
    <mergeCell ref="O133:P133"/>
    <mergeCell ref="Q133:Z133"/>
    <mergeCell ref="AG133:AH133"/>
    <mergeCell ref="AA142:AB142"/>
    <mergeCell ref="O137:P137"/>
    <mergeCell ref="Q137:Z137"/>
    <mergeCell ref="AG137:AH137"/>
    <mergeCell ref="AJ137:AK137"/>
    <mergeCell ref="O138:P138"/>
    <mergeCell ref="AK138:AL138"/>
    <mergeCell ref="O135:P135"/>
    <mergeCell ref="Q135:Z135"/>
    <mergeCell ref="AG135:AH135"/>
    <mergeCell ref="AJ135:AK135"/>
    <mergeCell ref="O136:P136"/>
    <mergeCell ref="Q136:Z136"/>
    <mergeCell ref="AG136:AH136"/>
    <mergeCell ref="AJ136:AK136"/>
    <mergeCell ref="O143:P143"/>
    <mergeCell ref="Q143:Z143"/>
    <mergeCell ref="O144:P144"/>
    <mergeCell ref="Q144:Z144"/>
    <mergeCell ref="O145:P145"/>
    <mergeCell ref="Q145:Z145"/>
    <mergeCell ref="O140:Z140"/>
    <mergeCell ref="O141:P141"/>
    <mergeCell ref="Q141:Z141"/>
    <mergeCell ref="O142:P142"/>
    <mergeCell ref="Q142:Z142"/>
    <mergeCell ref="AA153:AB153"/>
    <mergeCell ref="O154:P154"/>
    <mergeCell ref="Q154:Z154"/>
    <mergeCell ref="O155:P155"/>
    <mergeCell ref="Q155:Z155"/>
    <mergeCell ref="O156:P156"/>
    <mergeCell ref="Q156:Z156"/>
    <mergeCell ref="O146:P146"/>
    <mergeCell ref="O151:Z151"/>
    <mergeCell ref="O152:P152"/>
    <mergeCell ref="Q152:Z152"/>
    <mergeCell ref="O153:P153"/>
    <mergeCell ref="Q153:Z153"/>
    <mergeCell ref="O162:P162"/>
    <mergeCell ref="Q162:Z162"/>
    <mergeCell ref="O163:P163"/>
    <mergeCell ref="Q163:Z163"/>
    <mergeCell ref="O164:P164"/>
    <mergeCell ref="Q164:Z164"/>
    <mergeCell ref="AF156:AJ156"/>
    <mergeCell ref="O157:P157"/>
    <mergeCell ref="O159:Z159"/>
    <mergeCell ref="O160:P160"/>
    <mergeCell ref="Q160:Z160"/>
    <mergeCell ref="O161:P161"/>
    <mergeCell ref="Q161:Z161"/>
    <mergeCell ref="AA161:AB161"/>
    <mergeCell ref="O165:P165"/>
    <mergeCell ref="AA170:AC170"/>
    <mergeCell ref="AD170:AF170"/>
    <mergeCell ref="D171:H171"/>
    <mergeCell ref="I171:K171"/>
    <mergeCell ref="L171:N171"/>
    <mergeCell ref="O171:Q171"/>
    <mergeCell ref="R171:T171"/>
    <mergeCell ref="U171:W171"/>
    <mergeCell ref="X171:Z171"/>
    <mergeCell ref="AA171:AC171"/>
    <mergeCell ref="AD171:AF171"/>
    <mergeCell ref="AI172:AM172"/>
    <mergeCell ref="D173:H173"/>
    <mergeCell ref="I173:K173"/>
    <mergeCell ref="L173:N173"/>
    <mergeCell ref="O173:Q173"/>
    <mergeCell ref="R173:T173"/>
    <mergeCell ref="U173:W173"/>
    <mergeCell ref="X173:Z173"/>
    <mergeCell ref="AA173:AC173"/>
    <mergeCell ref="AD173:AF173"/>
    <mergeCell ref="D172:H172"/>
    <mergeCell ref="I172:K172"/>
    <mergeCell ref="L172:N172"/>
    <mergeCell ref="O172:Q172"/>
    <mergeCell ref="R172:T172"/>
    <mergeCell ref="U172:W172"/>
    <mergeCell ref="X172:Z172"/>
    <mergeCell ref="AA172:AC172"/>
    <mergeCell ref="AD172:AF172"/>
    <mergeCell ref="D174:H174"/>
    <mergeCell ref="I174:K174"/>
    <mergeCell ref="L174:N174"/>
    <mergeCell ref="O174:Q174"/>
    <mergeCell ref="R174:T174"/>
    <mergeCell ref="U174:W174"/>
    <mergeCell ref="X174:Z174"/>
    <mergeCell ref="AA174:AC174"/>
    <mergeCell ref="AD174:AF174"/>
    <mergeCell ref="X175:Z175"/>
    <mergeCell ref="AA175:AC175"/>
    <mergeCell ref="AD175:AF175"/>
    <mergeCell ref="D176:H176"/>
    <mergeCell ref="I176:K176"/>
    <mergeCell ref="L176:N176"/>
    <mergeCell ref="O176:Q176"/>
    <mergeCell ref="R176:T176"/>
    <mergeCell ref="U176:W176"/>
    <mergeCell ref="X176:Z176"/>
    <mergeCell ref="D175:H175"/>
    <mergeCell ref="I175:K175"/>
    <mergeCell ref="L175:N175"/>
    <mergeCell ref="O175:Q175"/>
    <mergeCell ref="R175:T175"/>
    <mergeCell ref="U175:W175"/>
    <mergeCell ref="AA176:AC176"/>
    <mergeCell ref="AD176:AF176"/>
    <mergeCell ref="AD179:AF179"/>
    <mergeCell ref="L181:N181"/>
    <mergeCell ref="AD181:AF181"/>
    <mergeCell ref="AD177:AF177"/>
    <mergeCell ref="D178:H178"/>
    <mergeCell ref="I178:K178"/>
    <mergeCell ref="L178:N178"/>
    <mergeCell ref="O178:Q178"/>
    <mergeCell ref="R178:T178"/>
    <mergeCell ref="U178:W178"/>
    <mergeCell ref="X178:Z178"/>
    <mergeCell ref="AA178:AC178"/>
    <mergeCell ref="AD178:AF178"/>
    <mergeCell ref="D177:H177"/>
    <mergeCell ref="I177:K177"/>
    <mergeCell ref="L177:N177"/>
    <mergeCell ref="O177:Q177"/>
    <mergeCell ref="R177:T177"/>
    <mergeCell ref="U177:W177"/>
    <mergeCell ref="X177:Z177"/>
    <mergeCell ref="AA177:AC177"/>
    <mergeCell ref="S179:U179"/>
    <mergeCell ref="X179:Z179"/>
  </mergeCells>
  <conditionalFormatting sqref="AP69 AH62 AP62 AH33:AH50 AP33:AP50">
    <cfRule type="cellIs" dxfId="43" priority="22" stopIfTrue="1" operator="lessThanOrEqual">
      <formula>0</formula>
    </cfRule>
  </conditionalFormatting>
  <conditionalFormatting sqref="L195:L196 K166:L166 K195:K198 L198 K126:L127 K183:L186 K147:L147 K87:L109 K81:L82 K84:L85">
    <cfRule type="cellIs" dxfId="42" priority="21" stopIfTrue="1" operator="greaterThanOrEqual">
      <formula>$K$74</formula>
    </cfRule>
  </conditionalFormatting>
  <conditionalFormatting sqref="AR50:AT50 AR48:AT48 AP58:AT59 AR62:AS62 AR45:AS47 AS42 AR33:AS33 AQ22 AT19:AT23 AP19:AP23 AQ20 AS20 AR19:AR23 AS22 AT5 AP11:AT18 AP24:AT27 AR34:AR44">
    <cfRule type="cellIs" dxfId="41" priority="20" stopIfTrue="1" operator="lessThan">
      <formula>0</formula>
    </cfRule>
  </conditionalFormatting>
  <conditionalFormatting sqref="AJ58:AJ59 F62 Z62 F58:F60 P62:P68 P58:P60 Z58:Z60 AJ11:AJ27 F11:F26 Z11:Z27 P11:P27 F33:F50 P33:P55 Z33:Z50">
    <cfRule type="cellIs" dxfId="40" priority="19" stopIfTrue="1" operator="lessThanOrEqual">
      <formula>0</formula>
    </cfRule>
  </conditionalFormatting>
  <conditionalFormatting sqref="AM58:AM59 AC62 I62 AC58:AC60 S62:S68 S58:S60 I58:I60 S11:S27 I11:I26 AC11:AC27 AM11:AM27 I33:I50 S33:S55 AC33:AC50">
    <cfRule type="cellIs" dxfId="39" priority="18" stopIfTrue="1" operator="lessThanOrEqual">
      <formula>0</formula>
    </cfRule>
  </conditionalFormatting>
  <conditionalFormatting sqref="K58:L60 AO58:AO59 AE58:AE59 K62:L62 AE62:AF62 U62:V68 AE60:AF60 U58:V60 K48:L50 AE48:AF50 U48:V56 K46:L46 AE46:AF46 U46:V46 V42 L42 AF42 U33:V33 U26:V27 K26:L27 AE33:AF33 AE26:AF27 AE47 U25 V20 L20 K23:L24 AE14:AF14 K11:L11 AE11:AE13 U11:V11 U47 K12:K22 U12:U22 AE15:AE25 K25 AO11:AO27 U23:V24 K47 AE43:AF43 U43:V43 U44:U45 AE44:AE45 K34:K45 U34:U42 AE34:AE42 K33:L33">
    <cfRule type="cellIs" dxfId="38" priority="17" stopIfTrue="1" operator="lessThanOrEqual">
      <formula>0</formula>
    </cfRule>
  </conditionalFormatting>
  <conditionalFormatting sqref="Z51:AA55 Z63:AA68 W76:X89">
    <cfRule type="cellIs" dxfId="37" priority="16" stopIfTrue="1" operator="lessThan">
      <formula>0</formula>
    </cfRule>
  </conditionalFormatting>
  <conditionalFormatting sqref="X51:X55 X63:X68 U76:U89">
    <cfRule type="cellIs" dxfId="36" priority="15" stopIfTrue="1" operator="greaterThan">
      <formula>48</formula>
    </cfRule>
  </conditionalFormatting>
  <conditionalFormatting sqref="C183:C187 C195:D198 C126:D126 D183:D194 C90:D109">
    <cfRule type="cellIs" dxfId="35" priority="14" stopIfTrue="1" operator="lessThan">
      <formula>$C$73</formula>
    </cfRule>
  </conditionalFormatting>
  <conditionalFormatting sqref="AI62:AO62 AI33:AO50">
    <cfRule type="cellIs" dxfId="34" priority="12" stopIfTrue="1" operator="equal">
      <formula>0</formula>
    </cfRule>
    <cfRule type="cellIs" dxfId="33" priority="13" stopIfTrue="1" operator="lessThan">
      <formula>0</formula>
    </cfRule>
  </conditionalFormatting>
  <conditionalFormatting sqref="AT62 AT33:AT47">
    <cfRule type="cellIs" dxfId="32" priority="10" stopIfTrue="1" operator="greaterThan">
      <formula>0</formula>
    </cfRule>
    <cfRule type="cellIs" dxfId="31" priority="11" stopIfTrue="1" operator="lessThan">
      <formula>1</formula>
    </cfRule>
  </conditionalFormatting>
  <conditionalFormatting sqref="K86:L86 K83:L83 K73:L81">
    <cfRule type="cellIs" dxfId="30" priority="9" stopIfTrue="1" operator="greaterThanOrEqual">
      <formula>$K$71</formula>
    </cfRule>
  </conditionalFormatting>
  <conditionalFormatting sqref="AF58:AF59 AF11:AF13 L12:L25 V12:V25 AF15:AF25 L34:L47 V34:V47 AF34:AF47">
    <cfRule type="cellIs" dxfId="29" priority="7" stopIfTrue="1" operator="equal">
      <formula>0</formula>
    </cfRule>
    <cfRule type="cellIs" dxfId="28" priority="8" stopIfTrue="1" operator="lessThan">
      <formula>0</formula>
    </cfRule>
  </conditionalFormatting>
  <conditionalFormatting sqref="V33">
    <cfRule type="cellIs" dxfId="27" priority="5" stopIfTrue="1" operator="equal">
      <formula>0</formula>
    </cfRule>
    <cfRule type="cellIs" dxfId="26" priority="6" stopIfTrue="1" operator="lessThan">
      <formula>0</formula>
    </cfRule>
  </conditionalFormatting>
  <conditionalFormatting sqref="L33">
    <cfRule type="cellIs" dxfId="25" priority="3" stopIfTrue="1" operator="equal">
      <formula>0</formula>
    </cfRule>
    <cfRule type="cellIs" dxfId="24" priority="4" stopIfTrue="1" operator="lessThan">
      <formula>0</formula>
    </cfRule>
  </conditionalFormatting>
  <conditionalFormatting sqref="AF14">
    <cfRule type="cellIs" dxfId="23" priority="1" stopIfTrue="1" operator="equal">
      <formula>0</formula>
    </cfRule>
    <cfRule type="cellIs" dxfId="22" priority="2" stopIfTrue="1" operator="lessThan">
      <formula>0</formula>
    </cfRule>
  </conditionalFormatting>
  <hyperlinks>
    <hyperlink ref="AB78" r:id="rId1"/>
  </hyperlinks>
  <printOptions horizontalCentered="1" verticalCentered="1"/>
  <pageMargins left="0" right="0" top="0.98425196850393704" bottom="0.19685039370078741" header="0.39370078740157483" footer="0"/>
  <pageSetup paperSize="9" scale="70" orientation="landscape" r:id="rId2"/>
  <headerFooter alignWithMargins="0">
    <oddHeader>&amp;L&amp;"Arial,Negrita"&amp;U* Transcosta S.A.C.&amp;R&amp;"Arial Narrow,Normal"&amp;8&amp;F&amp;"Arial,Normal"&amp;9 /&amp;14 &amp;A -&amp;10 &amp;D</oddHead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M18" sqref="M18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888" customWidth="1"/>
    <col min="5" max="5" width="4.28515625" style="3" customWidth="1"/>
    <col min="6" max="6" width="4.28515625" style="4" customWidth="1"/>
    <col min="7" max="8" width="4.28515625" style="888" customWidth="1"/>
    <col min="9" max="9" width="4.28515625" style="4" customWidth="1"/>
    <col min="10" max="10" width="4.28515625" style="888" customWidth="1"/>
    <col min="11" max="12" width="4.28515625" style="5" customWidth="1"/>
    <col min="13" max="26" width="4.28515625" style="888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43285</v>
      </c>
      <c r="C1" s="888" t="s">
        <v>0</v>
      </c>
      <c r="AN1" s="7"/>
      <c r="AO1" s="7"/>
      <c r="AR1" s="1340">
        <f>+AR46+AT46</f>
        <v>250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43286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888">
        <v>0</v>
      </c>
    </row>
    <row r="5" spans="1:58" ht="10.9" customHeight="1">
      <c r="B5" s="1244" t="s">
        <v>1</v>
      </c>
      <c r="C5" s="1140">
        <v>43279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43280</v>
      </c>
      <c r="N5" s="1351"/>
      <c r="O5" s="1351"/>
      <c r="P5" s="1351"/>
      <c r="Q5" s="1351"/>
      <c r="R5" s="1351"/>
      <c r="S5" s="1351"/>
      <c r="T5" s="1351"/>
      <c r="U5" s="1347" t="s">
        <v>125</v>
      </c>
      <c r="V5" s="1348"/>
      <c r="W5" s="1353">
        <f>1+M5</f>
        <v>43281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43282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43279</v>
      </c>
      <c r="AW7" s="1296">
        <f>+M5</f>
        <v>43280</v>
      </c>
      <c r="AX7" s="1296">
        <f>+W5</f>
        <v>43281</v>
      </c>
      <c r="AY7" s="1309">
        <f>+AG5</f>
        <v>43282</v>
      </c>
      <c r="AZ7" s="1296">
        <f>+C26</f>
        <v>43283</v>
      </c>
      <c r="BA7" s="1296">
        <f>+M26</f>
        <v>43284</v>
      </c>
      <c r="BB7" s="1296">
        <f>+W26</f>
        <v>43285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/>
      <c r="D11" s="335"/>
      <c r="E11" s="16"/>
      <c r="F11" s="17">
        <f t="shared" ref="F11:F20" si="1">+D11-C11-E11</f>
        <v>0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0</v>
      </c>
      <c r="L11" s="20">
        <f t="shared" ref="L11:L24" si="4">IF(C11&gt;0,(F11+I11)+IF(K$5&gt;0,F11,-8),0)+IF(U$5&gt;0,I11,0)</f>
        <v>0</v>
      </c>
      <c r="M11" s="336"/>
      <c r="N11" s="335"/>
      <c r="O11" s="16"/>
      <c r="P11" s="17">
        <f t="shared" ref="P11:P20" si="5">+N11-M11-O11</f>
        <v>0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0</v>
      </c>
      <c r="V11" s="20">
        <f t="shared" ref="V11:V20" si="8">IF(M11&gt;0,(P11+S11)+IF(U$5&gt;0,P11,-8),0)+IF(AE$5&gt;0,S11,0)</f>
        <v>0</v>
      </c>
      <c r="W11" s="337"/>
      <c r="X11" s="337"/>
      <c r="Y11" s="23"/>
      <c r="Z11" s="17">
        <f t="shared" ref="Z11:Z20" si="9">+X11-W11-Y11</f>
        <v>0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0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1</v>
      </c>
      <c r="AQ11" s="1298"/>
      <c r="AR11" s="1299">
        <f t="shared" ref="AR11:AR20" si="16">ROUND(BD11*AP11,1)</f>
        <v>4.5</v>
      </c>
      <c r="AS11" s="1300"/>
      <c r="AT11" s="338">
        <f t="shared" ref="AT11:AT24" si="17">IF(AT32&gt;0,AT32*$AT$10,0)</f>
        <v>8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1</v>
      </c>
      <c r="BC11" s="28"/>
      <c r="BD11" s="339">
        <f t="shared" ref="BD11:BD17" si="25">+I71</f>
        <v>4.5464285714285708</v>
      </c>
      <c r="BE11" s="340">
        <f t="shared" ref="BE11:BE20" si="26">+BD11*AP11</f>
        <v>4.5464285714285708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17</v>
      </c>
      <c r="E12" s="30">
        <v>1</v>
      </c>
      <c r="F12" s="31">
        <f t="shared" si="1"/>
        <v>9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1</v>
      </c>
      <c r="M12" s="886"/>
      <c r="N12" s="342"/>
      <c r="O12" s="30"/>
      <c r="P12" s="31">
        <f t="shared" si="5"/>
        <v>0</v>
      </c>
      <c r="Q12" s="33"/>
      <c r="R12" s="342"/>
      <c r="S12" s="31">
        <f t="shared" si="6"/>
        <v>0</v>
      </c>
      <c r="T12" s="30"/>
      <c r="U12" s="32">
        <f t="shared" si="7"/>
        <v>0</v>
      </c>
      <c r="V12" s="20">
        <f t="shared" si="8"/>
        <v>0</v>
      </c>
      <c r="W12" s="342">
        <v>7</v>
      </c>
      <c r="X12" s="342">
        <v>17</v>
      </c>
      <c r="Y12" s="30">
        <v>1</v>
      </c>
      <c r="Z12" s="31">
        <f t="shared" si="9"/>
        <v>9</v>
      </c>
      <c r="AA12" s="344"/>
      <c r="AB12" s="53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1</v>
      </c>
      <c r="AG12" s="37">
        <v>8</v>
      </c>
      <c r="AH12" s="342">
        <v>18</v>
      </c>
      <c r="AI12" s="30">
        <v>1</v>
      </c>
      <c r="AJ12" s="38">
        <f>+AH12-AG12-AI12</f>
        <v>9</v>
      </c>
      <c r="AK12" s="342"/>
      <c r="AL12" s="342"/>
      <c r="AM12" s="31">
        <f t="shared" si="13"/>
        <v>0</v>
      </c>
      <c r="AN12" s="39">
        <v>-2</v>
      </c>
      <c r="AO12" s="40">
        <f t="shared" si="14"/>
        <v>18</v>
      </c>
      <c r="AP12" s="1282">
        <f t="shared" si="15"/>
        <v>25</v>
      </c>
      <c r="AQ12" s="1283"/>
      <c r="AR12" s="1284">
        <f t="shared" si="16"/>
        <v>128.30000000000001</v>
      </c>
      <c r="AS12" s="1285"/>
      <c r="AT12" s="345">
        <f t="shared" si="17"/>
        <v>24</v>
      </c>
      <c r="AV12" s="26">
        <f t="shared" si="18"/>
        <v>1</v>
      </c>
      <c r="AW12" s="26">
        <f t="shared" si="19"/>
        <v>0</v>
      </c>
      <c r="AX12" s="26">
        <f t="shared" si="20"/>
        <v>1</v>
      </c>
      <c r="AY12" s="27">
        <f t="shared" si="21"/>
        <v>18</v>
      </c>
      <c r="AZ12" s="26">
        <f t="shared" si="22"/>
        <v>1</v>
      </c>
      <c r="BA12" s="26">
        <f t="shared" si="23"/>
        <v>0</v>
      </c>
      <c r="BB12" s="26">
        <f t="shared" si="24"/>
        <v>2</v>
      </c>
      <c r="BC12" s="28"/>
      <c r="BD12" s="339">
        <f t="shared" si="25"/>
        <v>5.1339285714285712</v>
      </c>
      <c r="BE12" s="340">
        <f t="shared" si="26"/>
        <v>128.34821428571428</v>
      </c>
      <c r="BF12" s="341">
        <f t="shared" si="27"/>
        <v>92.410714285714278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886">
        <v>7</v>
      </c>
      <c r="N13" s="342">
        <v>12</v>
      </c>
      <c r="O13" s="30">
        <v>1</v>
      </c>
      <c r="P13" s="31">
        <f t="shared" si="5"/>
        <v>4</v>
      </c>
      <c r="Q13" s="33"/>
      <c r="R13" s="346"/>
      <c r="S13" s="31">
        <f t="shared" si="6"/>
        <v>0</v>
      </c>
      <c r="T13" s="30"/>
      <c r="U13" s="32">
        <f t="shared" si="7"/>
        <v>-4</v>
      </c>
      <c r="V13" s="20">
        <f t="shared" si="8"/>
        <v>8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>
        <v>8</v>
      </c>
      <c r="AH13" s="346">
        <v>16</v>
      </c>
      <c r="AI13" s="42">
        <v>1</v>
      </c>
      <c r="AJ13" s="38">
        <f>+AH13-AG13-AI13</f>
        <v>7</v>
      </c>
      <c r="AK13" s="342"/>
      <c r="AL13" s="346"/>
      <c r="AM13" s="31">
        <f t="shared" si="13"/>
        <v>0</v>
      </c>
      <c r="AN13" s="911">
        <v>4</v>
      </c>
      <c r="AO13" s="40">
        <f t="shared" si="14"/>
        <v>14</v>
      </c>
      <c r="AP13" s="1282">
        <f t="shared" si="15"/>
        <v>23</v>
      </c>
      <c r="AQ13" s="1283"/>
      <c r="AR13" s="1284">
        <f t="shared" si="16"/>
        <v>118.1</v>
      </c>
      <c r="AS13" s="1285"/>
      <c r="AT13" s="345">
        <f t="shared" si="17"/>
        <v>24</v>
      </c>
      <c r="AV13" s="26">
        <f t="shared" si="18"/>
        <v>2</v>
      </c>
      <c r="AW13" s="26">
        <f t="shared" si="19"/>
        <v>8</v>
      </c>
      <c r="AX13" s="26">
        <f t="shared" si="20"/>
        <v>1</v>
      </c>
      <c r="AY13" s="27">
        <f t="shared" si="21"/>
        <v>14</v>
      </c>
      <c r="AZ13" s="26">
        <f t="shared" si="22"/>
        <v>0</v>
      </c>
      <c r="BA13" s="26">
        <f t="shared" si="23"/>
        <v>2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118.08035714285714</v>
      </c>
      <c r="BF13" s="341">
        <f t="shared" si="27"/>
        <v>71.875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14</v>
      </c>
      <c r="O14" s="42">
        <v>1</v>
      </c>
      <c r="P14" s="44">
        <f t="shared" si="5"/>
        <v>6</v>
      </c>
      <c r="Q14" s="346"/>
      <c r="R14" s="348"/>
      <c r="S14" s="44">
        <f t="shared" si="6"/>
        <v>0</v>
      </c>
      <c r="T14" s="42"/>
      <c r="U14" s="45">
        <f t="shared" si="7"/>
        <v>-6</v>
      </c>
      <c r="V14" s="20">
        <f t="shared" si="8"/>
        <v>12</v>
      </c>
      <c r="W14" s="347">
        <v>7</v>
      </c>
      <c r="X14" s="346">
        <v>19</v>
      </c>
      <c r="Y14" s="42">
        <v>1</v>
      </c>
      <c r="Z14" s="44">
        <f t="shared" si="9"/>
        <v>11</v>
      </c>
      <c r="AA14" s="344"/>
      <c r="AB14" s="41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3</v>
      </c>
      <c r="AG14" s="37">
        <v>8</v>
      </c>
      <c r="AH14" s="342">
        <v>18</v>
      </c>
      <c r="AI14" s="30">
        <v>1</v>
      </c>
      <c r="AJ14" s="38">
        <f t="shared" si="12"/>
        <v>9</v>
      </c>
      <c r="AK14" s="342"/>
      <c r="AL14" s="342"/>
      <c r="AM14" s="31">
        <f t="shared" si="13"/>
        <v>0</v>
      </c>
      <c r="AN14" s="47">
        <v>-2</v>
      </c>
      <c r="AO14" s="40">
        <f t="shared" si="14"/>
        <v>18</v>
      </c>
      <c r="AP14" s="1282">
        <f t="shared" si="15"/>
        <v>42</v>
      </c>
      <c r="AQ14" s="1283"/>
      <c r="AR14" s="1284">
        <f t="shared" si="16"/>
        <v>175</v>
      </c>
      <c r="AS14" s="1285"/>
      <c r="AT14" s="345">
        <f t="shared" si="17"/>
        <v>28</v>
      </c>
      <c r="AV14" s="26">
        <f t="shared" si="18"/>
        <v>2</v>
      </c>
      <c r="AW14" s="26">
        <f t="shared" si="19"/>
        <v>12</v>
      </c>
      <c r="AX14" s="26">
        <f t="shared" si="20"/>
        <v>3</v>
      </c>
      <c r="AY14" s="27">
        <f t="shared" si="21"/>
        <v>18</v>
      </c>
      <c r="AZ14" s="26">
        <f t="shared" si="22"/>
        <v>2</v>
      </c>
      <c r="BA14" s="26">
        <f t="shared" si="23"/>
        <v>2</v>
      </c>
      <c r="BB14" s="26">
        <f t="shared" si="24"/>
        <v>1</v>
      </c>
      <c r="BC14" s="28"/>
      <c r="BD14" s="339">
        <f t="shared" si="25"/>
        <v>4.1666785714285712</v>
      </c>
      <c r="BE14" s="340">
        <f t="shared" si="26"/>
        <v>175.00049999999999</v>
      </c>
      <c r="BF14" s="341">
        <f t="shared" si="27"/>
        <v>75.000214285714279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886"/>
      <c r="N15" s="342"/>
      <c r="O15" s="30"/>
      <c r="P15" s="31">
        <f t="shared" si="5"/>
        <v>0</v>
      </c>
      <c r="Q15" s="33"/>
      <c r="R15" s="346"/>
      <c r="S15" s="31">
        <f t="shared" si="6"/>
        <v>0</v>
      </c>
      <c r="T15" s="30"/>
      <c r="U15" s="32">
        <f t="shared" si="7"/>
        <v>0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53">
        <v>0.5</v>
      </c>
      <c r="AC15" s="31">
        <f t="shared" si="10"/>
        <v>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>
        <v>-1</v>
      </c>
      <c r="AO15" s="40">
        <f t="shared" si="14"/>
        <v>0</v>
      </c>
      <c r="AP15" s="1294">
        <f t="shared" si="15"/>
        <v>6</v>
      </c>
      <c r="AQ15" s="1295"/>
      <c r="AR15" s="1284">
        <f t="shared" si="16"/>
        <v>30.8</v>
      </c>
      <c r="AS15" s="1285"/>
      <c r="AT15" s="345">
        <f t="shared" si="17"/>
        <v>20</v>
      </c>
      <c r="AV15" s="26">
        <f t="shared" si="18"/>
        <v>1</v>
      </c>
      <c r="AW15" s="26">
        <f t="shared" si="19"/>
        <v>0</v>
      </c>
      <c r="AX15" s="26">
        <f t="shared" si="20"/>
        <v>-1</v>
      </c>
      <c r="AY15" s="27">
        <f t="shared" si="21"/>
        <v>0</v>
      </c>
      <c r="AZ15" s="26">
        <f t="shared" si="22"/>
        <v>1</v>
      </c>
      <c r="BA15" s="26">
        <f t="shared" si="23"/>
        <v>2</v>
      </c>
      <c r="BB15" s="26">
        <f t="shared" si="24"/>
        <v>2</v>
      </c>
      <c r="BC15" s="28"/>
      <c r="BD15" s="339">
        <f t="shared" si="25"/>
        <v>5.1339285714285712</v>
      </c>
      <c r="BE15" s="349">
        <f t="shared" si="26"/>
        <v>30.803571428571427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8</v>
      </c>
      <c r="D16" s="342">
        <v>16</v>
      </c>
      <c r="E16" s="30">
        <v>1</v>
      </c>
      <c r="F16" s="31">
        <f>+D16-C16-E16</f>
        <v>7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-1</v>
      </c>
      <c r="M16" s="342"/>
      <c r="N16" s="342"/>
      <c r="O16" s="30"/>
      <c r="P16" s="31">
        <f>+N16-M16-O16</f>
        <v>0</v>
      </c>
      <c r="Q16" s="33"/>
      <c r="R16" s="52"/>
      <c r="S16" s="31">
        <f>+R16-Q16</f>
        <v>0</v>
      </c>
      <c r="T16" s="30"/>
      <c r="U16" s="32">
        <f>+S16+P16-V16</f>
        <v>0</v>
      </c>
      <c r="V16" s="20">
        <f>IF(M16&gt;0,(P16+S16)+IF(U$5&gt;0,P16,-8),0)+IF(AE$5&gt;0,S16,0)</f>
        <v>0</v>
      </c>
      <c r="W16" s="342">
        <v>8</v>
      </c>
      <c r="X16" s="346">
        <v>13</v>
      </c>
      <c r="Y16" s="42">
        <v>1</v>
      </c>
      <c r="Z16" s="44">
        <f>+X16-W16-Y16</f>
        <v>4</v>
      </c>
      <c r="AA16" s="47"/>
      <c r="AB16" s="53">
        <v>0.5</v>
      </c>
      <c r="AC16" s="31">
        <f>+AB16-AA16</f>
        <v>0.5</v>
      </c>
      <c r="AD16" s="30"/>
      <c r="AE16" s="32">
        <f>+AC16+Z16-IF(AE$5&gt;0,AF16/2,AF16)</f>
        <v>5.5</v>
      </c>
      <c r="AF16" s="20">
        <f>IF(W16&gt;0,IF(AE$5&gt;0,(Z16+AC16)*2,(Z16+AC16-5)),0)*IF(Z16&lt;6,IF(AE$5&gt;0,1,2),1)+IF(Z16&gt;5,AC16,0)</f>
        <v>-1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-4</v>
      </c>
      <c r="AQ16" s="1283"/>
      <c r="AR16" s="1284">
        <f>ROUND(BD16*AP16,1)</f>
        <v>-20.5</v>
      </c>
      <c r="AS16" s="1285"/>
      <c r="AT16" s="345">
        <f t="shared" si="17"/>
        <v>20</v>
      </c>
      <c r="AU16" s="6"/>
      <c r="AV16" s="26">
        <f>+L16</f>
        <v>-1</v>
      </c>
      <c r="AW16" s="26">
        <f>+V16</f>
        <v>0</v>
      </c>
      <c r="AX16" s="26">
        <f>+AF16</f>
        <v>-1</v>
      </c>
      <c r="AY16" s="27">
        <f>+AO16</f>
        <v>0</v>
      </c>
      <c r="AZ16" s="26">
        <f t="shared" si="22"/>
        <v>0</v>
      </c>
      <c r="BA16" s="26">
        <f t="shared" si="23"/>
        <v>-1</v>
      </c>
      <c r="BB16" s="26">
        <f t="shared" si="24"/>
        <v>-1</v>
      </c>
      <c r="BC16" s="54"/>
      <c r="BD16" s="339">
        <f t="shared" si="25"/>
        <v>5.1339285714285712</v>
      </c>
      <c r="BE16" s="351">
        <f>+BD16*AP16</f>
        <v>-20.535714285714285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/>
      <c r="N18" s="342"/>
      <c r="O18" s="30"/>
      <c r="P18" s="31">
        <f>+N18-M18-O18</f>
        <v>0</v>
      </c>
      <c r="Q18" s="33"/>
      <c r="R18" s="346"/>
      <c r="S18" s="31">
        <f>+R18-Q18</f>
        <v>0</v>
      </c>
      <c r="T18" s="30"/>
      <c r="U18" s="32">
        <f>+S18+P18-V18</f>
        <v>0</v>
      </c>
      <c r="V18" s="20">
        <f>IF(M18&gt;0,(P18+S18)+IF(U$5&gt;0,P18,-8),0)+IF(AE$5&gt;0,S18,0)</f>
        <v>0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>
        <v>-2</v>
      </c>
      <c r="AO18" s="40">
        <f>(AJ18*2+AM18)</f>
        <v>16</v>
      </c>
      <c r="AP18" s="1282">
        <f t="shared" si="15"/>
        <v>28</v>
      </c>
      <c r="AQ18" s="1283"/>
      <c r="AR18" s="1284">
        <f t="shared" si="16"/>
        <v>108.5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0</v>
      </c>
      <c r="AX18" s="26">
        <f t="shared" si="20"/>
        <v>2</v>
      </c>
      <c r="AY18" s="27">
        <f t="shared" si="21"/>
        <v>16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108.5001</v>
      </c>
      <c r="BF18" s="350">
        <f t="shared" si="27"/>
        <v>62.000057142857145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884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18</v>
      </c>
      <c r="E21" s="459">
        <v>1</v>
      </c>
      <c r="F21" s="460">
        <f>+D21-C21-E21</f>
        <v>10</v>
      </c>
      <c r="G21" s="459"/>
      <c r="H21" s="459"/>
      <c r="I21" s="460">
        <f>+H21-G21</f>
        <v>0</v>
      </c>
      <c r="J21" s="459"/>
      <c r="K21" s="32">
        <f t="shared" si="3"/>
        <v>8</v>
      </c>
      <c r="L21" s="461">
        <f>IF(C21&gt;0,(F21+I21)+IF(K$5&gt;0,F21,-8),0)+IF(U$5&gt;0,I21,0)</f>
        <v>2</v>
      </c>
      <c r="M21" s="885">
        <v>7</v>
      </c>
      <c r="N21" s="459">
        <v>16</v>
      </c>
      <c r="O21" s="459">
        <v>1</v>
      </c>
      <c r="P21" s="460">
        <f>+N21-M21-O21</f>
        <v>8</v>
      </c>
      <c r="Q21" s="459"/>
      <c r="R21" s="459">
        <v>-16</v>
      </c>
      <c r="S21" s="460">
        <f>+R21-Q21</f>
        <v>-16</v>
      </c>
      <c r="T21" s="459"/>
      <c r="U21" s="32">
        <f t="shared" si="7"/>
        <v>-8</v>
      </c>
      <c r="V21" s="461">
        <f>IF(M21&gt;0,(P21+S21)+IF(U$5&gt;0,P21,-8),0)+IF(AE$5&gt;0,S21,0)</f>
        <v>0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2</v>
      </c>
      <c r="AG21" s="459">
        <v>7</v>
      </c>
      <c r="AH21" s="459">
        <v>16</v>
      </c>
      <c r="AI21" s="459">
        <v>1</v>
      </c>
      <c r="AJ21" s="38">
        <f>+AH21-AG21-AI21</f>
        <v>8</v>
      </c>
      <c r="AK21" s="459"/>
      <c r="AL21" s="459"/>
      <c r="AM21" s="460">
        <f>+AL21-AK21</f>
        <v>0</v>
      </c>
      <c r="AN21" s="725">
        <v>-2</v>
      </c>
      <c r="AO21" s="465">
        <f>(AJ21*2+AM21)</f>
        <v>16</v>
      </c>
      <c r="AP21" s="1290">
        <f t="shared" si="15"/>
        <v>29</v>
      </c>
      <c r="AQ21" s="1291"/>
      <c r="AR21" s="1292">
        <f>ROUND(BD21*AP21,1)</f>
        <v>112.4</v>
      </c>
      <c r="AS21" s="1293"/>
      <c r="AT21" s="488">
        <f t="shared" si="17"/>
        <v>28</v>
      </c>
      <c r="AV21" s="69">
        <f>+L21</f>
        <v>2</v>
      </c>
      <c r="AW21" s="69">
        <f>+V21</f>
        <v>0</v>
      </c>
      <c r="AX21" s="69">
        <f>+AF21</f>
        <v>2</v>
      </c>
      <c r="AY21" s="70">
        <f>+AO21</f>
        <v>16</v>
      </c>
      <c r="AZ21" s="69">
        <f>+L42</f>
        <v>2</v>
      </c>
      <c r="BA21" s="69">
        <f>+V42</f>
        <v>2</v>
      </c>
      <c r="BB21" s="69">
        <f>+AF42</f>
        <v>3</v>
      </c>
      <c r="BC21" s="28"/>
      <c r="BD21" s="339">
        <f>+I82</f>
        <v>3.875</v>
      </c>
      <c r="BE21" s="351">
        <f>+BD21*AP21</f>
        <v>112.375</v>
      </c>
      <c r="BF21" s="352">
        <f>+BD21*AY21</f>
        <v>62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3"/>
        <v>8</v>
      </c>
      <c r="L22" s="461">
        <f>IF(C22&gt;0,(F22+I22)+IF(K$5&gt;0,F22,-8),0)+IF(U$5&gt;0,I22,0)</f>
        <v>2</v>
      </c>
      <c r="M22" s="885">
        <v>7</v>
      </c>
      <c r="N22" s="459">
        <v>16</v>
      </c>
      <c r="O22" s="459">
        <v>1</v>
      </c>
      <c r="P22" s="460">
        <f>+N22-M22-O22</f>
        <v>8</v>
      </c>
      <c r="Q22" s="459"/>
      <c r="R22" s="459">
        <v>-16</v>
      </c>
      <c r="S22" s="460">
        <f>+R22-Q22</f>
        <v>-16</v>
      </c>
      <c r="T22" s="459"/>
      <c r="U22" s="32">
        <f t="shared" si="7"/>
        <v>-8</v>
      </c>
      <c r="V22" s="461">
        <f>IF(M22&gt;0,(P22+S22)+IF(U$5&gt;0,P22,-8),0)+IF(AE$5&gt;0,S22,0)</f>
        <v>0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2</v>
      </c>
      <c r="AG22" s="459">
        <v>7</v>
      </c>
      <c r="AH22" s="459">
        <v>16</v>
      </c>
      <c r="AI22" s="459">
        <v>1</v>
      </c>
      <c r="AJ22" s="38">
        <f>+AH22-AG22-AI22</f>
        <v>8</v>
      </c>
      <c r="AK22" s="459"/>
      <c r="AL22" s="459"/>
      <c r="AM22" s="460">
        <f>+AL22-AK22</f>
        <v>0</v>
      </c>
      <c r="AN22" s="725">
        <v>-2</v>
      </c>
      <c r="AO22" s="465">
        <f>(AJ22*2+AM22)</f>
        <v>16</v>
      </c>
      <c r="AP22" s="1270">
        <f t="shared" si="15"/>
        <v>28</v>
      </c>
      <c r="AQ22" s="1271"/>
      <c r="AR22" s="1272">
        <f>ROUND(BD22*AP22,1)</f>
        <v>108.5</v>
      </c>
      <c r="AS22" s="1273"/>
      <c r="AT22" s="359">
        <f t="shared" si="17"/>
        <v>28</v>
      </c>
      <c r="AV22" s="69">
        <f>+L22</f>
        <v>2</v>
      </c>
      <c r="AW22" s="69">
        <f>+V22</f>
        <v>0</v>
      </c>
      <c r="AX22" s="69">
        <f>+AF22</f>
        <v>2</v>
      </c>
      <c r="AY22" s="70">
        <f>+AO22</f>
        <v>16</v>
      </c>
      <c r="AZ22" s="69">
        <f>+L43</f>
        <v>2</v>
      </c>
      <c r="BA22" s="69">
        <f>+V43</f>
        <v>2</v>
      </c>
      <c r="BB22" s="69">
        <f>+AF43</f>
        <v>2</v>
      </c>
      <c r="BC22" s="54"/>
      <c r="BD22" s="339">
        <f>+I83</f>
        <v>3.875</v>
      </c>
      <c r="BE22" s="351">
        <f>+BD22*AP22</f>
        <v>108.5</v>
      </c>
      <c r="BF22" s="352">
        <f>+BD22*AY22</f>
        <v>62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16</v>
      </c>
      <c r="O23" s="87">
        <v>1</v>
      </c>
      <c r="P23" s="88">
        <f>+N23-M23-O23</f>
        <v>8</v>
      </c>
      <c r="Q23" s="87"/>
      <c r="R23" s="87">
        <v>-16</v>
      </c>
      <c r="S23" s="88">
        <f>+R23-Q23</f>
        <v>-16</v>
      </c>
      <c r="T23" s="87"/>
      <c r="U23" s="121">
        <f>+S23+P23-V23</f>
        <v>-8</v>
      </c>
      <c r="V23" s="89">
        <f>IF(M23&gt;0,(P23+S23)+IF(U$5&gt;0,P23,-8),0)+IF(AE$5&gt;0,S23,0)</f>
        <v>0</v>
      </c>
      <c r="W23" s="87">
        <v>7</v>
      </c>
      <c r="X23" s="87">
        <v>19</v>
      </c>
      <c r="Y23" s="87">
        <v>1</v>
      </c>
      <c r="Z23" s="88">
        <f>+X23-W23-Y23</f>
        <v>11</v>
      </c>
      <c r="AA23" s="87"/>
      <c r="AB23" s="91"/>
      <c r="AC23" s="88">
        <f>+AB23-AA23</f>
        <v>0</v>
      </c>
      <c r="AD23" s="87"/>
      <c r="AE23" s="121">
        <f>+AC23+Z23-IF(AE$5&gt;0,AF23/2,AF23)</f>
        <v>8</v>
      </c>
      <c r="AF23" s="89">
        <f t="shared" si="28"/>
        <v>3</v>
      </c>
      <c r="AG23" s="87"/>
      <c r="AH23" s="87"/>
      <c r="AI23" s="87"/>
      <c r="AJ23" s="829">
        <f t="shared" si="12"/>
        <v>0</v>
      </c>
      <c r="AK23" s="87"/>
      <c r="AL23" s="87"/>
      <c r="AM23" s="88">
        <f>+AL23-AK23</f>
        <v>0</v>
      </c>
      <c r="AN23" s="830">
        <v>-2</v>
      </c>
      <c r="AO23" s="94">
        <f>(AJ23*2+AM23)</f>
        <v>0</v>
      </c>
      <c r="AP23" s="1274">
        <f t="shared" si="15"/>
        <v>15</v>
      </c>
      <c r="AQ23" s="1275"/>
      <c r="AR23" s="1276">
        <f>ROUND(BD23*AP23,1)</f>
        <v>58.1</v>
      </c>
      <c r="AS23" s="1277"/>
      <c r="AT23" s="537">
        <f t="shared" si="17"/>
        <v>24</v>
      </c>
      <c r="AU23" s="55"/>
      <c r="AV23" s="538">
        <f>+L23</f>
        <v>2</v>
      </c>
      <c r="AW23" s="538">
        <f>+V23</f>
        <v>0</v>
      </c>
      <c r="AX23" s="538">
        <f>+AF23</f>
        <v>3</v>
      </c>
      <c r="AY23" s="538">
        <f>+AO23</f>
        <v>0</v>
      </c>
      <c r="AZ23" s="538">
        <f>+L44</f>
        <v>3</v>
      </c>
      <c r="BA23" s="538">
        <f>+V44</f>
        <v>2</v>
      </c>
      <c r="BB23" s="538">
        <f>+AF44</f>
        <v>3</v>
      </c>
      <c r="BC23" s="28"/>
      <c r="BD23" s="539">
        <f>+I81</f>
        <v>3.875</v>
      </c>
      <c r="BE23" s="539">
        <f>+BD23*AP23</f>
        <v>58.125</v>
      </c>
      <c r="BF23" s="539">
        <f>+BD23*AY23</f>
        <v>0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823.74345714285721</v>
      </c>
      <c r="BF25" s="1242">
        <f>SUM(BF11:BF24)</f>
        <v>425.28598571428569</v>
      </c>
    </row>
    <row r="26" spans="1:58" ht="10.9" customHeight="1">
      <c r="B26" s="1244" t="s">
        <v>1</v>
      </c>
      <c r="C26" s="1140">
        <f>1+AG5</f>
        <v>43283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43284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43285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43279</v>
      </c>
      <c r="AJ26" s="1218">
        <f t="shared" ref="AJ26:AO26" si="29">1+AI26</f>
        <v>43280</v>
      </c>
      <c r="AK26" s="1218">
        <f t="shared" si="29"/>
        <v>43281</v>
      </c>
      <c r="AL26" s="1219">
        <f t="shared" si="29"/>
        <v>43282</v>
      </c>
      <c r="AM26" s="1219">
        <f t="shared" si="29"/>
        <v>43283</v>
      </c>
      <c r="AN26" s="1220">
        <f t="shared" si="29"/>
        <v>43284</v>
      </c>
      <c r="AO26" s="1220">
        <f t="shared" si="29"/>
        <v>43285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43282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184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86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/>
      <c r="D32" s="342"/>
      <c r="E32" s="30"/>
      <c r="F32" s="31">
        <f t="shared" ref="F32:F45" si="31">+D32-C32-E32</f>
        <v>0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0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4">+N32-M32-O32</f>
        <v>8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>IF(M32&gt;0,(P32+S32)+IF(U$26&gt;0,P32,-8),0)+IF(AE$26&gt;0,S32,0)</f>
        <v>0</v>
      </c>
      <c r="W32" s="369">
        <v>7</v>
      </c>
      <c r="X32" s="370">
        <v>17</v>
      </c>
      <c r="Y32" s="108">
        <v>1</v>
      </c>
      <c r="Z32" s="109">
        <f t="shared" ref="Z32:Z45" si="37">+X32-W32-Y32</f>
        <v>9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8</v>
      </c>
      <c r="AF32" s="20">
        <f>IF(W32&gt;0,(Z32+AC32)+IF(AE$26&gt;0,Z32,-8),0)+IF(AO$26&gt;0,AC32,0)</f>
        <v>1</v>
      </c>
      <c r="AG32" s="55"/>
      <c r="AH32" s="112">
        <v>0</v>
      </c>
      <c r="AI32" s="113">
        <f t="shared" ref="AI32:AI45" si="40">+K11+(IF(ISBLANK($K$5),-8,0))</f>
        <v>-8</v>
      </c>
      <c r="AJ32" s="113">
        <f t="shared" ref="AJ32:AJ45" si="41">IF(ISBLANK($U$5),-8,0)+U11</f>
        <v>0</v>
      </c>
      <c r="AK32" s="113">
        <f>IF(ISBLANK($AE$5),-8,0)+AE11</f>
        <v>-8</v>
      </c>
      <c r="AL32" s="113">
        <f t="shared" ref="AL32:AL45" si="42">IF(ISBLANK($AO$5),-8,0)+AO11+AW32</f>
        <v>0</v>
      </c>
      <c r="AM32" s="113">
        <f t="shared" ref="AM32:AM45" si="43">IF(ISBLANK($K$26),-8,0)+K32</f>
        <v>-8</v>
      </c>
      <c r="AN32" s="113">
        <f t="shared" ref="AN32:AN45" si="44">IF(ISBLANK($U$26),-8,0)+U32</f>
        <v>0</v>
      </c>
      <c r="AO32" s="113">
        <f t="shared" ref="AO32:AO45" si="45">IF(ISBLANK($AE$26),-8,0)+AE32</f>
        <v>0</v>
      </c>
      <c r="AP32" s="114">
        <f t="shared" ref="AP32:AP45" si="46">SUM(AH32:AO32)</f>
        <v>-24</v>
      </c>
      <c r="AQ32" s="55"/>
      <c r="AR32" s="1159">
        <f t="shared" ref="AR32:AR40" si="47">+X71*Q71</f>
        <v>0</v>
      </c>
      <c r="AS32" s="1197"/>
      <c r="AT32" s="117">
        <f t="shared" ref="AT32:AT41" si="48">IF(K11+L11&gt;0,1,0)+IF(U11+V11&gt;0,1,0)+IF(AE11+AF11&gt;0,1,0)+IF(AO11&gt;3,1,0)+IF(K32+L32&gt;0,1,0)+IF(U32+V32&gt;0,1,0)+IF(AE32+AF32&gt;0,1,0)</f>
        <v>2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17</v>
      </c>
      <c r="E33" s="30">
        <v>1</v>
      </c>
      <c r="F33" s="31">
        <f t="shared" si="31"/>
        <v>9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1</v>
      </c>
      <c r="M33" s="342">
        <v>7</v>
      </c>
      <c r="N33" s="342">
        <v>16</v>
      </c>
      <c r="O33" s="30">
        <v>1</v>
      </c>
      <c r="P33" s="31">
        <f t="shared" si="34"/>
        <v>8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>IF(M33&gt;0,(P33+S33)+IF(U$26&gt;0,P33,-8),0)+IF(AE$26&gt;0,S33,0)</f>
        <v>0</v>
      </c>
      <c r="W33" s="334">
        <v>7</v>
      </c>
      <c r="X33" s="342">
        <v>18</v>
      </c>
      <c r="Y33" s="30">
        <v>1</v>
      </c>
      <c r="Z33" s="31">
        <f t="shared" si="37"/>
        <v>10</v>
      </c>
      <c r="AA33" s="342"/>
      <c r="AB33" s="346"/>
      <c r="AC33" s="31">
        <f t="shared" si="38"/>
        <v>0</v>
      </c>
      <c r="AD33" s="30"/>
      <c r="AE33" s="32">
        <f t="shared" si="39"/>
        <v>8</v>
      </c>
      <c r="AF33" s="20">
        <f t="shared" ref="AF33:AF45" si="49">IF(W33&gt;0,(Z33+AC33)+IF(AE$26&gt;0,0+Z33,-8),0)</f>
        <v>2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0</v>
      </c>
      <c r="AL33" s="113">
        <f t="shared" si="42"/>
        <v>0</v>
      </c>
      <c r="AM33" s="113">
        <f t="shared" si="43"/>
        <v>0</v>
      </c>
      <c r="AN33" s="113">
        <f t="shared" si="44"/>
        <v>0</v>
      </c>
      <c r="AO33" s="113">
        <f t="shared" si="45"/>
        <v>0</v>
      </c>
      <c r="AP33" s="114">
        <f t="shared" si="46"/>
        <v>0</v>
      </c>
      <c r="AQ33" s="55"/>
      <c r="AR33" s="1159">
        <f t="shared" si="47"/>
        <v>0</v>
      </c>
      <c r="AS33" s="1160"/>
      <c r="AT33" s="117">
        <f t="shared" si="48"/>
        <v>6</v>
      </c>
      <c r="AU33" s="55"/>
      <c r="AV33" s="55"/>
      <c r="AW33" s="1134">
        <v>-18</v>
      </c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16</v>
      </c>
      <c r="E34" s="30">
        <v>1</v>
      </c>
      <c r="F34" s="31">
        <f t="shared" si="31"/>
        <v>8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0">IF(C34&gt;0,(F34+I34)+IF(K$26&gt;0,F34,-8),0)+IF(U$26&gt;0,I34,0)</f>
        <v>0</v>
      </c>
      <c r="M34" s="334">
        <v>7</v>
      </c>
      <c r="N34" s="342">
        <v>18</v>
      </c>
      <c r="O34" s="30">
        <v>1</v>
      </c>
      <c r="P34" s="31">
        <f t="shared" si="34"/>
        <v>10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ref="V34:V45" si="51">IF(M34&gt;0,(P34+S34)+IF(U$26&gt;0,P34,-8),0)+IF(AE$26&gt;0,S34,0)</f>
        <v>2</v>
      </c>
      <c r="W34" s="334"/>
      <c r="X34" s="342"/>
      <c r="Y34" s="30"/>
      <c r="Z34" s="31">
        <f t="shared" si="37"/>
        <v>0</v>
      </c>
      <c r="AA34" s="342"/>
      <c r="AB34" s="116"/>
      <c r="AC34" s="31">
        <f t="shared" si="38"/>
        <v>0</v>
      </c>
      <c r="AD34" s="30"/>
      <c r="AE34" s="32">
        <f t="shared" si="39"/>
        <v>0</v>
      </c>
      <c r="AF34" s="20">
        <f t="shared" si="49"/>
        <v>0</v>
      </c>
      <c r="AG34" s="55"/>
      <c r="AH34" s="112">
        <v>0</v>
      </c>
      <c r="AI34" s="113">
        <f t="shared" si="40"/>
        <v>0</v>
      </c>
      <c r="AJ34" s="113">
        <f t="shared" si="41"/>
        <v>-4</v>
      </c>
      <c r="AK34" s="113">
        <f>IF(ISBLANK($AE$5),-8,0)+AE13</f>
        <v>0</v>
      </c>
      <c r="AL34" s="113">
        <f t="shared" si="42"/>
        <v>0</v>
      </c>
      <c r="AM34" s="113">
        <f t="shared" si="43"/>
        <v>0</v>
      </c>
      <c r="AN34" s="113">
        <f t="shared" si="44"/>
        <v>0</v>
      </c>
      <c r="AO34" s="113">
        <f t="shared" si="45"/>
        <v>-8</v>
      </c>
      <c r="AP34" s="114">
        <f t="shared" si="46"/>
        <v>-12</v>
      </c>
      <c r="AQ34" s="55"/>
      <c r="AR34" s="1159">
        <f t="shared" si="47"/>
        <v>0</v>
      </c>
      <c r="AS34" s="1160"/>
      <c r="AT34" s="118">
        <f t="shared" si="48"/>
        <v>6</v>
      </c>
      <c r="AU34" s="55"/>
      <c r="AV34" s="55"/>
      <c r="AW34" s="1134">
        <v>-14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18</v>
      </c>
      <c r="E35" s="119">
        <v>1</v>
      </c>
      <c r="F35" s="120">
        <f t="shared" si="31"/>
        <v>10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2</v>
      </c>
      <c r="M35" s="342">
        <v>7</v>
      </c>
      <c r="N35" s="342">
        <v>18</v>
      </c>
      <c r="O35" s="30">
        <v>1</v>
      </c>
      <c r="P35" s="31">
        <f t="shared" si="34"/>
        <v>10</v>
      </c>
      <c r="Q35" s="346"/>
      <c r="R35" s="346"/>
      <c r="S35" s="120">
        <f t="shared" si="35"/>
        <v>0</v>
      </c>
      <c r="T35" s="30"/>
      <c r="U35" s="32">
        <f t="shared" si="36"/>
        <v>8</v>
      </c>
      <c r="V35" s="20">
        <f t="shared" si="51"/>
        <v>2</v>
      </c>
      <c r="W35" s="334">
        <v>7</v>
      </c>
      <c r="X35" s="342">
        <v>17</v>
      </c>
      <c r="Y35" s="30">
        <v>1</v>
      </c>
      <c r="Z35" s="31">
        <f t="shared" si="37"/>
        <v>9</v>
      </c>
      <c r="AA35" s="342"/>
      <c r="AB35" s="342"/>
      <c r="AC35" s="31">
        <f t="shared" si="38"/>
        <v>0</v>
      </c>
      <c r="AD35" s="30"/>
      <c r="AE35" s="32">
        <f t="shared" si="39"/>
        <v>8</v>
      </c>
      <c r="AF35" s="20">
        <f t="shared" si="49"/>
        <v>1</v>
      </c>
      <c r="AG35" s="55"/>
      <c r="AH35" s="112">
        <v>0</v>
      </c>
      <c r="AI35" s="113">
        <f t="shared" si="40"/>
        <v>0</v>
      </c>
      <c r="AJ35" s="113">
        <f t="shared" si="41"/>
        <v>-6</v>
      </c>
      <c r="AK35" s="113">
        <f>IF(ISBLANK($AE$5),-8,0)+AE14</f>
        <v>0</v>
      </c>
      <c r="AL35" s="113">
        <f t="shared" si="42"/>
        <v>0</v>
      </c>
      <c r="AM35" s="113">
        <f t="shared" si="43"/>
        <v>0</v>
      </c>
      <c r="AN35" s="113">
        <f t="shared" si="44"/>
        <v>0</v>
      </c>
      <c r="AO35" s="113">
        <f t="shared" si="45"/>
        <v>0</v>
      </c>
      <c r="AP35" s="114">
        <f t="shared" si="46"/>
        <v>-6</v>
      </c>
      <c r="AQ35" s="55"/>
      <c r="AR35" s="1159">
        <f t="shared" si="47"/>
        <v>0</v>
      </c>
      <c r="AS35" s="1160"/>
      <c r="AT35" s="118">
        <f t="shared" si="48"/>
        <v>7</v>
      </c>
      <c r="AU35" s="55"/>
      <c r="AV35" s="55"/>
      <c r="AW35" s="1195">
        <v>-18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8</v>
      </c>
      <c r="D36" s="342">
        <v>18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1</v>
      </c>
      <c r="M36" s="342">
        <v>7</v>
      </c>
      <c r="N36" s="342">
        <v>18</v>
      </c>
      <c r="O36" s="30">
        <v>1</v>
      </c>
      <c r="P36" s="31">
        <f t="shared" si="34"/>
        <v>10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51"/>
        <v>2</v>
      </c>
      <c r="W36" s="334">
        <v>7</v>
      </c>
      <c r="X36" s="342">
        <v>18</v>
      </c>
      <c r="Y36" s="30">
        <v>1</v>
      </c>
      <c r="Z36" s="31">
        <f t="shared" si="37"/>
        <v>10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9"/>
        <v>2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0.5</v>
      </c>
      <c r="AL36" s="113">
        <f t="shared" si="42"/>
        <v>0</v>
      </c>
      <c r="AM36" s="113">
        <f t="shared" si="43"/>
        <v>0</v>
      </c>
      <c r="AN36" s="113">
        <f t="shared" si="44"/>
        <v>0</v>
      </c>
      <c r="AO36" s="113">
        <f t="shared" si="45"/>
        <v>0</v>
      </c>
      <c r="AP36" s="114">
        <f t="shared" si="46"/>
        <v>0.5</v>
      </c>
      <c r="AQ36" s="55"/>
      <c r="AR36" s="1159">
        <f t="shared" si="47"/>
        <v>0</v>
      </c>
      <c r="AS36" s="1160"/>
      <c r="AT36" s="118">
        <f t="shared" si="48"/>
        <v>5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0</v>
      </c>
      <c r="M37" s="342">
        <v>8</v>
      </c>
      <c r="N37" s="342">
        <v>16</v>
      </c>
      <c r="O37" s="30">
        <v>1</v>
      </c>
      <c r="P37" s="31">
        <f>+N37-M37-O37</f>
        <v>7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1"/>
        <v>-1</v>
      </c>
      <c r="W37" s="334">
        <v>8</v>
      </c>
      <c r="X37" s="342">
        <v>16</v>
      </c>
      <c r="Y37" s="30">
        <v>1</v>
      </c>
      <c r="Z37" s="31">
        <f>+X37-W37-Y37</f>
        <v>7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9"/>
        <v>-1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0.5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0.5</v>
      </c>
      <c r="AQ37" s="55"/>
      <c r="AR37" s="1159">
        <f t="shared" si="47"/>
        <v>0</v>
      </c>
      <c r="AS37" s="1160"/>
      <c r="AT37" s="118">
        <f t="shared" si="48"/>
        <v>5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0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-40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2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346"/>
      <c r="R39" s="346"/>
      <c r="S39" s="31">
        <f t="shared" si="35"/>
        <v>0</v>
      </c>
      <c r="T39" s="30"/>
      <c r="U39" s="32">
        <f t="shared" si="36"/>
        <v>8</v>
      </c>
      <c r="V39" s="20">
        <f t="shared" si="51"/>
        <v>2</v>
      </c>
      <c r="W39" s="334">
        <v>7</v>
      </c>
      <c r="X39" s="342">
        <v>18</v>
      </c>
      <c r="Y39" s="30">
        <v>1</v>
      </c>
      <c r="Z39" s="31">
        <f t="shared" si="37"/>
        <v>10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9"/>
        <v>2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</v>
      </c>
      <c r="AL39" s="113">
        <f t="shared" si="42"/>
        <v>0</v>
      </c>
      <c r="AM39" s="125">
        <f t="shared" si="43"/>
        <v>0</v>
      </c>
      <c r="AN39" s="125">
        <f t="shared" si="44"/>
        <v>0</v>
      </c>
      <c r="AO39" s="125">
        <f t="shared" si="45"/>
        <v>0</v>
      </c>
      <c r="AP39" s="114">
        <f t="shared" si="46"/>
        <v>0</v>
      </c>
      <c r="AQ39" s="55"/>
      <c r="AR39" s="1159">
        <f t="shared" si="47"/>
        <v>0</v>
      </c>
      <c r="AS39" s="1160"/>
      <c r="AT39" s="118">
        <f t="shared" si="48"/>
        <v>6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0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-40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0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-40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19</v>
      </c>
      <c r="Y42" s="719">
        <v>1</v>
      </c>
      <c r="Z42" s="720">
        <f>+X42-W42-Y42</f>
        <v>11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3</v>
      </c>
      <c r="AG42" s="55"/>
      <c r="AH42" s="143">
        <v>0</v>
      </c>
      <c r="AI42" s="144">
        <f t="shared" si="40"/>
        <v>0</v>
      </c>
      <c r="AJ42" s="144">
        <f t="shared" si="41"/>
        <v>-8</v>
      </c>
      <c r="AK42" s="144">
        <f t="shared" si="52"/>
        <v>0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-8</v>
      </c>
      <c r="AQ42" s="55"/>
      <c r="AR42" s="1159">
        <f>+X82*Q82</f>
        <v>0</v>
      </c>
      <c r="AS42" s="1160"/>
      <c r="AT42" s="912">
        <f>IF(K21+L21&gt;0,1,0)+IF(U21+V21&gt;0,1,0)+IF(AE21+AF21&gt;0,1,0)+IF(AO21&gt;3,1,0)+IF(K42+L42&gt;0,1,0)+IF(U42+V42&gt;0,1,0)+IF(AE42+AF42&gt;0,1,0)+1</f>
        <v>7</v>
      </c>
      <c r="AU42" s="55"/>
      <c r="AV42" s="55"/>
      <c r="AW42" s="1185">
        <v>-16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18</v>
      </c>
      <c r="Y43" s="719">
        <v>1</v>
      </c>
      <c r="Z43" s="720">
        <f>+X43-W43-Y43</f>
        <v>10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2</v>
      </c>
      <c r="AG43" s="55"/>
      <c r="AH43" s="127">
        <v>0</v>
      </c>
      <c r="AI43" s="113">
        <f t="shared" si="40"/>
        <v>0</v>
      </c>
      <c r="AJ43" s="113">
        <f t="shared" si="41"/>
        <v>-8</v>
      </c>
      <c r="AK43" s="128">
        <f t="shared" si="52"/>
        <v>0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-8</v>
      </c>
      <c r="AQ43" s="55"/>
      <c r="AR43" s="1159"/>
      <c r="AS43" s="1160"/>
      <c r="AT43" s="912">
        <f>IF(K22+L22&gt;0,1,0)+IF(U22+V22&gt;0,1,0)+IF(AE22+AF22&gt;0,1,0)+IF(AO22&gt;3,1,0)+IF(K43+L43&gt;0,1,0)+IF(U43+V43&gt;0,1,0)+IF(AE43+AF43&gt;0,1,0)+1</f>
        <v>7</v>
      </c>
      <c r="AU43" s="55"/>
      <c r="AV43" s="55"/>
      <c r="AW43" s="1134">
        <v>-16</v>
      </c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19</v>
      </c>
      <c r="E44" s="716">
        <v>1</v>
      </c>
      <c r="F44" s="717">
        <f t="shared" si="31"/>
        <v>11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3</v>
      </c>
      <c r="M44" s="719">
        <v>7</v>
      </c>
      <c r="N44" s="719">
        <v>18</v>
      </c>
      <c r="O44" s="719">
        <v>1</v>
      </c>
      <c r="P44" s="720">
        <f t="shared" si="34"/>
        <v>10</v>
      </c>
      <c r="Q44" s="721"/>
      <c r="R44" s="721"/>
      <c r="S44" s="720">
        <f t="shared" si="35"/>
        <v>0</v>
      </c>
      <c r="T44" s="719"/>
      <c r="U44" s="32">
        <f t="shared" si="36"/>
        <v>8</v>
      </c>
      <c r="V44" s="722">
        <f t="shared" si="51"/>
        <v>2</v>
      </c>
      <c r="W44" s="723">
        <v>7</v>
      </c>
      <c r="X44" s="719">
        <v>19</v>
      </c>
      <c r="Y44" s="719">
        <v>1</v>
      </c>
      <c r="Z44" s="720">
        <f t="shared" si="37"/>
        <v>11</v>
      </c>
      <c r="AA44" s="719"/>
      <c r="AB44" s="724"/>
      <c r="AC44" s="720">
        <f t="shared" si="38"/>
        <v>0</v>
      </c>
      <c r="AD44" s="719"/>
      <c r="AE44" s="32">
        <f t="shared" si="39"/>
        <v>8</v>
      </c>
      <c r="AF44" s="722">
        <f t="shared" si="49"/>
        <v>3</v>
      </c>
      <c r="AG44" s="55"/>
      <c r="AH44" s="490">
        <v>0</v>
      </c>
      <c r="AI44" s="527">
        <f t="shared" si="40"/>
        <v>0</v>
      </c>
      <c r="AJ44" s="527">
        <f t="shared" si="41"/>
        <v>-8</v>
      </c>
      <c r="AK44" s="527">
        <f t="shared" si="52"/>
        <v>0</v>
      </c>
      <c r="AL44" s="527">
        <f t="shared" si="42"/>
        <v>0</v>
      </c>
      <c r="AM44" s="527">
        <f t="shared" si="43"/>
        <v>0</v>
      </c>
      <c r="AN44" s="527">
        <f t="shared" si="44"/>
        <v>0</v>
      </c>
      <c r="AO44" s="527">
        <f t="shared" si="45"/>
        <v>0</v>
      </c>
      <c r="AP44" s="492">
        <f t="shared" si="46"/>
        <v>-8</v>
      </c>
      <c r="AQ44" s="55"/>
      <c r="AR44" s="1187">
        <f>+X81*Q81</f>
        <v>0</v>
      </c>
      <c r="AS44" s="1188"/>
      <c r="AT44" s="913">
        <f>IF(K23+L23&gt;0,1,0)+IF(U23+V23&gt;0,1,0)+IF(AE23+AF23&gt;0,1,0)+IF(AO23&gt;3,1,0)+IF(K44+L44&gt;0,1,0)+IF(U44+V44&gt;0,1,0)+IF(AE44+AF44&gt;0,1,0)+AV44+1</f>
        <v>6</v>
      </c>
      <c r="AU44" s="55"/>
      <c r="AV44" s="55"/>
      <c r="AW44" s="1189"/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0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-40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193</v>
      </c>
      <c r="AS46" s="1162"/>
      <c r="AT46" s="167">
        <f>SUM(AT32:AT45)</f>
        <v>57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98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43279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43280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43281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43282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43283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43284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43285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888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16</v>
      </c>
      <c r="V71" s="239">
        <v>48</v>
      </c>
      <c r="W71" s="240">
        <f t="shared" ref="W71:W86" si="59">+V71-U71</f>
        <v>32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58</v>
      </c>
      <c r="V72" s="239">
        <v>48</v>
      </c>
      <c r="W72" s="240">
        <f t="shared" si="59"/>
        <v>-10</v>
      </c>
      <c r="X72" s="241">
        <f t="shared" si="60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42</v>
      </c>
      <c r="V73" s="239">
        <v>48</v>
      </c>
      <c r="W73" s="240">
        <f t="shared" si="59"/>
        <v>6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52</v>
      </c>
      <c r="V74" s="239">
        <v>48</v>
      </c>
      <c r="W74" s="240">
        <f t="shared" si="59"/>
        <v>-4</v>
      </c>
      <c r="X74" s="241">
        <f t="shared" si="60"/>
        <v>0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40.5</v>
      </c>
      <c r="V75" s="239">
        <v>48</v>
      </c>
      <c r="W75" s="240">
        <f t="shared" si="59"/>
        <v>7.5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37.5</v>
      </c>
      <c r="V76" s="239">
        <v>48</v>
      </c>
      <c r="W76" s="240">
        <f>+V76-U76</f>
        <v>10.5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882"/>
      <c r="AA77" s="882"/>
      <c r="AB77" s="882"/>
      <c r="AC77" s="882"/>
      <c r="AD77" s="882"/>
      <c r="AE77" s="386"/>
      <c r="AF77" s="386"/>
      <c r="AG77" s="883"/>
      <c r="AH77" s="883"/>
      <c r="AI77" s="393"/>
      <c r="AJ77" s="393"/>
      <c r="AK77" s="393"/>
      <c r="AL77" s="393"/>
      <c r="AM77" s="883"/>
      <c r="AN77" s="883"/>
      <c r="AO77" s="883"/>
      <c r="AP77" s="883"/>
      <c r="AQ77" s="883"/>
      <c r="AR77" s="883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888"/>
      <c r="T78" s="888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888"/>
      <c r="Z78" s="882"/>
      <c r="AA78" s="882"/>
      <c r="AB78" s="882"/>
      <c r="AC78" s="882"/>
      <c r="AD78" s="882"/>
      <c r="AE78" s="386"/>
      <c r="AF78" s="386"/>
      <c r="AG78" s="883"/>
      <c r="AH78" s="883"/>
      <c r="AI78" s="393"/>
      <c r="AJ78" s="393"/>
      <c r="AK78" s="393"/>
      <c r="AL78" s="393"/>
      <c r="AM78" s="883"/>
      <c r="AN78" s="883"/>
      <c r="AO78" s="883"/>
      <c r="AP78" s="883"/>
      <c r="AQ78" s="883"/>
      <c r="AR78" s="883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48</v>
      </c>
      <c r="V79" s="239">
        <v>48</v>
      </c>
      <c r="W79" s="240">
        <f>+V79-U79</f>
        <v>0</v>
      </c>
      <c r="X79" s="241">
        <f t="shared" si="60"/>
        <v>0</v>
      </c>
      <c r="Z79" s="246"/>
      <c r="AA79" s="246"/>
      <c r="AB79" s="882"/>
      <c r="AC79" s="882"/>
      <c r="AD79" s="882"/>
      <c r="AE79" s="386"/>
      <c r="AF79" s="386"/>
      <c r="AG79" s="883"/>
      <c r="AH79" s="883"/>
      <c r="AI79" s="883"/>
      <c r="AJ79" s="883"/>
      <c r="AK79" s="883"/>
      <c r="AL79" s="883"/>
      <c r="AM79" s="883"/>
      <c r="AN79" s="883"/>
      <c r="AO79" s="883"/>
      <c r="AP79" s="883"/>
      <c r="AQ79" s="883"/>
      <c r="AR79" s="883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882"/>
      <c r="AC80" s="882"/>
      <c r="AD80" s="882"/>
      <c r="AE80" s="386"/>
      <c r="AF80" s="386"/>
      <c r="AG80" s="883"/>
      <c r="AH80" s="883"/>
      <c r="AI80" s="883"/>
      <c r="AJ80" s="883"/>
      <c r="AK80" s="883"/>
      <c r="AL80" s="883"/>
      <c r="AM80" s="883"/>
      <c r="AN80" s="883"/>
      <c r="AO80" s="883"/>
      <c r="AP80" s="883"/>
      <c r="AQ80" s="883"/>
      <c r="AR80" s="883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32</v>
      </c>
      <c r="V81" s="239">
        <v>48</v>
      </c>
      <c r="W81" s="240">
        <f>+V81-U81</f>
        <v>16</v>
      </c>
      <c r="X81" s="241">
        <f>+J23+T23+AD23+J44+T44+AD44</f>
        <v>0</v>
      </c>
      <c r="Z81" s="246"/>
      <c r="AA81" s="246"/>
      <c r="AB81" s="882"/>
      <c r="AC81" s="882"/>
      <c r="AD81" s="882"/>
      <c r="AE81" s="386"/>
      <c r="AF81" s="386"/>
      <c r="AG81" s="883"/>
      <c r="AH81" s="883"/>
      <c r="AI81" s="883"/>
      <c r="AJ81" s="883"/>
      <c r="AK81" s="393"/>
      <c r="AL81" s="393"/>
      <c r="AM81" s="883"/>
      <c r="AN81" s="883"/>
      <c r="AO81" s="883"/>
      <c r="AP81" s="883"/>
      <c r="AQ81" s="883"/>
      <c r="AR81" s="883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48</v>
      </c>
      <c r="V82" s="239">
        <v>48</v>
      </c>
      <c r="W82" s="240">
        <f t="shared" si="59"/>
        <v>0</v>
      </c>
      <c r="X82" s="241">
        <f>+J21+T21+AD21+J42+T42+AD42</f>
        <v>0</v>
      </c>
      <c r="Z82" s="246"/>
      <c r="AA82" s="246"/>
      <c r="AB82" s="882"/>
      <c r="AC82" s="882"/>
      <c r="AD82" s="882"/>
      <c r="AE82" s="386"/>
      <c r="AF82" s="386"/>
      <c r="AG82" s="883"/>
      <c r="AH82" s="883"/>
      <c r="AI82" s="883"/>
      <c r="AJ82" s="883"/>
      <c r="AK82" s="883"/>
      <c r="AL82" s="883"/>
      <c r="AM82" s="883"/>
      <c r="AN82" s="883"/>
      <c r="AO82" s="883"/>
      <c r="AP82" s="883"/>
      <c r="AQ82" s="883"/>
      <c r="AR82" s="883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882"/>
      <c r="AC83" s="882"/>
      <c r="AD83" s="882"/>
      <c r="AE83" s="386"/>
      <c r="AF83" s="386"/>
      <c r="AG83" s="883"/>
      <c r="AH83" s="883"/>
      <c r="AI83" s="883"/>
      <c r="AJ83" s="883"/>
      <c r="AK83" s="883"/>
      <c r="AL83" s="883"/>
      <c r="AM83" s="883"/>
      <c r="AN83" s="883"/>
      <c r="AO83" s="883"/>
      <c r="AP83" s="883"/>
      <c r="AQ83" s="883"/>
      <c r="AR83" s="883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882"/>
      <c r="AC84" s="882"/>
      <c r="AD84" s="882"/>
      <c r="AE84" s="386"/>
      <c r="AF84" s="386"/>
      <c r="AG84" s="883"/>
      <c r="AH84" s="883"/>
      <c r="AI84" s="883"/>
      <c r="AJ84" s="883"/>
      <c r="AK84" s="871"/>
      <c r="AL84" s="871"/>
      <c r="AM84" s="871"/>
      <c r="AN84" s="871"/>
      <c r="AO84" s="871"/>
      <c r="AP84" s="871"/>
      <c r="AQ84" s="871"/>
      <c r="AR84" s="871"/>
      <c r="AS84" s="386"/>
      <c r="AT84" s="386"/>
    </row>
    <row r="85" spans="1:46" ht="16.5">
      <c r="A85" s="247"/>
      <c r="B85" s="250" t="s">
        <v>147</v>
      </c>
      <c r="C85" s="874"/>
      <c r="D85" s="875"/>
      <c r="E85" s="876"/>
      <c r="F85" s="877"/>
      <c r="G85" s="878"/>
      <c r="H85" s="879"/>
      <c r="I85" s="876"/>
      <c r="J85" s="877"/>
      <c r="K85" s="889"/>
      <c r="L85" s="890"/>
      <c r="M85" s="5"/>
      <c r="N85" s="880"/>
      <c r="O85" s="881"/>
      <c r="P85" s="5"/>
      <c r="Q85" s="872"/>
      <c r="R85" s="873"/>
      <c r="U85" s="238"/>
      <c r="V85" s="239"/>
      <c r="W85" s="240"/>
      <c r="X85" s="241"/>
      <c r="Z85" s="246"/>
      <c r="AA85" s="246"/>
      <c r="AB85" s="882"/>
      <c r="AC85" s="882"/>
      <c r="AD85" s="882"/>
      <c r="AE85" s="386"/>
      <c r="AF85" s="386"/>
      <c r="AG85" s="883"/>
      <c r="AH85" s="883"/>
      <c r="AI85" s="883"/>
      <c r="AJ85" s="883"/>
      <c r="AK85" s="871"/>
      <c r="AL85" s="871"/>
      <c r="AM85" s="871"/>
      <c r="AN85" s="871"/>
      <c r="AO85" s="871"/>
      <c r="AP85" s="871"/>
      <c r="AQ85" s="871"/>
      <c r="AR85" s="871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882"/>
      <c r="AC86" s="882"/>
      <c r="AD86" s="882"/>
      <c r="AE86" s="386"/>
      <c r="AF86" s="386"/>
      <c r="AG86" s="883"/>
      <c r="AH86" s="883"/>
      <c r="AI86" s="883"/>
      <c r="AJ86" s="883"/>
      <c r="AK86" s="883"/>
      <c r="AL86" s="883"/>
      <c r="AM86" s="883"/>
      <c r="AN86" s="883"/>
      <c r="AO86" s="883"/>
      <c r="AP86" s="883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883"/>
      <c r="AF90" s="883"/>
      <c r="AG90" s="386"/>
      <c r="AH90" s="386"/>
      <c r="AI90" s="386"/>
      <c r="AJ90" s="883"/>
      <c r="AK90" s="883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883"/>
      <c r="AF91" s="883"/>
      <c r="AG91" s="386"/>
      <c r="AH91" s="386"/>
      <c r="AI91" s="386"/>
      <c r="AJ91" s="883"/>
      <c r="AK91" s="883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883"/>
      <c r="AF93" s="883"/>
      <c r="AG93" s="386"/>
      <c r="AH93" s="386"/>
      <c r="AI93" s="386"/>
      <c r="AJ93" s="883"/>
      <c r="AK93" s="883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883"/>
      <c r="AF96" s="883"/>
      <c r="AG96" s="386"/>
      <c r="AH96" s="386"/>
      <c r="AI96" s="386"/>
      <c r="AJ96" s="883"/>
      <c r="AK96" s="883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871"/>
      <c r="AM98" s="883"/>
      <c r="AN98" s="871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883"/>
      <c r="AF108" s="883"/>
      <c r="AG108" s="386"/>
      <c r="AH108" s="386"/>
      <c r="AI108" s="386"/>
      <c r="AJ108" s="883"/>
      <c r="AK108" s="883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871"/>
      <c r="AM116" s="883"/>
      <c r="AN116" s="871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883"/>
      <c r="AF127" s="883"/>
      <c r="AG127" s="386"/>
      <c r="AH127" s="386"/>
      <c r="AI127" s="386"/>
      <c r="AJ127" s="883"/>
      <c r="AK127" s="883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883"/>
      <c r="AF128" s="883"/>
      <c r="AG128" s="386"/>
      <c r="AH128" s="386"/>
      <c r="AI128" s="386"/>
      <c r="AJ128" s="883"/>
      <c r="AK128" s="883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883"/>
      <c r="AF130" s="883"/>
      <c r="AG130" s="386"/>
      <c r="AH130" s="386"/>
      <c r="AI130" s="386"/>
      <c r="AJ130" s="883"/>
      <c r="AK130" s="883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883"/>
      <c r="AF133" s="883"/>
      <c r="AG133" s="386"/>
      <c r="AH133" s="386"/>
      <c r="AI133" s="386"/>
      <c r="AJ133" s="883"/>
      <c r="AK133" s="883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871"/>
      <c r="AM135" s="883"/>
      <c r="AN135" s="871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883"/>
      <c r="AF145" s="883"/>
      <c r="AG145" s="386"/>
      <c r="AH145" s="386"/>
      <c r="AI145" s="386"/>
      <c r="AJ145" s="883"/>
      <c r="AK145" s="883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883"/>
      <c r="AF146" s="883"/>
      <c r="AG146" s="386"/>
      <c r="AH146" s="386"/>
      <c r="AI146" s="386"/>
      <c r="AJ146" s="883"/>
      <c r="AK146" s="883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883"/>
      <c r="AF148" s="883"/>
      <c r="AG148" s="386"/>
      <c r="AH148" s="386"/>
      <c r="AI148" s="386"/>
      <c r="AJ148" s="883"/>
      <c r="AK148" s="883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883"/>
      <c r="AF151" s="883"/>
      <c r="AG151" s="386"/>
      <c r="AH151" s="386"/>
      <c r="AI151" s="386"/>
      <c r="AJ151" s="883"/>
      <c r="AK151" s="883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871"/>
      <c r="AM153" s="883"/>
      <c r="AN153" s="871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883"/>
      <c r="AF165" s="883"/>
      <c r="AG165" s="386"/>
      <c r="AH165" s="386"/>
      <c r="AI165" s="386"/>
      <c r="AJ165" s="883"/>
      <c r="AK165" s="883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871"/>
      <c r="AM173" s="883"/>
      <c r="AN173" s="871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883"/>
      <c r="AF184" s="883"/>
      <c r="AG184" s="386"/>
      <c r="AH184" s="386"/>
      <c r="AI184" s="386"/>
      <c r="AJ184" s="883"/>
      <c r="AK184" s="883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883"/>
      <c r="AF185" s="883"/>
      <c r="AG185" s="386"/>
      <c r="AH185" s="386"/>
      <c r="AI185" s="386"/>
      <c r="AJ185" s="883"/>
      <c r="AK185" s="883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883"/>
      <c r="AF187" s="883"/>
      <c r="AG187" s="386"/>
      <c r="AH187" s="386"/>
      <c r="AI187" s="386"/>
      <c r="AJ187" s="883"/>
      <c r="AK187" s="883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883"/>
      <c r="AF190" s="883"/>
      <c r="AG190" s="386"/>
      <c r="AH190" s="386"/>
      <c r="AI190" s="386"/>
      <c r="AJ190" s="883"/>
      <c r="AK190" s="883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871"/>
      <c r="AM192" s="883"/>
      <c r="AN192" s="871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888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888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888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888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888"/>
      <c r="AB204" s="888"/>
      <c r="AC204" s="888"/>
      <c r="AD204" s="888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882"/>
      <c r="AB205" s="882"/>
      <c r="AC205" s="882"/>
      <c r="AD205" s="882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882"/>
      <c r="AB206" s="882"/>
      <c r="AC206" s="882"/>
      <c r="AD206" s="882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882"/>
      <c r="AB207" s="882"/>
      <c r="AC207" s="882"/>
      <c r="AD207" s="882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882"/>
      <c r="AB208" s="882"/>
      <c r="AC208" s="882"/>
      <c r="AD208" s="882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882"/>
      <c r="AB209" s="882"/>
      <c r="AC209" s="882"/>
      <c r="AD209" s="882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882"/>
      <c r="AF210" s="386"/>
      <c r="AG210" s="883"/>
      <c r="AH210" s="883"/>
      <c r="AI210" s="386"/>
      <c r="AJ210" s="386"/>
      <c r="AK210" s="871"/>
      <c r="AL210" s="871"/>
      <c r="AM210" s="871"/>
      <c r="AN210" s="871"/>
      <c r="AO210" s="871"/>
      <c r="AP210" s="871"/>
      <c r="AQ210" s="871"/>
      <c r="AR210" s="871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882"/>
      <c r="AA211" s="882"/>
      <c r="AB211" s="882"/>
      <c r="AC211" s="882"/>
      <c r="AD211" s="882"/>
      <c r="AE211" s="386"/>
      <c r="AF211" s="386"/>
      <c r="AG211" s="244"/>
      <c r="AH211" s="244"/>
      <c r="AI211" s="883"/>
      <c r="AJ211" s="883"/>
      <c r="AK211" s="883"/>
      <c r="AL211" s="883"/>
      <c r="AM211" s="883"/>
      <c r="AN211" s="883"/>
      <c r="AO211" s="883"/>
      <c r="AP211" s="883"/>
      <c r="AQ211" s="883"/>
      <c r="AR211" s="883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883"/>
      <c r="AN212" s="883"/>
      <c r="AO212" s="883"/>
      <c r="AP212" s="883"/>
      <c r="AQ212" s="883"/>
      <c r="AR212" s="883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882"/>
      <c r="AA213" s="882"/>
      <c r="AB213" s="882"/>
      <c r="AC213" s="882"/>
      <c r="AD213" s="882"/>
      <c r="AE213" s="386"/>
      <c r="AF213" s="386"/>
      <c r="AG213" s="883"/>
      <c r="AH213" s="883"/>
      <c r="AI213" s="393"/>
      <c r="AJ213" s="393"/>
      <c r="AK213" s="393"/>
      <c r="AL213" s="393"/>
      <c r="AM213" s="883"/>
      <c r="AN213" s="883"/>
      <c r="AO213" s="883"/>
      <c r="AP213" s="883"/>
      <c r="AQ213" s="883"/>
      <c r="AR213" s="883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888"/>
      <c r="T214" s="888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888"/>
      <c r="Z214" s="882"/>
      <c r="AA214" s="882"/>
      <c r="AB214" s="882"/>
      <c r="AC214" s="882"/>
      <c r="AD214" s="882"/>
      <c r="AE214" s="386"/>
      <c r="AF214" s="386"/>
      <c r="AG214" s="883"/>
      <c r="AH214" s="883"/>
      <c r="AI214" s="393"/>
      <c r="AJ214" s="393"/>
      <c r="AK214" s="393"/>
      <c r="AL214" s="393"/>
      <c r="AM214" s="883"/>
      <c r="AN214" s="883"/>
      <c r="AO214" s="883"/>
      <c r="AP214" s="883"/>
      <c r="AQ214" s="883"/>
      <c r="AR214" s="883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882"/>
      <c r="AC215" s="882"/>
      <c r="AD215" s="882"/>
      <c r="AE215" s="386"/>
      <c r="AF215" s="386"/>
      <c r="AG215" s="883"/>
      <c r="AH215" s="883"/>
      <c r="AI215" s="883"/>
      <c r="AJ215" s="883"/>
      <c r="AK215" s="883"/>
      <c r="AL215" s="883"/>
      <c r="AM215" s="883"/>
      <c r="AN215" s="883"/>
      <c r="AO215" s="883"/>
      <c r="AP215" s="883"/>
      <c r="AQ215" s="883"/>
      <c r="AR215" s="883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882"/>
      <c r="AE216" s="386"/>
      <c r="AF216" s="386"/>
      <c r="AG216" s="244"/>
      <c r="AH216" s="244"/>
      <c r="AI216" s="883"/>
      <c r="AJ216" s="883"/>
      <c r="AK216" s="883"/>
      <c r="AL216" s="883"/>
      <c r="AM216" s="883"/>
      <c r="AN216" s="883"/>
      <c r="AO216" s="883"/>
      <c r="AP216" s="883"/>
      <c r="AQ216" s="883"/>
      <c r="AR216" s="883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882"/>
      <c r="AD217" s="882"/>
      <c r="AE217" s="386"/>
      <c r="AF217" s="386"/>
      <c r="AG217" s="883"/>
      <c r="AH217" s="883"/>
      <c r="AI217" s="393"/>
      <c r="AJ217" s="393"/>
      <c r="AK217" s="393"/>
      <c r="AL217" s="393"/>
      <c r="AM217" s="883"/>
      <c r="AN217" s="883"/>
      <c r="AO217" s="883"/>
      <c r="AP217" s="883"/>
      <c r="AQ217" s="883"/>
      <c r="AR217" s="883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882"/>
      <c r="AD218" s="882"/>
      <c r="AE218" s="386"/>
      <c r="AF218" s="386"/>
      <c r="AG218" s="393"/>
      <c r="AH218" s="393"/>
      <c r="AI218" s="883"/>
      <c r="AJ218" s="883"/>
      <c r="AK218" s="883"/>
      <c r="AL218" s="883"/>
      <c r="AM218" s="883"/>
      <c r="AN218" s="883"/>
      <c r="AO218" s="883"/>
      <c r="AP218" s="883"/>
      <c r="AQ218" s="883"/>
      <c r="AR218" s="883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882"/>
      <c r="AC219" s="882"/>
      <c r="AD219" s="882">
        <v>200</v>
      </c>
      <c r="AE219" s="386"/>
      <c r="AF219" s="1023">
        <f>+AD219/6</f>
        <v>33.333333333333336</v>
      </c>
      <c r="AG219" s="1023"/>
      <c r="AH219" s="1023"/>
      <c r="AI219" s="883"/>
      <c r="AJ219" s="883"/>
      <c r="AK219" s="883"/>
      <c r="AL219" s="883"/>
      <c r="AM219" s="883"/>
      <c r="AN219" s="883"/>
      <c r="AO219" s="883"/>
      <c r="AP219" s="883"/>
      <c r="AQ219" s="883"/>
      <c r="AR219" s="883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882"/>
      <c r="AA220" s="882"/>
      <c r="AB220" s="882"/>
      <c r="AC220" s="882"/>
      <c r="AG220" s="883"/>
      <c r="AH220" s="883"/>
      <c r="AI220" s="386"/>
      <c r="AJ220" s="386"/>
      <c r="AK220" s="871"/>
      <c r="AL220" s="871"/>
      <c r="AM220" s="871"/>
      <c r="AN220" s="871"/>
      <c r="AO220" s="871"/>
      <c r="AP220" s="871"/>
      <c r="AQ220" s="871"/>
      <c r="AR220" s="871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882"/>
      <c r="AC221" s="882"/>
      <c r="AD221" s="882"/>
      <c r="AE221" s="386"/>
      <c r="AF221" s="386"/>
      <c r="AG221" s="883"/>
      <c r="AH221" s="883"/>
      <c r="AI221" s="883"/>
      <c r="AJ221" s="883"/>
      <c r="AK221" s="883"/>
      <c r="AL221" s="883"/>
      <c r="AM221" s="883"/>
      <c r="AN221" s="883"/>
      <c r="AO221" s="883"/>
      <c r="AP221" s="883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887"/>
      <c r="E224" s="304"/>
      <c r="F224" s="305"/>
      <c r="G224" s="887"/>
      <c r="H224" s="887"/>
      <c r="I224" s="305"/>
      <c r="J224" s="887"/>
      <c r="K224" s="306"/>
      <c r="L224" s="306"/>
      <c r="M224" s="887"/>
      <c r="N224" s="887"/>
      <c r="O224" s="887"/>
      <c r="P224" s="887"/>
      <c r="Q224" s="887"/>
      <c r="R224" s="887"/>
      <c r="S224" s="887"/>
      <c r="T224" s="887"/>
      <c r="U224" s="887"/>
      <c r="V224" s="887"/>
      <c r="W224" s="887"/>
      <c r="X224" s="887"/>
      <c r="Y224" s="887"/>
      <c r="Z224" s="887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883"/>
      <c r="AF244" s="883"/>
      <c r="AG244" s="386"/>
      <c r="AH244" s="386"/>
      <c r="AI244" s="386"/>
      <c r="AJ244" s="883"/>
      <c r="AK244" s="883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883"/>
      <c r="AF245" s="883"/>
      <c r="AG245" s="386"/>
      <c r="AH245" s="386"/>
      <c r="AI245" s="386"/>
      <c r="AJ245" s="883"/>
      <c r="AK245" s="883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883"/>
      <c r="AF247" s="883"/>
      <c r="AG247" s="386"/>
      <c r="AH247" s="386"/>
      <c r="AI247" s="386"/>
      <c r="AJ247" s="883"/>
      <c r="AK247" s="883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883"/>
      <c r="AF250" s="883"/>
      <c r="AG250" s="386"/>
      <c r="AH250" s="386"/>
      <c r="AI250" s="386"/>
      <c r="AJ250" s="883"/>
      <c r="AK250" s="883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871"/>
      <c r="AM252" s="883"/>
      <c r="AN252" s="871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887"/>
      <c r="E261" s="304"/>
      <c r="F261" s="305"/>
      <c r="G261" s="887"/>
      <c r="H261" s="887"/>
      <c r="I261" s="305"/>
      <c r="J261" s="887"/>
      <c r="K261" s="306"/>
      <c r="L261" s="306"/>
      <c r="M261" s="887"/>
      <c r="N261" s="887"/>
      <c r="O261" s="887"/>
      <c r="P261" s="887"/>
      <c r="Q261" s="887"/>
      <c r="R261" s="887"/>
      <c r="S261" s="887"/>
      <c r="T261" s="887"/>
      <c r="U261" s="887"/>
      <c r="V261" s="887"/>
      <c r="W261" s="887"/>
      <c r="X261" s="887"/>
      <c r="Y261" s="887"/>
      <c r="Z261" s="887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0:AP203 AH60 AP60 AP32:AP48 AH32:AH48">
    <cfRule type="cellIs" dxfId="608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607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606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605" priority="18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604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603" priority="16" stopIfTrue="1" operator="lessThanOrEqual">
      <formula>0</formula>
    </cfRule>
  </conditionalFormatting>
  <conditionalFormatting sqref="AA66:AB68 AA71:AB73 W210:X219 Z49:AA53 Z61:AA61 W86:X86 W74:X83 Z200:AA202 W221:X221">
    <cfRule type="cellIs" dxfId="602" priority="15" stopIfTrue="1" operator="lessThan">
      <formula>0</formula>
    </cfRule>
  </conditionalFormatting>
  <conditionalFormatting sqref="X49:X53 X61:X66 U86 U74:U83 X200:X202 U221 U210:U219">
    <cfRule type="cellIs" dxfId="601" priority="14" stopIfTrue="1" operator="greaterThan">
      <formula>48</formula>
    </cfRule>
  </conditionalFormatting>
  <conditionalFormatting sqref="C276:C280 C288:D291 C159:D159 D276:D287 C87:D142 C241:D241 C222:D222">
    <cfRule type="cellIs" dxfId="600" priority="13" stopIfTrue="1" operator="lessThan">
      <formula>$C$71</formula>
    </cfRule>
  </conditionalFormatting>
  <conditionalFormatting sqref="AI60:AO60 AI32:AO48">
    <cfRule type="cellIs" dxfId="599" priority="11" stopIfTrue="1" operator="equal">
      <formula>0</formula>
    </cfRule>
    <cfRule type="cellIs" dxfId="598" priority="12" stopIfTrue="1" operator="lessThan">
      <formula>0</formula>
    </cfRule>
  </conditionalFormatting>
  <conditionalFormatting sqref="AT60 AT32:AT45">
    <cfRule type="cellIs" dxfId="597" priority="9" stopIfTrue="1" operator="greaterThan">
      <formula>0</formula>
    </cfRule>
    <cfRule type="cellIs" dxfId="596" priority="10" stopIfTrue="1" operator="lessThan">
      <formula>1</formula>
    </cfRule>
  </conditionalFormatting>
  <conditionalFormatting sqref="K84:L85 K71:L81 K220:L220 K207:L217">
    <cfRule type="cellIs" dxfId="595" priority="8" stopIfTrue="1" operator="greaterThanOrEqual">
      <formula>$K$69</formula>
    </cfRule>
  </conditionalFormatting>
  <conditionalFormatting sqref="AF56:AF57 L12:L24 AF11:AF24 V12:V24 V32:V45 AF33:AF45 L32:L45">
    <cfRule type="cellIs" dxfId="594" priority="6" stopIfTrue="1" operator="equal">
      <formula>0</formula>
    </cfRule>
    <cfRule type="cellIs" dxfId="593" priority="7" stopIfTrue="1" operator="lessThan">
      <formula>0</formula>
    </cfRule>
  </conditionalFormatting>
  <conditionalFormatting sqref="K84:K85">
    <cfRule type="cellIs" dxfId="592" priority="5" stopIfTrue="1" operator="greaterThanOrEqual">
      <formula>$K$72</formula>
    </cfRule>
  </conditionalFormatting>
  <conditionalFormatting sqref="W84:X85">
    <cfRule type="cellIs" dxfId="591" priority="4" stopIfTrue="1" operator="lessThan">
      <formula>0</formula>
    </cfRule>
  </conditionalFormatting>
  <conditionalFormatting sqref="U84:U85">
    <cfRule type="cellIs" dxfId="590" priority="3" stopIfTrue="1" operator="greaterThan">
      <formula>48</formula>
    </cfRule>
  </conditionalFormatting>
  <conditionalFormatting sqref="AF32">
    <cfRule type="cellIs" dxfId="589" priority="1" stopIfTrue="1" operator="equal">
      <formula>0</formula>
    </cfRule>
    <cfRule type="cellIs" dxfId="588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17 AE19:AT20 AE18:AF18 AO18:AT18 AE24:AT41 AE21:AF21 AO21:AT21 AE22:AF22 AO22:AT22 AE23:AM23 AO23:AT23 AJ18:AM18 AJ21:AM21 AJ22:AM22 AE45:AT45 AE42:AS42 AE43:AS43 AE44:AS44" formula="1"/>
  </ignoredError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Q40" sqref="Q40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868" customWidth="1"/>
    <col min="5" max="5" width="4.28515625" style="3" customWidth="1"/>
    <col min="6" max="6" width="4.28515625" style="4" customWidth="1"/>
    <col min="7" max="8" width="4.28515625" style="868" customWidth="1"/>
    <col min="9" max="9" width="4.28515625" style="4" customWidth="1"/>
    <col min="10" max="10" width="4.28515625" style="868" customWidth="1"/>
    <col min="11" max="12" width="4.28515625" style="5" customWidth="1"/>
    <col min="13" max="26" width="4.28515625" style="868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43278</v>
      </c>
      <c r="C1" s="868" t="s">
        <v>0</v>
      </c>
      <c r="AN1" s="7"/>
      <c r="AO1" s="7"/>
      <c r="AR1" s="1340">
        <f>+AR46+AT46</f>
        <v>204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43279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868">
        <v>0</v>
      </c>
    </row>
    <row r="5" spans="1:58" ht="10.9" customHeight="1">
      <c r="B5" s="1244" t="s">
        <v>1</v>
      </c>
      <c r="C5" s="1140">
        <v>43272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43273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43274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43275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43272</v>
      </c>
      <c r="AW7" s="1296">
        <f>+M5</f>
        <v>43273</v>
      </c>
      <c r="AX7" s="1296">
        <f>+W5</f>
        <v>43274</v>
      </c>
      <c r="AY7" s="1309">
        <f>+AG5</f>
        <v>43275</v>
      </c>
      <c r="AZ7" s="1296">
        <f>+C26</f>
        <v>43276</v>
      </c>
      <c r="BA7" s="1296">
        <f>+M26</f>
        <v>43277</v>
      </c>
      <c r="BB7" s="1296">
        <f>+W26</f>
        <v>43278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/>
      <c r="D11" s="335"/>
      <c r="E11" s="16"/>
      <c r="F11" s="17">
        <f t="shared" ref="F11:F20" si="1">+D11-C11-E11</f>
        <v>0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0</v>
      </c>
      <c r="L11" s="20">
        <f t="shared" ref="L11:L24" si="4">IF(C11&gt;0,(F11+I11)+IF(K$5&gt;0,F11,-8),0)+IF(U$5&gt;0,I11,0)</f>
        <v>0</v>
      </c>
      <c r="M11" s="336"/>
      <c r="N11" s="335"/>
      <c r="O11" s="16"/>
      <c r="P11" s="17">
        <f t="shared" ref="P11:P20" si="5">+N11-M11-O11</f>
        <v>0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0</v>
      </c>
      <c r="V11" s="20">
        <f t="shared" ref="V11:V20" si="8">IF(M11&gt;0,(P11+S11)+IF(U$5&gt;0,P11,-8),0)+IF(AE$5&gt;0,S11,0)</f>
        <v>0</v>
      </c>
      <c r="W11" s="337"/>
      <c r="X11" s="337"/>
      <c r="Y11" s="23"/>
      <c r="Z11" s="17">
        <f t="shared" ref="Z11:Z20" si="9">+X11-W11-Y11</f>
        <v>0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0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0</v>
      </c>
      <c r="AQ11" s="1298"/>
      <c r="AR11" s="1299">
        <f t="shared" ref="AR11:AR20" si="16">ROUND(BD11*AP11,1)</f>
        <v>0</v>
      </c>
      <c r="AS11" s="1300"/>
      <c r="AT11" s="338">
        <f t="shared" ref="AT11:AT24" si="17">IF(AT32&gt;0,AT32*$AT$10,0)</f>
        <v>0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0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866">
        <v>7</v>
      </c>
      <c r="N12" s="342">
        <v>20</v>
      </c>
      <c r="O12" s="30">
        <v>1</v>
      </c>
      <c r="P12" s="31">
        <f t="shared" si="5"/>
        <v>12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4</v>
      </c>
      <c r="W12" s="342">
        <v>7</v>
      </c>
      <c r="X12" s="342">
        <v>16</v>
      </c>
      <c r="Y12" s="30">
        <v>1</v>
      </c>
      <c r="Z12" s="31">
        <f t="shared" si="9"/>
        <v>8</v>
      </c>
      <c r="AA12" s="344"/>
      <c r="AB12" s="53"/>
      <c r="AC12" s="36">
        <f t="shared" si="10"/>
        <v>0</v>
      </c>
      <c r="AD12" s="30"/>
      <c r="AE12" s="32">
        <f t="shared" si="11"/>
        <v>8</v>
      </c>
      <c r="AF12" s="20">
        <f>IF(W12&gt;0,IF(AE$5&gt;0,(Z12+AC12)*2,(Z12+AC12-8)),0)*IF(Z12&lt;9,IF(AE$5&gt;0,1,2),1)+IF(Z12&gt;8,AC12,0)</f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10</v>
      </c>
      <c r="AQ12" s="1283"/>
      <c r="AR12" s="1284">
        <f t="shared" si="16"/>
        <v>51.3</v>
      </c>
      <c r="AS12" s="1285"/>
      <c r="AT12" s="345">
        <f t="shared" si="17"/>
        <v>24</v>
      </c>
      <c r="AV12" s="26">
        <f t="shared" si="18"/>
        <v>2</v>
      </c>
      <c r="AW12" s="26">
        <f t="shared" si="19"/>
        <v>4</v>
      </c>
      <c r="AX12" s="26">
        <f t="shared" si="20"/>
        <v>0</v>
      </c>
      <c r="AY12" s="27">
        <f t="shared" si="21"/>
        <v>0</v>
      </c>
      <c r="AZ12" s="26">
        <f t="shared" si="22"/>
        <v>2</v>
      </c>
      <c r="BA12" s="26">
        <f t="shared" si="23"/>
        <v>2</v>
      </c>
      <c r="BB12" s="26">
        <f t="shared" si="24"/>
        <v>0</v>
      </c>
      <c r="BC12" s="28"/>
      <c r="BD12" s="339">
        <f t="shared" si="25"/>
        <v>5.1339285714285712</v>
      </c>
      <c r="BE12" s="340">
        <f t="shared" si="26"/>
        <v>51.339285714285708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866">
        <v>12</v>
      </c>
      <c r="N13" s="342">
        <v>17</v>
      </c>
      <c r="O13" s="30">
        <v>1</v>
      </c>
      <c r="P13" s="31">
        <f t="shared" si="5"/>
        <v>4</v>
      </c>
      <c r="Q13" s="33"/>
      <c r="R13" s="346">
        <v>4</v>
      </c>
      <c r="S13" s="31">
        <f t="shared" si="6"/>
        <v>4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3"/>
        <v>0</v>
      </c>
      <c r="AN13" s="43"/>
      <c r="AO13" s="40">
        <f t="shared" si="14"/>
        <v>16</v>
      </c>
      <c r="AP13" s="1282">
        <f t="shared" si="15"/>
        <v>20</v>
      </c>
      <c r="AQ13" s="1283"/>
      <c r="AR13" s="1284">
        <f t="shared" si="16"/>
        <v>102.7</v>
      </c>
      <c r="AS13" s="1285"/>
      <c r="AT13" s="345">
        <f t="shared" si="17"/>
        <v>24</v>
      </c>
      <c r="AV13" s="26">
        <f t="shared" si="18"/>
        <v>2</v>
      </c>
      <c r="AW13" s="26">
        <f t="shared" si="19"/>
        <v>0</v>
      </c>
      <c r="AX13" s="26">
        <f t="shared" si="20"/>
        <v>1</v>
      </c>
      <c r="AY13" s="27">
        <f t="shared" si="21"/>
        <v>16</v>
      </c>
      <c r="AZ13" s="26">
        <f t="shared" si="22"/>
        <v>0</v>
      </c>
      <c r="BA13" s="26">
        <f t="shared" si="23"/>
        <v>1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102.67857142857142</v>
      </c>
      <c r="BF13" s="341">
        <f t="shared" si="27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20</v>
      </c>
      <c r="O14" s="42">
        <v>1</v>
      </c>
      <c r="P14" s="44">
        <f t="shared" si="5"/>
        <v>12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4</v>
      </c>
      <c r="W14" s="347">
        <v>7</v>
      </c>
      <c r="X14" s="346">
        <v>18</v>
      </c>
      <c r="Y14" s="42">
        <v>1</v>
      </c>
      <c r="Z14" s="44">
        <f t="shared" si="9"/>
        <v>10</v>
      </c>
      <c r="AA14" s="344"/>
      <c r="AB14" s="41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2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12</v>
      </c>
      <c r="AQ14" s="1283"/>
      <c r="AR14" s="1284">
        <f t="shared" si="16"/>
        <v>50</v>
      </c>
      <c r="AS14" s="1285"/>
      <c r="AT14" s="345">
        <f t="shared" si="17"/>
        <v>24</v>
      </c>
      <c r="AV14" s="26">
        <f t="shared" si="18"/>
        <v>2</v>
      </c>
      <c r="AW14" s="26">
        <f t="shared" si="19"/>
        <v>4</v>
      </c>
      <c r="AX14" s="26">
        <f t="shared" si="20"/>
        <v>2</v>
      </c>
      <c r="AY14" s="27">
        <f t="shared" si="21"/>
        <v>0</v>
      </c>
      <c r="AZ14" s="26">
        <f t="shared" si="22"/>
        <v>2</v>
      </c>
      <c r="BA14" s="26">
        <f t="shared" si="23"/>
        <v>2</v>
      </c>
      <c r="BB14" s="26">
        <f t="shared" si="24"/>
        <v>0</v>
      </c>
      <c r="BC14" s="28"/>
      <c r="BD14" s="339">
        <f t="shared" si="25"/>
        <v>4.1666785714285712</v>
      </c>
      <c r="BE14" s="340">
        <f t="shared" si="26"/>
        <v>50.000142857142855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866">
        <v>8</v>
      </c>
      <c r="N15" s="342">
        <v>18</v>
      </c>
      <c r="O15" s="30">
        <v>1</v>
      </c>
      <c r="P15" s="31">
        <f t="shared" si="5"/>
        <v>9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1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53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5</v>
      </c>
      <c r="AQ15" s="1295"/>
      <c r="AR15" s="1284">
        <f t="shared" si="16"/>
        <v>25.7</v>
      </c>
      <c r="AS15" s="1285"/>
      <c r="AT15" s="345">
        <f t="shared" si="17"/>
        <v>24</v>
      </c>
      <c r="AV15" s="26">
        <f t="shared" si="18"/>
        <v>1</v>
      </c>
      <c r="AW15" s="26">
        <f t="shared" si="19"/>
        <v>1</v>
      </c>
      <c r="AX15" s="26">
        <f t="shared" si="20"/>
        <v>0</v>
      </c>
      <c r="AY15" s="27">
        <f t="shared" si="21"/>
        <v>0</v>
      </c>
      <c r="AZ15" s="26">
        <f t="shared" si="22"/>
        <v>2</v>
      </c>
      <c r="BA15" s="26">
        <f t="shared" si="23"/>
        <v>1</v>
      </c>
      <c r="BB15" s="26">
        <f t="shared" si="24"/>
        <v>0</v>
      </c>
      <c r="BC15" s="28"/>
      <c r="BD15" s="339">
        <f t="shared" si="25"/>
        <v>5.1339285714285712</v>
      </c>
      <c r="BE15" s="349">
        <f t="shared" si="26"/>
        <v>25.669642857142854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-2</v>
      </c>
      <c r="AQ16" s="1283"/>
      <c r="AR16" s="1284">
        <f>ROUND(BD16*AP16,1)</f>
        <v>-10.3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-1</v>
      </c>
      <c r="AX16" s="26">
        <f>+AF16</f>
        <v>0</v>
      </c>
      <c r="AY16" s="27">
        <f>+AO16</f>
        <v>0</v>
      </c>
      <c r="AZ16" s="26">
        <f t="shared" si="22"/>
        <v>-1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/>
      <c r="AO18" s="40">
        <f>(AJ18*2+AM18)</f>
        <v>16</v>
      </c>
      <c r="AP18" s="1282">
        <f t="shared" si="15"/>
        <v>26</v>
      </c>
      <c r="AQ18" s="1283"/>
      <c r="AR18" s="1284">
        <f t="shared" si="16"/>
        <v>100.8</v>
      </c>
      <c r="AS18" s="1285"/>
      <c r="AT18" s="345">
        <f t="shared" si="17"/>
        <v>28</v>
      </c>
      <c r="AV18" s="26">
        <f t="shared" si="18"/>
        <v>2</v>
      </c>
      <c r="AW18" s="26">
        <f t="shared" si="19"/>
        <v>2</v>
      </c>
      <c r="AX18" s="26">
        <f t="shared" si="20"/>
        <v>2</v>
      </c>
      <c r="AY18" s="27">
        <f t="shared" si="21"/>
        <v>16</v>
      </c>
      <c r="AZ18" s="26">
        <f t="shared" si="22"/>
        <v>2</v>
      </c>
      <c r="BA18" s="26">
        <f t="shared" si="23"/>
        <v>2</v>
      </c>
      <c r="BB18" s="26">
        <f t="shared" si="24"/>
        <v>0</v>
      </c>
      <c r="BC18" s="28"/>
      <c r="BD18" s="339">
        <f>+I78</f>
        <v>3.8750035714285715</v>
      </c>
      <c r="BE18" s="349">
        <f t="shared" si="26"/>
        <v>100.75009285714286</v>
      </c>
      <c r="BF18" s="350">
        <f t="shared" si="27"/>
        <v>62.000057142857145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864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16</v>
      </c>
      <c r="E21" s="459">
        <v>1</v>
      </c>
      <c r="F21" s="460">
        <f>+D21-C21-E21</f>
        <v>8</v>
      </c>
      <c r="G21" s="459"/>
      <c r="H21" s="459"/>
      <c r="I21" s="460">
        <f>+H21-G21</f>
        <v>0</v>
      </c>
      <c r="J21" s="459"/>
      <c r="K21" s="32">
        <f t="shared" si="3"/>
        <v>8</v>
      </c>
      <c r="L21" s="461">
        <f>IF(C21&gt;0,(F21+I21)+IF(K$5&gt;0,F21,-8),0)+IF(U$5&gt;0,I21,0)</f>
        <v>0</v>
      </c>
      <c r="M21" s="865">
        <v>7</v>
      </c>
      <c r="N21" s="459">
        <v>18</v>
      </c>
      <c r="O21" s="459">
        <v>1</v>
      </c>
      <c r="P21" s="460">
        <f>+N21-M21-O21</f>
        <v>10</v>
      </c>
      <c r="Q21" s="459"/>
      <c r="R21" s="459"/>
      <c r="S21" s="460">
        <f>+R21-Q21</f>
        <v>0</v>
      </c>
      <c r="T21" s="459"/>
      <c r="U21" s="32">
        <f t="shared" si="7"/>
        <v>8</v>
      </c>
      <c r="V21" s="461">
        <f>IF(M21&gt;0,(P21+S21)+IF(U$5&gt;0,P21,-8),0)+IF(AE$5&gt;0,S21,0)</f>
        <v>2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2</v>
      </c>
      <c r="AG21" s="459">
        <v>7</v>
      </c>
      <c r="AH21" s="459">
        <v>16</v>
      </c>
      <c r="AI21" s="459">
        <v>1</v>
      </c>
      <c r="AJ21" s="38">
        <f>+AH21-AG21-AI21</f>
        <v>8</v>
      </c>
      <c r="AK21" s="459"/>
      <c r="AL21" s="459"/>
      <c r="AM21" s="460">
        <f>+AL21-AK21</f>
        <v>0</v>
      </c>
      <c r="AN21" s="725">
        <v>-8</v>
      </c>
      <c r="AO21" s="465">
        <f>(AJ21*2+AM21)</f>
        <v>16</v>
      </c>
      <c r="AP21" s="1290">
        <f t="shared" si="15"/>
        <v>32</v>
      </c>
      <c r="AQ21" s="1291"/>
      <c r="AR21" s="1292">
        <f>ROUND(BD21*AP21,1)</f>
        <v>124</v>
      </c>
      <c r="AS21" s="1293"/>
      <c r="AT21" s="488">
        <f t="shared" si="17"/>
        <v>28</v>
      </c>
      <c r="AV21" s="69">
        <f>+L21</f>
        <v>0</v>
      </c>
      <c r="AW21" s="69">
        <f>+V21</f>
        <v>2</v>
      </c>
      <c r="AX21" s="69">
        <f>+AF21</f>
        <v>2</v>
      </c>
      <c r="AY21" s="70">
        <f>+AO21</f>
        <v>16</v>
      </c>
      <c r="AZ21" s="69">
        <f>+L42</f>
        <v>2</v>
      </c>
      <c r="BA21" s="69">
        <f>+V42</f>
        <v>2</v>
      </c>
      <c r="BB21" s="69">
        <f>+AF42</f>
        <v>0</v>
      </c>
      <c r="BC21" s="28"/>
      <c r="BD21" s="339">
        <f>+I82</f>
        <v>3.875</v>
      </c>
      <c r="BE21" s="351">
        <f>+BD21*AP21</f>
        <v>124</v>
      </c>
      <c r="BF21" s="352">
        <f>+BD21*AY21</f>
        <v>62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3"/>
        <v>8</v>
      </c>
      <c r="L22" s="461">
        <f>IF(C22&gt;0,(F22+I22)+IF(K$5&gt;0,F22,-8),0)+IF(U$5&gt;0,I22,0)</f>
        <v>2</v>
      </c>
      <c r="M22" s="865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si="7"/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2</v>
      </c>
      <c r="AG22" s="459"/>
      <c r="AH22" s="459"/>
      <c r="AI22" s="459"/>
      <c r="AJ22" s="38">
        <f>+AH22-AG22-AI22</f>
        <v>0</v>
      </c>
      <c r="AK22" s="459"/>
      <c r="AL22" s="459"/>
      <c r="AM22" s="460">
        <f>+AL22-AK22</f>
        <v>0</v>
      </c>
      <c r="AN22" s="725">
        <v>-8</v>
      </c>
      <c r="AO22" s="465">
        <f>(AJ22*2+AM22)</f>
        <v>0</v>
      </c>
      <c r="AP22" s="1270">
        <f t="shared" si="15"/>
        <v>18</v>
      </c>
      <c r="AQ22" s="1271"/>
      <c r="AR22" s="1272">
        <f>ROUND(BD22*AP22,1)</f>
        <v>69.8</v>
      </c>
      <c r="AS22" s="1273"/>
      <c r="AT22" s="359">
        <f t="shared" si="17"/>
        <v>24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0</v>
      </c>
      <c r="AZ22" s="69">
        <f>+L43</f>
        <v>2</v>
      </c>
      <c r="BA22" s="69">
        <f>+V43</f>
        <v>2</v>
      </c>
      <c r="BB22" s="69">
        <f>+AF43</f>
        <v>0</v>
      </c>
      <c r="BC22" s="54"/>
      <c r="BD22" s="339">
        <f>+I83</f>
        <v>3.875</v>
      </c>
      <c r="BE22" s="351">
        <f>+BD22*AP22</f>
        <v>69.75</v>
      </c>
      <c r="BF22" s="352">
        <f>+BD22*AY22</f>
        <v>0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18</v>
      </c>
      <c r="O23" s="87">
        <v>1</v>
      </c>
      <c r="P23" s="88">
        <f>+N23-M23-O23</f>
        <v>10</v>
      </c>
      <c r="Q23" s="87"/>
      <c r="R23" s="87"/>
      <c r="S23" s="88">
        <f>+R23-Q23</f>
        <v>0</v>
      </c>
      <c r="T23" s="87"/>
      <c r="U23" s="121">
        <f>+S23+P23-V23</f>
        <v>8</v>
      </c>
      <c r="V23" s="89">
        <f>IF(M23&gt;0,(P23+S23)+IF(U$5&gt;0,P23,-8),0)+IF(AE$5&gt;0,S23,0)</f>
        <v>2</v>
      </c>
      <c r="W23" s="87">
        <v>7</v>
      </c>
      <c r="X23" s="87">
        <v>18</v>
      </c>
      <c r="Y23" s="87">
        <v>1</v>
      </c>
      <c r="Z23" s="88">
        <f>+X23-W23-Y23</f>
        <v>10</v>
      </c>
      <c r="AA23" s="87"/>
      <c r="AB23" s="91"/>
      <c r="AC23" s="88">
        <f>+AB23-AA23</f>
        <v>0</v>
      </c>
      <c r="AD23" s="87"/>
      <c r="AE23" s="121">
        <f>+AC23+Z23-IF(AE$5&gt;0,AF23/2,AF23)</f>
        <v>8</v>
      </c>
      <c r="AF23" s="89">
        <f t="shared" si="28"/>
        <v>2</v>
      </c>
      <c r="AG23" s="87">
        <v>7</v>
      </c>
      <c r="AH23" s="87">
        <v>16</v>
      </c>
      <c r="AI23" s="87">
        <v>1</v>
      </c>
      <c r="AJ23" s="829">
        <f t="shared" si="12"/>
        <v>8</v>
      </c>
      <c r="AK23" s="87"/>
      <c r="AL23" s="87"/>
      <c r="AM23" s="88">
        <f>+AL23-AK23</f>
        <v>0</v>
      </c>
      <c r="AN23" s="830"/>
      <c r="AO23" s="94">
        <f>(AJ23*2+AM23)</f>
        <v>16</v>
      </c>
      <c r="AP23" s="1274">
        <f t="shared" si="15"/>
        <v>26</v>
      </c>
      <c r="AQ23" s="1275"/>
      <c r="AR23" s="1276">
        <f>ROUND(BD23*AP23,1)</f>
        <v>100.8</v>
      </c>
      <c r="AS23" s="1277"/>
      <c r="AT23" s="537">
        <f t="shared" si="17"/>
        <v>28</v>
      </c>
      <c r="AU23" s="55"/>
      <c r="AV23" s="538">
        <f>+L23</f>
        <v>2</v>
      </c>
      <c r="AW23" s="538">
        <f>+V23</f>
        <v>2</v>
      </c>
      <c r="AX23" s="538">
        <f>+AF23</f>
        <v>2</v>
      </c>
      <c r="AY23" s="538">
        <f>+AO23</f>
        <v>16</v>
      </c>
      <c r="AZ23" s="538">
        <f>+L44</f>
        <v>2</v>
      </c>
      <c r="BA23" s="538">
        <f>+V44</f>
        <v>2</v>
      </c>
      <c r="BB23" s="538">
        <f>+AF44</f>
        <v>0</v>
      </c>
      <c r="BC23" s="28"/>
      <c r="BD23" s="539">
        <f>+I81</f>
        <v>3.875</v>
      </c>
      <c r="BE23" s="539">
        <f>+BD23*AP23</f>
        <v>100.75</v>
      </c>
      <c r="BF23" s="539">
        <f>+BD23*AY23</f>
        <v>62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614.66987857142863</v>
      </c>
      <c r="BF25" s="1242">
        <f>SUM(BF11:BF24)</f>
        <v>268.14291428571426</v>
      </c>
    </row>
    <row r="26" spans="1:58" ht="10.9" customHeight="1">
      <c r="B26" s="1244" t="s">
        <v>1</v>
      </c>
      <c r="C26" s="1140">
        <f>1+AG5</f>
        <v>43276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43277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43278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43272</v>
      </c>
      <c r="AJ26" s="1218">
        <f t="shared" ref="AJ26:AO26" si="29">1+AI26</f>
        <v>43273</v>
      </c>
      <c r="AK26" s="1218">
        <f t="shared" si="29"/>
        <v>43274</v>
      </c>
      <c r="AL26" s="1219">
        <f t="shared" si="29"/>
        <v>43275</v>
      </c>
      <c r="AM26" s="1219">
        <f t="shared" si="29"/>
        <v>43276</v>
      </c>
      <c r="AN26" s="1220">
        <f t="shared" si="29"/>
        <v>43277</v>
      </c>
      <c r="AO26" s="1220">
        <f t="shared" si="29"/>
        <v>43278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43275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131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67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/>
      <c r="D32" s="342"/>
      <c r="E32" s="30"/>
      <c r="F32" s="31">
        <f t="shared" ref="F32:F45" si="31">+D32-C32-E32</f>
        <v>0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0</v>
      </c>
      <c r="L32" s="20">
        <f>IF(C32&gt;0,(F32+I32)+IF(K$26&gt;0,F32,-8),0)+IF(U$26&gt;0,I32,0)</f>
        <v>0</v>
      </c>
      <c r="M32" s="342"/>
      <c r="N32" s="342"/>
      <c r="O32" s="30"/>
      <c r="P32" s="31">
        <f t="shared" ref="P32:P45" si="34">+N32-M32-O32</f>
        <v>0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0</v>
      </c>
      <c r="V32" s="20">
        <f>IF(M32&gt;0,(P32+S32)+IF(U$26&gt;0,P32,-8),0)+IF(AE$26&gt;0,S32,0)</f>
        <v>0</v>
      </c>
      <c r="W32" s="369"/>
      <c r="X32" s="370"/>
      <c r="Y32" s="108"/>
      <c r="Z32" s="109">
        <f t="shared" ref="Z32:Z45" si="37">+X32-W32-Y32</f>
        <v>0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0</v>
      </c>
      <c r="AF32" s="20">
        <f>IF(W32&gt;0,(Z32+AC32)+IF(AE$26&gt;0,Z32,-8),0)+IF(AO$26&gt;0,AC32,0)</f>
        <v>0</v>
      </c>
      <c r="AG32" s="55"/>
      <c r="AH32" s="112">
        <v>0</v>
      </c>
      <c r="AI32" s="113">
        <f t="shared" ref="AI32:AI45" si="40">+K11+(IF(ISBLANK($K$5),-8,0))</f>
        <v>-8</v>
      </c>
      <c r="AJ32" s="113">
        <f t="shared" ref="AJ32:AJ45" si="41">IF(ISBLANK($U$5),-8,0)+U11</f>
        <v>-8</v>
      </c>
      <c r="AK32" s="113">
        <f>IF(ISBLANK($AE$5),-8,0)+AE11</f>
        <v>-8</v>
      </c>
      <c r="AL32" s="113">
        <f t="shared" ref="AL32:AL45" si="42">IF(ISBLANK($AO$5),-8,0)+AO11+AW32</f>
        <v>0</v>
      </c>
      <c r="AM32" s="113">
        <f t="shared" ref="AM32:AM45" si="43">IF(ISBLANK($K$26),-8,0)+K32</f>
        <v>-8</v>
      </c>
      <c r="AN32" s="113">
        <f t="shared" ref="AN32:AN45" si="44">IF(ISBLANK($U$26),-8,0)+U32</f>
        <v>-8</v>
      </c>
      <c r="AO32" s="113">
        <f t="shared" ref="AO32:AO45" si="45">IF(ISBLANK($AE$26),-8,0)+AE32</f>
        <v>-8</v>
      </c>
      <c r="AP32" s="114">
        <f t="shared" ref="AP32:AP45" si="46">SUM(AH32:AO32)</f>
        <v>-48</v>
      </c>
      <c r="AQ32" s="55"/>
      <c r="AR32" s="1159">
        <f t="shared" ref="AR32:AR40" si="47">+X71*Q71</f>
        <v>0</v>
      </c>
      <c r="AS32" s="1197"/>
      <c r="AT32" s="117">
        <f t="shared" ref="AT32:AT43" si="48">IF(K11+L11&gt;0,1,0)+IF(U11+V11&gt;0,1,0)+IF(AE11+AF11&gt;0,1,0)+IF(AO11&gt;3,1,0)+IF(K32+L32&gt;0,1,0)+IF(U32+V32&gt;0,1,0)+IF(AE32+AF32&gt;0,1,0)</f>
        <v>0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18</v>
      </c>
      <c r="E33" s="30">
        <v>1</v>
      </c>
      <c r="F33" s="31">
        <f t="shared" si="31"/>
        <v>10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2</v>
      </c>
      <c r="M33" s="342">
        <v>7</v>
      </c>
      <c r="N33" s="342">
        <v>18</v>
      </c>
      <c r="O33" s="30">
        <v>1</v>
      </c>
      <c r="P33" s="31">
        <f t="shared" si="34"/>
        <v>10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>IF(M33&gt;0,(P33+S33)+IF(U$26&gt;0,P33,-8),0)+IF(AE$26&gt;0,S33,0)</f>
        <v>2</v>
      </c>
      <c r="W33" s="334">
        <v>7</v>
      </c>
      <c r="X33" s="342">
        <v>16</v>
      </c>
      <c r="Y33" s="30">
        <v>1</v>
      </c>
      <c r="Z33" s="31">
        <f t="shared" si="37"/>
        <v>8</v>
      </c>
      <c r="AA33" s="342"/>
      <c r="AB33" s="346"/>
      <c r="AC33" s="31">
        <f t="shared" si="38"/>
        <v>0</v>
      </c>
      <c r="AD33" s="30"/>
      <c r="AE33" s="32">
        <f t="shared" si="39"/>
        <v>8</v>
      </c>
      <c r="AF33" s="20">
        <f t="shared" ref="AF33:AF45" si="49">IF(W33&gt;0,(Z33+AC33)+IF(AE$26&gt;0,0+Z33,-8),0)</f>
        <v>0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0</v>
      </c>
      <c r="AL33" s="113">
        <f t="shared" si="42"/>
        <v>0</v>
      </c>
      <c r="AM33" s="113">
        <f t="shared" si="43"/>
        <v>0</v>
      </c>
      <c r="AN33" s="113">
        <f t="shared" si="44"/>
        <v>0</v>
      </c>
      <c r="AO33" s="113">
        <f t="shared" si="45"/>
        <v>0</v>
      </c>
      <c r="AP33" s="114">
        <f t="shared" si="46"/>
        <v>0</v>
      </c>
      <c r="AQ33" s="55"/>
      <c r="AR33" s="1159">
        <f t="shared" si="47"/>
        <v>0</v>
      </c>
      <c r="AS33" s="1160"/>
      <c r="AT33" s="117">
        <f t="shared" si="48"/>
        <v>6</v>
      </c>
      <c r="AU33" s="55"/>
      <c r="AV33" s="55"/>
      <c r="AW33" s="1134"/>
      <c r="AX33" s="1135"/>
    </row>
    <row r="34" spans="1:56" ht="14.1" customHeight="1">
      <c r="B34" s="29" t="str">
        <f t="shared" si="30"/>
        <v>Miguel Tejada Ll.</v>
      </c>
      <c r="C34" s="334">
        <v>12</v>
      </c>
      <c r="D34" s="342">
        <v>17</v>
      </c>
      <c r="E34" s="30">
        <v>1</v>
      </c>
      <c r="F34" s="31">
        <f t="shared" si="31"/>
        <v>4</v>
      </c>
      <c r="G34" s="346"/>
      <c r="H34" s="346">
        <v>4</v>
      </c>
      <c r="I34" s="31">
        <f t="shared" si="32"/>
        <v>4</v>
      </c>
      <c r="J34" s="30"/>
      <c r="K34" s="32">
        <f t="shared" si="33"/>
        <v>8</v>
      </c>
      <c r="L34" s="20">
        <f t="shared" ref="L34:L45" si="50">IF(C34&gt;0,(F34+I34)+IF(K$26&gt;0,F34,-8),0)+IF(U$26&gt;0,I34,0)</f>
        <v>0</v>
      </c>
      <c r="M34" s="334">
        <v>7</v>
      </c>
      <c r="N34" s="342">
        <v>17</v>
      </c>
      <c r="O34" s="30">
        <v>1</v>
      </c>
      <c r="P34" s="31">
        <f t="shared" si="34"/>
        <v>9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ref="V34:V45" si="51">IF(M34&gt;0,(P34+S34)+IF(U$26&gt;0,P34,-8),0)+IF(AE$26&gt;0,S34,0)</f>
        <v>1</v>
      </c>
      <c r="W34" s="334"/>
      <c r="X34" s="342"/>
      <c r="Y34" s="30"/>
      <c r="Z34" s="31">
        <f t="shared" si="37"/>
        <v>0</v>
      </c>
      <c r="AA34" s="342"/>
      <c r="AB34" s="116"/>
      <c r="AC34" s="31">
        <f t="shared" si="38"/>
        <v>0</v>
      </c>
      <c r="AD34" s="30"/>
      <c r="AE34" s="32">
        <f t="shared" si="39"/>
        <v>0</v>
      </c>
      <c r="AF34" s="20">
        <f t="shared" si="49"/>
        <v>0</v>
      </c>
      <c r="AG34" s="55"/>
      <c r="AH34" s="112">
        <v>0</v>
      </c>
      <c r="AI34" s="113">
        <f t="shared" si="40"/>
        <v>0</v>
      </c>
      <c r="AJ34" s="113">
        <f t="shared" si="41"/>
        <v>0</v>
      </c>
      <c r="AK34" s="113">
        <f>IF(ISBLANK($AE$5),-8,0)+AE13</f>
        <v>0</v>
      </c>
      <c r="AL34" s="113">
        <f t="shared" si="42"/>
        <v>0</v>
      </c>
      <c r="AM34" s="113">
        <f t="shared" si="43"/>
        <v>0</v>
      </c>
      <c r="AN34" s="113">
        <f t="shared" si="44"/>
        <v>0</v>
      </c>
      <c r="AO34" s="113">
        <f t="shared" si="45"/>
        <v>-8</v>
      </c>
      <c r="AP34" s="114">
        <f t="shared" si="46"/>
        <v>-8</v>
      </c>
      <c r="AQ34" s="55"/>
      <c r="AR34" s="1159">
        <f t="shared" si="47"/>
        <v>0</v>
      </c>
      <c r="AS34" s="1160"/>
      <c r="AT34" s="118">
        <f t="shared" si="48"/>
        <v>6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18</v>
      </c>
      <c r="E35" s="119">
        <v>1</v>
      </c>
      <c r="F35" s="120">
        <f t="shared" si="31"/>
        <v>10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2</v>
      </c>
      <c r="M35" s="342">
        <v>7</v>
      </c>
      <c r="N35" s="342">
        <v>18</v>
      </c>
      <c r="O35" s="30">
        <v>1</v>
      </c>
      <c r="P35" s="31">
        <f t="shared" si="34"/>
        <v>10</v>
      </c>
      <c r="Q35" s="346"/>
      <c r="R35" s="346"/>
      <c r="S35" s="120">
        <f t="shared" si="35"/>
        <v>0</v>
      </c>
      <c r="T35" s="30"/>
      <c r="U35" s="32">
        <f t="shared" si="36"/>
        <v>8</v>
      </c>
      <c r="V35" s="20">
        <f t="shared" si="51"/>
        <v>2</v>
      </c>
      <c r="W35" s="334">
        <v>7</v>
      </c>
      <c r="X35" s="342">
        <v>16</v>
      </c>
      <c r="Y35" s="30">
        <v>1</v>
      </c>
      <c r="Z35" s="31">
        <f t="shared" si="37"/>
        <v>8</v>
      </c>
      <c r="AA35" s="342"/>
      <c r="AB35" s="342"/>
      <c r="AC35" s="31">
        <f t="shared" si="38"/>
        <v>0</v>
      </c>
      <c r="AD35" s="30"/>
      <c r="AE35" s="32">
        <f t="shared" si="39"/>
        <v>8</v>
      </c>
      <c r="AF35" s="20">
        <f t="shared" si="49"/>
        <v>0</v>
      </c>
      <c r="AG35" s="55"/>
      <c r="AH35" s="112">
        <v>0</v>
      </c>
      <c r="AI35" s="113">
        <f t="shared" si="40"/>
        <v>0</v>
      </c>
      <c r="AJ35" s="113">
        <f t="shared" si="41"/>
        <v>0</v>
      </c>
      <c r="AK35" s="113">
        <f>IF(ISBLANK($AE$5),-8,0)+AE14</f>
        <v>0</v>
      </c>
      <c r="AL35" s="113">
        <f t="shared" si="42"/>
        <v>0</v>
      </c>
      <c r="AM35" s="113">
        <f t="shared" si="43"/>
        <v>0</v>
      </c>
      <c r="AN35" s="113">
        <f t="shared" si="44"/>
        <v>0</v>
      </c>
      <c r="AO35" s="113">
        <f t="shared" si="45"/>
        <v>0</v>
      </c>
      <c r="AP35" s="114">
        <f t="shared" si="46"/>
        <v>0</v>
      </c>
      <c r="AQ35" s="55"/>
      <c r="AR35" s="1159">
        <f t="shared" si="47"/>
        <v>0</v>
      </c>
      <c r="AS35" s="1160"/>
      <c r="AT35" s="118">
        <f t="shared" si="48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7</v>
      </c>
      <c r="D36" s="342">
        <v>18</v>
      </c>
      <c r="E36" s="30">
        <v>1</v>
      </c>
      <c r="F36" s="31">
        <f t="shared" si="31"/>
        <v>10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2</v>
      </c>
      <c r="M36" s="342">
        <v>8</v>
      </c>
      <c r="N36" s="342">
        <v>18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51"/>
        <v>1</v>
      </c>
      <c r="W36" s="334">
        <v>7</v>
      </c>
      <c r="X36" s="342">
        <v>16</v>
      </c>
      <c r="Y36" s="30">
        <v>1</v>
      </c>
      <c r="Z36" s="31">
        <f t="shared" si="37"/>
        <v>8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9"/>
        <v>0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</v>
      </c>
      <c r="AL36" s="113">
        <f t="shared" si="42"/>
        <v>0</v>
      </c>
      <c r="AM36" s="113">
        <f t="shared" si="43"/>
        <v>0</v>
      </c>
      <c r="AN36" s="113">
        <f t="shared" si="44"/>
        <v>0</v>
      </c>
      <c r="AO36" s="113">
        <f t="shared" si="45"/>
        <v>0</v>
      </c>
      <c r="AP36" s="114">
        <f t="shared" si="46"/>
        <v>0</v>
      </c>
      <c r="AQ36" s="55"/>
      <c r="AR36" s="1159">
        <f t="shared" si="47"/>
        <v>0</v>
      </c>
      <c r="AS36" s="1160"/>
      <c r="AT36" s="118">
        <f t="shared" si="48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8</v>
      </c>
      <c r="D37" s="342">
        <v>16</v>
      </c>
      <c r="E37" s="30">
        <v>1</v>
      </c>
      <c r="F37" s="31">
        <f>+D37-C37-E37</f>
        <v>7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-1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1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9"/>
        <v>0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7"/>
        <v>0</v>
      </c>
      <c r="AS37" s="1160"/>
      <c r="AT37" s="118">
        <f t="shared" si="48"/>
        <v>6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-8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-48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2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346"/>
      <c r="R39" s="346"/>
      <c r="S39" s="31">
        <f t="shared" si="35"/>
        <v>0</v>
      </c>
      <c r="T39" s="30"/>
      <c r="U39" s="32">
        <f t="shared" si="36"/>
        <v>8</v>
      </c>
      <c r="V39" s="20">
        <f t="shared" si="51"/>
        <v>2</v>
      </c>
      <c r="W39" s="334">
        <v>7</v>
      </c>
      <c r="X39" s="342">
        <v>16</v>
      </c>
      <c r="Y39" s="30">
        <v>1</v>
      </c>
      <c r="Z39" s="31">
        <f t="shared" si="37"/>
        <v>8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9"/>
        <v>0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</v>
      </c>
      <c r="AL39" s="113">
        <f t="shared" si="42"/>
        <v>0</v>
      </c>
      <c r="AM39" s="125">
        <f t="shared" si="43"/>
        <v>0</v>
      </c>
      <c r="AN39" s="125">
        <f t="shared" si="44"/>
        <v>0</v>
      </c>
      <c r="AO39" s="125">
        <f t="shared" si="45"/>
        <v>0</v>
      </c>
      <c r="AP39" s="114">
        <f t="shared" si="46"/>
        <v>0</v>
      </c>
      <c r="AQ39" s="55"/>
      <c r="AR39" s="1159">
        <f t="shared" si="47"/>
        <v>0</v>
      </c>
      <c r="AS39" s="1160"/>
      <c r="AT39" s="118">
        <f t="shared" si="48"/>
        <v>7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-8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-48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-8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-48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16</v>
      </c>
      <c r="Y42" s="719">
        <v>1</v>
      </c>
      <c r="Z42" s="720">
        <f>+X42-W42-Y42</f>
        <v>8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0</v>
      </c>
      <c r="AG42" s="55"/>
      <c r="AH42" s="143">
        <v>0</v>
      </c>
      <c r="AI42" s="144">
        <f t="shared" si="40"/>
        <v>0</v>
      </c>
      <c r="AJ42" s="144">
        <f t="shared" si="41"/>
        <v>0</v>
      </c>
      <c r="AK42" s="144">
        <f t="shared" si="52"/>
        <v>0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0</v>
      </c>
      <c r="AQ42" s="55"/>
      <c r="AR42" s="1159">
        <f>+X82*Q82</f>
        <v>0</v>
      </c>
      <c r="AS42" s="1160"/>
      <c r="AT42" s="118">
        <f t="shared" si="48"/>
        <v>7</v>
      </c>
      <c r="AU42" s="55"/>
      <c r="AV42" s="55"/>
      <c r="AW42" s="1185">
        <v>-16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16</v>
      </c>
      <c r="Y43" s="719">
        <v>1</v>
      </c>
      <c r="Z43" s="720">
        <f>+X43-W43-Y43</f>
        <v>8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0</v>
      </c>
      <c r="AG43" s="55"/>
      <c r="AH43" s="127">
        <v>0</v>
      </c>
      <c r="AI43" s="113">
        <f t="shared" si="40"/>
        <v>0</v>
      </c>
      <c r="AJ43" s="113">
        <f t="shared" si="41"/>
        <v>0</v>
      </c>
      <c r="AK43" s="128">
        <f t="shared" si="52"/>
        <v>0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0</v>
      </c>
      <c r="AQ43" s="55"/>
      <c r="AR43" s="1159"/>
      <c r="AS43" s="1160"/>
      <c r="AT43" s="118">
        <f t="shared" si="48"/>
        <v>6</v>
      </c>
      <c r="AU43" s="55"/>
      <c r="AV43" s="55"/>
      <c r="AW43" s="1134"/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2</v>
      </c>
      <c r="M44" s="719">
        <v>7</v>
      </c>
      <c r="N44" s="719">
        <v>18</v>
      </c>
      <c r="O44" s="719">
        <v>1</v>
      </c>
      <c r="P44" s="720">
        <f t="shared" si="34"/>
        <v>10</v>
      </c>
      <c r="Q44" s="721"/>
      <c r="R44" s="721"/>
      <c r="S44" s="720">
        <f t="shared" si="35"/>
        <v>0</v>
      </c>
      <c r="T44" s="719"/>
      <c r="U44" s="32">
        <f t="shared" si="36"/>
        <v>8</v>
      </c>
      <c r="V44" s="722">
        <f t="shared" si="51"/>
        <v>2</v>
      </c>
      <c r="W44" s="723">
        <v>7</v>
      </c>
      <c r="X44" s="719">
        <v>16</v>
      </c>
      <c r="Y44" s="719">
        <v>1</v>
      </c>
      <c r="Z44" s="720">
        <f t="shared" si="37"/>
        <v>8</v>
      </c>
      <c r="AA44" s="719"/>
      <c r="AB44" s="724"/>
      <c r="AC44" s="720">
        <f t="shared" si="38"/>
        <v>0</v>
      </c>
      <c r="AD44" s="719"/>
      <c r="AE44" s="32">
        <f t="shared" si="39"/>
        <v>8</v>
      </c>
      <c r="AF44" s="722">
        <f t="shared" si="49"/>
        <v>0</v>
      </c>
      <c r="AG44" s="55"/>
      <c r="AH44" s="490">
        <v>0</v>
      </c>
      <c r="AI44" s="527">
        <f t="shared" si="40"/>
        <v>0</v>
      </c>
      <c r="AJ44" s="527">
        <f t="shared" si="41"/>
        <v>0</v>
      </c>
      <c r="AK44" s="527">
        <f t="shared" si="52"/>
        <v>0</v>
      </c>
      <c r="AL44" s="527">
        <f t="shared" si="42"/>
        <v>0</v>
      </c>
      <c r="AM44" s="527">
        <f t="shared" si="43"/>
        <v>0</v>
      </c>
      <c r="AN44" s="527">
        <f t="shared" si="44"/>
        <v>0</v>
      </c>
      <c r="AO44" s="527">
        <f t="shared" si="45"/>
        <v>0</v>
      </c>
      <c r="AP44" s="492">
        <f t="shared" si="46"/>
        <v>0</v>
      </c>
      <c r="AQ44" s="55"/>
      <c r="AR44" s="1187">
        <f>+X81*Q81</f>
        <v>0</v>
      </c>
      <c r="AS44" s="1188"/>
      <c r="AT44" s="528">
        <f>IF(K23+L23&gt;0,1,0)+IF(U23+V23&gt;0,1,0)+IF(AE23+AF23&gt;0,1,0)+IF(AO23&gt;3,1,0)+IF(K44+L44&gt;0,1,0)+IF(U44+V44&gt;0,1,0)+IF(AE44+AF44&gt;0,1,0)+AV44</f>
        <v>7</v>
      </c>
      <c r="AU44" s="55"/>
      <c r="AV44" s="55"/>
      <c r="AW44" s="1189">
        <v>-16</v>
      </c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-8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147</v>
      </c>
      <c r="AS46" s="1162"/>
      <c r="AT46" s="167">
        <f>SUM(AT32:AT45)</f>
        <v>57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64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43272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43273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43274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43275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43276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43277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43278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868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0</v>
      </c>
      <c r="V71" s="239">
        <v>48</v>
      </c>
      <c r="W71" s="240">
        <f t="shared" ref="W71:W86" si="59">+V71-U71</f>
        <v>48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48</v>
      </c>
      <c r="V72" s="239">
        <v>48</v>
      </c>
      <c r="W72" s="240">
        <f t="shared" si="59"/>
        <v>0</v>
      </c>
      <c r="X72" s="241">
        <f t="shared" si="60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56</v>
      </c>
      <c r="V73" s="239">
        <v>48</v>
      </c>
      <c r="W73" s="240">
        <f t="shared" si="59"/>
        <v>-8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48</v>
      </c>
      <c r="V74" s="239">
        <v>48</v>
      </c>
      <c r="W74" s="240">
        <f t="shared" si="59"/>
        <v>0</v>
      </c>
      <c r="X74" s="241">
        <f t="shared" si="60"/>
        <v>0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48</v>
      </c>
      <c r="V75" s="239">
        <v>48</v>
      </c>
      <c r="W75" s="240">
        <f t="shared" si="59"/>
        <v>0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45</v>
      </c>
      <c r="V76" s="239">
        <v>48</v>
      </c>
      <c r="W76" s="240">
        <f>+V76-U76</f>
        <v>3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862"/>
      <c r="AA77" s="862"/>
      <c r="AB77" s="862"/>
      <c r="AC77" s="862"/>
      <c r="AD77" s="862"/>
      <c r="AE77" s="386"/>
      <c r="AF77" s="386"/>
      <c r="AG77" s="863"/>
      <c r="AH77" s="863"/>
      <c r="AI77" s="393"/>
      <c r="AJ77" s="393"/>
      <c r="AK77" s="393"/>
      <c r="AL77" s="393"/>
      <c r="AM77" s="863"/>
      <c r="AN77" s="863"/>
      <c r="AO77" s="863"/>
      <c r="AP77" s="863"/>
      <c r="AQ77" s="863"/>
      <c r="AR77" s="863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868"/>
      <c r="T78" s="868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868"/>
      <c r="Z78" s="862"/>
      <c r="AA78" s="862"/>
      <c r="AB78" s="862"/>
      <c r="AC78" s="862"/>
      <c r="AD78" s="862"/>
      <c r="AE78" s="386"/>
      <c r="AF78" s="386"/>
      <c r="AG78" s="863"/>
      <c r="AH78" s="863"/>
      <c r="AI78" s="393"/>
      <c r="AJ78" s="393"/>
      <c r="AK78" s="393"/>
      <c r="AL78" s="393"/>
      <c r="AM78" s="863"/>
      <c r="AN78" s="863"/>
      <c r="AO78" s="863"/>
      <c r="AP78" s="863"/>
      <c r="AQ78" s="863"/>
      <c r="AR78" s="863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48</v>
      </c>
      <c r="V79" s="239">
        <v>48</v>
      </c>
      <c r="W79" s="240">
        <f>+V79-U79</f>
        <v>0</v>
      </c>
      <c r="X79" s="241">
        <f t="shared" si="60"/>
        <v>0</v>
      </c>
      <c r="Z79" s="246"/>
      <c r="AA79" s="246"/>
      <c r="AB79" s="862"/>
      <c r="AC79" s="862"/>
      <c r="AD79" s="862"/>
      <c r="AE79" s="386"/>
      <c r="AF79" s="386"/>
      <c r="AG79" s="863"/>
      <c r="AH79" s="863"/>
      <c r="AI79" s="863"/>
      <c r="AJ79" s="863"/>
      <c r="AK79" s="863"/>
      <c r="AL79" s="863"/>
      <c r="AM79" s="863"/>
      <c r="AN79" s="863"/>
      <c r="AO79" s="863"/>
      <c r="AP79" s="863"/>
      <c r="AQ79" s="863"/>
      <c r="AR79" s="863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862"/>
      <c r="AC80" s="862"/>
      <c r="AD80" s="862"/>
      <c r="AE80" s="386"/>
      <c r="AF80" s="386"/>
      <c r="AG80" s="863"/>
      <c r="AH80" s="863"/>
      <c r="AI80" s="863"/>
      <c r="AJ80" s="863"/>
      <c r="AK80" s="863"/>
      <c r="AL80" s="863"/>
      <c r="AM80" s="863"/>
      <c r="AN80" s="863"/>
      <c r="AO80" s="863"/>
      <c r="AP80" s="863"/>
      <c r="AQ80" s="863"/>
      <c r="AR80" s="863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64</v>
      </c>
      <c r="V81" s="239">
        <v>48</v>
      </c>
      <c r="W81" s="240">
        <f>+V81-U81</f>
        <v>-16</v>
      </c>
      <c r="X81" s="241">
        <f>+J23+T23+AD23+J44+T44+AD44</f>
        <v>0</v>
      </c>
      <c r="Z81" s="246"/>
      <c r="AA81" s="246"/>
      <c r="AB81" s="862"/>
      <c r="AC81" s="862"/>
      <c r="AD81" s="862"/>
      <c r="AE81" s="386"/>
      <c r="AF81" s="386"/>
      <c r="AG81" s="863"/>
      <c r="AH81" s="863"/>
      <c r="AI81" s="863"/>
      <c r="AJ81" s="863"/>
      <c r="AK81" s="393"/>
      <c r="AL81" s="393"/>
      <c r="AM81" s="863"/>
      <c r="AN81" s="863"/>
      <c r="AO81" s="863"/>
      <c r="AP81" s="863"/>
      <c r="AQ81" s="863"/>
      <c r="AR81" s="863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48</v>
      </c>
      <c r="V82" s="239">
        <v>48</v>
      </c>
      <c r="W82" s="240">
        <f t="shared" si="59"/>
        <v>0</v>
      </c>
      <c r="X82" s="241">
        <f>+J21+T21+AD21+J42+T42+AD42</f>
        <v>0</v>
      </c>
      <c r="Z82" s="246"/>
      <c r="AA82" s="246"/>
      <c r="AB82" s="862"/>
      <c r="AC82" s="862"/>
      <c r="AD82" s="862"/>
      <c r="AE82" s="386"/>
      <c r="AF82" s="386"/>
      <c r="AG82" s="863"/>
      <c r="AH82" s="863"/>
      <c r="AI82" s="863"/>
      <c r="AJ82" s="863"/>
      <c r="AK82" s="863"/>
      <c r="AL82" s="863"/>
      <c r="AM82" s="863"/>
      <c r="AN82" s="863"/>
      <c r="AO82" s="863"/>
      <c r="AP82" s="863"/>
      <c r="AQ82" s="863"/>
      <c r="AR82" s="863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862"/>
      <c r="AC83" s="862"/>
      <c r="AD83" s="862"/>
      <c r="AE83" s="386"/>
      <c r="AF83" s="386"/>
      <c r="AG83" s="863"/>
      <c r="AH83" s="863"/>
      <c r="AI83" s="863"/>
      <c r="AJ83" s="863"/>
      <c r="AK83" s="863"/>
      <c r="AL83" s="863"/>
      <c r="AM83" s="863"/>
      <c r="AN83" s="863"/>
      <c r="AO83" s="863"/>
      <c r="AP83" s="863"/>
      <c r="AQ83" s="863"/>
      <c r="AR83" s="863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862"/>
      <c r="AC84" s="862"/>
      <c r="AD84" s="862"/>
      <c r="AE84" s="386"/>
      <c r="AF84" s="386"/>
      <c r="AG84" s="863"/>
      <c r="AH84" s="863"/>
      <c r="AI84" s="863"/>
      <c r="AJ84" s="863"/>
      <c r="AK84" s="851"/>
      <c r="AL84" s="851"/>
      <c r="AM84" s="851"/>
      <c r="AN84" s="851"/>
      <c r="AO84" s="851"/>
      <c r="AP84" s="851"/>
      <c r="AQ84" s="851"/>
      <c r="AR84" s="851"/>
      <c r="AS84" s="386"/>
      <c r="AT84" s="386"/>
    </row>
    <row r="85" spans="1:46" ht="16.5">
      <c r="A85" s="247"/>
      <c r="B85" s="250" t="s">
        <v>147</v>
      </c>
      <c r="C85" s="854"/>
      <c r="D85" s="855"/>
      <c r="E85" s="856"/>
      <c r="F85" s="857"/>
      <c r="G85" s="858"/>
      <c r="H85" s="859"/>
      <c r="I85" s="856"/>
      <c r="J85" s="857"/>
      <c r="K85" s="869"/>
      <c r="L85" s="870"/>
      <c r="M85" s="5"/>
      <c r="N85" s="860"/>
      <c r="O85" s="861"/>
      <c r="P85" s="5"/>
      <c r="Q85" s="852"/>
      <c r="R85" s="853"/>
      <c r="U85" s="238"/>
      <c r="V85" s="239"/>
      <c r="W85" s="240"/>
      <c r="X85" s="241"/>
      <c r="Z85" s="246"/>
      <c r="AA85" s="246"/>
      <c r="AB85" s="862"/>
      <c r="AC85" s="862"/>
      <c r="AD85" s="862"/>
      <c r="AE85" s="386"/>
      <c r="AF85" s="386"/>
      <c r="AG85" s="863"/>
      <c r="AH85" s="863"/>
      <c r="AI85" s="863"/>
      <c r="AJ85" s="863"/>
      <c r="AK85" s="851"/>
      <c r="AL85" s="851"/>
      <c r="AM85" s="851"/>
      <c r="AN85" s="851"/>
      <c r="AO85" s="851"/>
      <c r="AP85" s="851"/>
      <c r="AQ85" s="851"/>
      <c r="AR85" s="851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862"/>
      <c r="AC86" s="862"/>
      <c r="AD86" s="862"/>
      <c r="AE86" s="386"/>
      <c r="AF86" s="386"/>
      <c r="AG86" s="863"/>
      <c r="AH86" s="863"/>
      <c r="AI86" s="863"/>
      <c r="AJ86" s="863"/>
      <c r="AK86" s="863"/>
      <c r="AL86" s="863"/>
      <c r="AM86" s="863"/>
      <c r="AN86" s="863"/>
      <c r="AO86" s="863"/>
      <c r="AP86" s="863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863"/>
      <c r="AF90" s="863"/>
      <c r="AG90" s="386"/>
      <c r="AH90" s="386"/>
      <c r="AI90" s="386"/>
      <c r="AJ90" s="863"/>
      <c r="AK90" s="863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863"/>
      <c r="AF91" s="863"/>
      <c r="AG91" s="386"/>
      <c r="AH91" s="386"/>
      <c r="AI91" s="386"/>
      <c r="AJ91" s="863"/>
      <c r="AK91" s="863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863"/>
      <c r="AF93" s="863"/>
      <c r="AG93" s="386"/>
      <c r="AH93" s="386"/>
      <c r="AI93" s="386"/>
      <c r="AJ93" s="863"/>
      <c r="AK93" s="863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863"/>
      <c r="AF96" s="863"/>
      <c r="AG96" s="386"/>
      <c r="AH96" s="386"/>
      <c r="AI96" s="386"/>
      <c r="AJ96" s="863"/>
      <c r="AK96" s="863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851"/>
      <c r="AM98" s="863"/>
      <c r="AN98" s="851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863"/>
      <c r="AF108" s="863"/>
      <c r="AG108" s="386"/>
      <c r="AH108" s="386"/>
      <c r="AI108" s="386"/>
      <c r="AJ108" s="863"/>
      <c r="AK108" s="863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851"/>
      <c r="AM116" s="863"/>
      <c r="AN116" s="851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863"/>
      <c r="AF127" s="863"/>
      <c r="AG127" s="386"/>
      <c r="AH127" s="386"/>
      <c r="AI127" s="386"/>
      <c r="AJ127" s="863"/>
      <c r="AK127" s="863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863"/>
      <c r="AF128" s="863"/>
      <c r="AG128" s="386"/>
      <c r="AH128" s="386"/>
      <c r="AI128" s="386"/>
      <c r="AJ128" s="863"/>
      <c r="AK128" s="863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863"/>
      <c r="AF130" s="863"/>
      <c r="AG130" s="386"/>
      <c r="AH130" s="386"/>
      <c r="AI130" s="386"/>
      <c r="AJ130" s="863"/>
      <c r="AK130" s="863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863"/>
      <c r="AF133" s="863"/>
      <c r="AG133" s="386"/>
      <c r="AH133" s="386"/>
      <c r="AI133" s="386"/>
      <c r="AJ133" s="863"/>
      <c r="AK133" s="863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851"/>
      <c r="AM135" s="863"/>
      <c r="AN135" s="851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863"/>
      <c r="AF145" s="863"/>
      <c r="AG145" s="386"/>
      <c r="AH145" s="386"/>
      <c r="AI145" s="386"/>
      <c r="AJ145" s="863"/>
      <c r="AK145" s="863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863"/>
      <c r="AF146" s="863"/>
      <c r="AG146" s="386"/>
      <c r="AH146" s="386"/>
      <c r="AI146" s="386"/>
      <c r="AJ146" s="863"/>
      <c r="AK146" s="863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863"/>
      <c r="AF148" s="863"/>
      <c r="AG148" s="386"/>
      <c r="AH148" s="386"/>
      <c r="AI148" s="386"/>
      <c r="AJ148" s="863"/>
      <c r="AK148" s="863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863"/>
      <c r="AF151" s="863"/>
      <c r="AG151" s="386"/>
      <c r="AH151" s="386"/>
      <c r="AI151" s="386"/>
      <c r="AJ151" s="863"/>
      <c r="AK151" s="863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851"/>
      <c r="AM153" s="863"/>
      <c r="AN153" s="851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863"/>
      <c r="AF165" s="863"/>
      <c r="AG165" s="386"/>
      <c r="AH165" s="386"/>
      <c r="AI165" s="386"/>
      <c r="AJ165" s="863"/>
      <c r="AK165" s="863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851"/>
      <c r="AM173" s="863"/>
      <c r="AN173" s="851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863"/>
      <c r="AF184" s="863"/>
      <c r="AG184" s="386"/>
      <c r="AH184" s="386"/>
      <c r="AI184" s="386"/>
      <c r="AJ184" s="863"/>
      <c r="AK184" s="863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863"/>
      <c r="AF185" s="863"/>
      <c r="AG185" s="386"/>
      <c r="AH185" s="386"/>
      <c r="AI185" s="386"/>
      <c r="AJ185" s="863"/>
      <c r="AK185" s="863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863"/>
      <c r="AF187" s="863"/>
      <c r="AG187" s="386"/>
      <c r="AH187" s="386"/>
      <c r="AI187" s="386"/>
      <c r="AJ187" s="863"/>
      <c r="AK187" s="863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863"/>
      <c r="AF190" s="863"/>
      <c r="AG190" s="386"/>
      <c r="AH190" s="386"/>
      <c r="AI190" s="386"/>
      <c r="AJ190" s="863"/>
      <c r="AK190" s="863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851"/>
      <c r="AM192" s="863"/>
      <c r="AN192" s="851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868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868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868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868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868"/>
      <c r="AB204" s="868"/>
      <c r="AC204" s="868"/>
      <c r="AD204" s="868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862"/>
      <c r="AB205" s="862"/>
      <c r="AC205" s="862"/>
      <c r="AD205" s="862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862"/>
      <c r="AB206" s="862"/>
      <c r="AC206" s="862"/>
      <c r="AD206" s="862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862"/>
      <c r="AB207" s="862"/>
      <c r="AC207" s="862"/>
      <c r="AD207" s="862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862"/>
      <c r="AB208" s="862"/>
      <c r="AC208" s="862"/>
      <c r="AD208" s="862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862"/>
      <c r="AB209" s="862"/>
      <c r="AC209" s="862"/>
      <c r="AD209" s="862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862"/>
      <c r="AF210" s="386"/>
      <c r="AG210" s="863"/>
      <c r="AH210" s="863"/>
      <c r="AI210" s="386"/>
      <c r="AJ210" s="386"/>
      <c r="AK210" s="851"/>
      <c r="AL210" s="851"/>
      <c r="AM210" s="851"/>
      <c r="AN210" s="851"/>
      <c r="AO210" s="851"/>
      <c r="AP210" s="851"/>
      <c r="AQ210" s="851"/>
      <c r="AR210" s="851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862"/>
      <c r="AA211" s="862"/>
      <c r="AB211" s="862"/>
      <c r="AC211" s="862"/>
      <c r="AD211" s="862"/>
      <c r="AE211" s="386"/>
      <c r="AF211" s="386"/>
      <c r="AG211" s="244"/>
      <c r="AH211" s="244"/>
      <c r="AI211" s="863"/>
      <c r="AJ211" s="863"/>
      <c r="AK211" s="863"/>
      <c r="AL211" s="863"/>
      <c r="AM211" s="863"/>
      <c r="AN211" s="863"/>
      <c r="AO211" s="863"/>
      <c r="AP211" s="863"/>
      <c r="AQ211" s="863"/>
      <c r="AR211" s="863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863"/>
      <c r="AN212" s="863"/>
      <c r="AO212" s="863"/>
      <c r="AP212" s="863"/>
      <c r="AQ212" s="863"/>
      <c r="AR212" s="863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862"/>
      <c r="AA213" s="862"/>
      <c r="AB213" s="862"/>
      <c r="AC213" s="862"/>
      <c r="AD213" s="862"/>
      <c r="AE213" s="386"/>
      <c r="AF213" s="386"/>
      <c r="AG213" s="863"/>
      <c r="AH213" s="863"/>
      <c r="AI213" s="393"/>
      <c r="AJ213" s="393"/>
      <c r="AK213" s="393"/>
      <c r="AL213" s="393"/>
      <c r="AM213" s="863"/>
      <c r="AN213" s="863"/>
      <c r="AO213" s="863"/>
      <c r="AP213" s="863"/>
      <c r="AQ213" s="863"/>
      <c r="AR213" s="863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868"/>
      <c r="T214" s="868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868"/>
      <c r="Z214" s="862"/>
      <c r="AA214" s="862"/>
      <c r="AB214" s="862"/>
      <c r="AC214" s="862"/>
      <c r="AD214" s="862"/>
      <c r="AE214" s="386"/>
      <c r="AF214" s="386"/>
      <c r="AG214" s="863"/>
      <c r="AH214" s="863"/>
      <c r="AI214" s="393"/>
      <c r="AJ214" s="393"/>
      <c r="AK214" s="393"/>
      <c r="AL214" s="393"/>
      <c r="AM214" s="863"/>
      <c r="AN214" s="863"/>
      <c r="AO214" s="863"/>
      <c r="AP214" s="863"/>
      <c r="AQ214" s="863"/>
      <c r="AR214" s="863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862"/>
      <c r="AC215" s="862"/>
      <c r="AD215" s="862"/>
      <c r="AE215" s="386"/>
      <c r="AF215" s="386"/>
      <c r="AG215" s="863"/>
      <c r="AH215" s="863"/>
      <c r="AI215" s="863"/>
      <c r="AJ215" s="863"/>
      <c r="AK215" s="863"/>
      <c r="AL215" s="863"/>
      <c r="AM215" s="863"/>
      <c r="AN215" s="863"/>
      <c r="AO215" s="863"/>
      <c r="AP215" s="863"/>
      <c r="AQ215" s="863"/>
      <c r="AR215" s="863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862"/>
      <c r="AE216" s="386"/>
      <c r="AF216" s="386"/>
      <c r="AG216" s="244"/>
      <c r="AH216" s="244"/>
      <c r="AI216" s="863"/>
      <c r="AJ216" s="863"/>
      <c r="AK216" s="863"/>
      <c r="AL216" s="863"/>
      <c r="AM216" s="863"/>
      <c r="AN216" s="863"/>
      <c r="AO216" s="863"/>
      <c r="AP216" s="863"/>
      <c r="AQ216" s="863"/>
      <c r="AR216" s="863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862"/>
      <c r="AD217" s="862"/>
      <c r="AE217" s="386"/>
      <c r="AF217" s="386"/>
      <c r="AG217" s="863"/>
      <c r="AH217" s="863"/>
      <c r="AI217" s="393"/>
      <c r="AJ217" s="393"/>
      <c r="AK217" s="393"/>
      <c r="AL217" s="393"/>
      <c r="AM217" s="863"/>
      <c r="AN217" s="863"/>
      <c r="AO217" s="863"/>
      <c r="AP217" s="863"/>
      <c r="AQ217" s="863"/>
      <c r="AR217" s="863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862"/>
      <c r="AD218" s="862"/>
      <c r="AE218" s="386"/>
      <c r="AF218" s="386"/>
      <c r="AG218" s="393"/>
      <c r="AH218" s="393"/>
      <c r="AI218" s="863"/>
      <c r="AJ218" s="863"/>
      <c r="AK218" s="863"/>
      <c r="AL218" s="863"/>
      <c r="AM218" s="863"/>
      <c r="AN218" s="863"/>
      <c r="AO218" s="863"/>
      <c r="AP218" s="863"/>
      <c r="AQ218" s="863"/>
      <c r="AR218" s="863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862"/>
      <c r="AC219" s="862"/>
      <c r="AD219" s="862">
        <v>200</v>
      </c>
      <c r="AE219" s="386"/>
      <c r="AF219" s="1023">
        <f>+AD219/6</f>
        <v>33.333333333333336</v>
      </c>
      <c r="AG219" s="1023"/>
      <c r="AH219" s="1023"/>
      <c r="AI219" s="863"/>
      <c r="AJ219" s="863"/>
      <c r="AK219" s="863"/>
      <c r="AL219" s="863"/>
      <c r="AM219" s="863"/>
      <c r="AN219" s="863"/>
      <c r="AO219" s="863"/>
      <c r="AP219" s="863"/>
      <c r="AQ219" s="863"/>
      <c r="AR219" s="863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862"/>
      <c r="AA220" s="862"/>
      <c r="AB220" s="862"/>
      <c r="AC220" s="862"/>
      <c r="AG220" s="863"/>
      <c r="AH220" s="863"/>
      <c r="AI220" s="386"/>
      <c r="AJ220" s="386"/>
      <c r="AK220" s="851"/>
      <c r="AL220" s="851"/>
      <c r="AM220" s="851"/>
      <c r="AN220" s="851"/>
      <c r="AO220" s="851"/>
      <c r="AP220" s="851"/>
      <c r="AQ220" s="851"/>
      <c r="AR220" s="851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862"/>
      <c r="AC221" s="862"/>
      <c r="AD221" s="862"/>
      <c r="AE221" s="386"/>
      <c r="AF221" s="386"/>
      <c r="AG221" s="863"/>
      <c r="AH221" s="863"/>
      <c r="AI221" s="863"/>
      <c r="AJ221" s="863"/>
      <c r="AK221" s="863"/>
      <c r="AL221" s="863"/>
      <c r="AM221" s="863"/>
      <c r="AN221" s="863"/>
      <c r="AO221" s="863"/>
      <c r="AP221" s="863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867"/>
      <c r="E224" s="304"/>
      <c r="F224" s="305"/>
      <c r="G224" s="867"/>
      <c r="H224" s="867"/>
      <c r="I224" s="305"/>
      <c r="J224" s="867"/>
      <c r="K224" s="306"/>
      <c r="L224" s="306"/>
      <c r="M224" s="867"/>
      <c r="N224" s="867"/>
      <c r="O224" s="867"/>
      <c r="P224" s="867"/>
      <c r="Q224" s="867"/>
      <c r="R224" s="867"/>
      <c r="S224" s="867"/>
      <c r="T224" s="867"/>
      <c r="U224" s="867"/>
      <c r="V224" s="867"/>
      <c r="W224" s="867"/>
      <c r="X224" s="867"/>
      <c r="Y224" s="867"/>
      <c r="Z224" s="867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863"/>
      <c r="AF244" s="863"/>
      <c r="AG244" s="386"/>
      <c r="AH244" s="386"/>
      <c r="AI244" s="386"/>
      <c r="AJ244" s="863"/>
      <c r="AK244" s="863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863"/>
      <c r="AF245" s="863"/>
      <c r="AG245" s="386"/>
      <c r="AH245" s="386"/>
      <c r="AI245" s="386"/>
      <c r="AJ245" s="863"/>
      <c r="AK245" s="863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863"/>
      <c r="AF247" s="863"/>
      <c r="AG247" s="386"/>
      <c r="AH247" s="386"/>
      <c r="AI247" s="386"/>
      <c r="AJ247" s="863"/>
      <c r="AK247" s="863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863"/>
      <c r="AF250" s="863"/>
      <c r="AG250" s="386"/>
      <c r="AH250" s="386"/>
      <c r="AI250" s="386"/>
      <c r="AJ250" s="863"/>
      <c r="AK250" s="863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851"/>
      <c r="AM252" s="863"/>
      <c r="AN252" s="851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867"/>
      <c r="E261" s="304"/>
      <c r="F261" s="305"/>
      <c r="G261" s="867"/>
      <c r="H261" s="867"/>
      <c r="I261" s="305"/>
      <c r="J261" s="867"/>
      <c r="K261" s="306"/>
      <c r="L261" s="306"/>
      <c r="M261" s="867"/>
      <c r="N261" s="867"/>
      <c r="O261" s="867"/>
      <c r="P261" s="867"/>
      <c r="Q261" s="867"/>
      <c r="R261" s="867"/>
      <c r="S261" s="867"/>
      <c r="T261" s="867"/>
      <c r="U261" s="867"/>
      <c r="V261" s="867"/>
      <c r="W261" s="867"/>
      <c r="X261" s="867"/>
      <c r="Y261" s="867"/>
      <c r="Z261" s="867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0:AP203 AH60 AP60 AP32:AP48 AH32:AH48">
    <cfRule type="cellIs" dxfId="587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586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585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584" priority="18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583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582" priority="16" stopIfTrue="1" operator="lessThanOrEqual">
      <formula>0</formula>
    </cfRule>
  </conditionalFormatting>
  <conditionalFormatting sqref="AA66:AB68 AA71:AB73 W210:X219 Z49:AA53 Z61:AA61 W86:X86 W74:X83 Z200:AA202 W221:X221">
    <cfRule type="cellIs" dxfId="581" priority="15" stopIfTrue="1" operator="lessThan">
      <formula>0</formula>
    </cfRule>
  </conditionalFormatting>
  <conditionalFormatting sqref="X49:X53 X61:X66 U86 U74:U83 X200:X202 U221 U210:U219">
    <cfRule type="cellIs" dxfId="580" priority="14" stopIfTrue="1" operator="greaterThan">
      <formula>48</formula>
    </cfRule>
  </conditionalFormatting>
  <conditionalFormatting sqref="C276:C280 C288:D291 C159:D159 D276:D287 C87:D142 C241:D241 C222:D222">
    <cfRule type="cellIs" dxfId="579" priority="13" stopIfTrue="1" operator="lessThan">
      <formula>$C$71</formula>
    </cfRule>
  </conditionalFormatting>
  <conditionalFormatting sqref="AI60:AO60 AI32:AO48">
    <cfRule type="cellIs" dxfId="578" priority="11" stopIfTrue="1" operator="equal">
      <formula>0</formula>
    </cfRule>
    <cfRule type="cellIs" dxfId="577" priority="12" stopIfTrue="1" operator="lessThan">
      <formula>0</formula>
    </cfRule>
  </conditionalFormatting>
  <conditionalFormatting sqref="AT60 AT32:AT45">
    <cfRule type="cellIs" dxfId="576" priority="9" stopIfTrue="1" operator="greaterThan">
      <formula>0</formula>
    </cfRule>
    <cfRule type="cellIs" dxfId="575" priority="10" stopIfTrue="1" operator="lessThan">
      <formula>1</formula>
    </cfRule>
  </conditionalFormatting>
  <conditionalFormatting sqref="K84:L85 K71:L81 K220:L220 K207:L217">
    <cfRule type="cellIs" dxfId="574" priority="8" stopIfTrue="1" operator="greaterThanOrEqual">
      <formula>$K$69</formula>
    </cfRule>
  </conditionalFormatting>
  <conditionalFormatting sqref="AF56:AF57 L12:L24 AF11:AF24 V12:V24 V32:V45 AF33:AF45 L32:L45">
    <cfRule type="cellIs" dxfId="573" priority="6" stopIfTrue="1" operator="equal">
      <formula>0</formula>
    </cfRule>
    <cfRule type="cellIs" dxfId="572" priority="7" stopIfTrue="1" operator="lessThan">
      <formula>0</formula>
    </cfRule>
  </conditionalFormatting>
  <conditionalFormatting sqref="K84:K85">
    <cfRule type="cellIs" dxfId="571" priority="5" stopIfTrue="1" operator="greaterThanOrEqual">
      <formula>$K$72</formula>
    </cfRule>
  </conditionalFormatting>
  <conditionalFormatting sqref="W84:X85">
    <cfRule type="cellIs" dxfId="570" priority="4" stopIfTrue="1" operator="lessThan">
      <formula>0</formula>
    </cfRule>
  </conditionalFormatting>
  <conditionalFormatting sqref="U84:U85">
    <cfRule type="cellIs" dxfId="569" priority="3" stopIfTrue="1" operator="greaterThan">
      <formula>48</formula>
    </cfRule>
  </conditionalFormatting>
  <conditionalFormatting sqref="AF32">
    <cfRule type="cellIs" dxfId="568" priority="1" stopIfTrue="1" operator="equal">
      <formula>0</formula>
    </cfRule>
    <cfRule type="cellIs" dxfId="567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20 AE23:AT44 AE21:AM21 AO21:AT21 AE22:AM22 AO22:AT22" formula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N22" sqref="AN22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848" customWidth="1"/>
    <col min="5" max="5" width="4.28515625" style="3" customWidth="1"/>
    <col min="6" max="6" width="4.28515625" style="4" customWidth="1"/>
    <col min="7" max="8" width="4.28515625" style="848" customWidth="1"/>
    <col min="9" max="9" width="4.28515625" style="4" customWidth="1"/>
    <col min="10" max="10" width="4.28515625" style="848" customWidth="1"/>
    <col min="11" max="12" width="4.28515625" style="5" customWidth="1"/>
    <col min="13" max="26" width="4.28515625" style="848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43271</v>
      </c>
      <c r="C1" s="848" t="s">
        <v>0</v>
      </c>
      <c r="AN1" s="7"/>
      <c r="AO1" s="7"/>
      <c r="AR1" s="1340">
        <f>+AR46+AT46</f>
        <v>186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43272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848">
        <v>0</v>
      </c>
    </row>
    <row r="5" spans="1:58" ht="10.9" customHeight="1">
      <c r="B5" s="1244" t="s">
        <v>1</v>
      </c>
      <c r="C5" s="1140">
        <v>43265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43266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43267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43268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43265</v>
      </c>
      <c r="AW7" s="1296">
        <f>+M5</f>
        <v>43266</v>
      </c>
      <c r="AX7" s="1296">
        <f>+W5</f>
        <v>43267</v>
      </c>
      <c r="AY7" s="1309">
        <f>+AG5</f>
        <v>43268</v>
      </c>
      <c r="AZ7" s="1296">
        <f>+C26</f>
        <v>43269</v>
      </c>
      <c r="BA7" s="1296">
        <f>+M26</f>
        <v>43270</v>
      </c>
      <c r="BB7" s="1296">
        <f>+W26</f>
        <v>43271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/>
      <c r="D11" s="335"/>
      <c r="E11" s="16"/>
      <c r="F11" s="17">
        <f t="shared" ref="F11:F20" si="1">+D11-C11-E11</f>
        <v>0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0</v>
      </c>
      <c r="L11" s="20">
        <f t="shared" ref="L11:L24" si="4">IF(C11&gt;0,(F11+I11)+IF(K$5&gt;0,F11,-8),0)+IF(U$5&gt;0,I11,0)</f>
        <v>0</v>
      </c>
      <c r="M11" s="336"/>
      <c r="N11" s="335"/>
      <c r="O11" s="16"/>
      <c r="P11" s="17">
        <f t="shared" ref="P11:P20" si="5">+N11-M11-O11</f>
        <v>0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0</v>
      </c>
      <c r="V11" s="20">
        <f t="shared" ref="V11:V20" si="8">IF(M11&gt;0,(P11+S11)+IF(U$5&gt;0,P11,-8),0)+IF(AE$5&gt;0,S11,0)</f>
        <v>0</v>
      </c>
      <c r="W11" s="337"/>
      <c r="X11" s="337"/>
      <c r="Y11" s="23"/>
      <c r="Z11" s="17">
        <f t="shared" ref="Z11:Z20" si="9">+X11-W11-Y11</f>
        <v>0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0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0</v>
      </c>
      <c r="AQ11" s="1298"/>
      <c r="AR11" s="1299">
        <f t="shared" ref="AR11:AR20" si="16">ROUND(BD11*AP11,1)</f>
        <v>0</v>
      </c>
      <c r="AS11" s="1300"/>
      <c r="AT11" s="338">
        <f t="shared" ref="AT11:AT24" si="17">IF(AT32&gt;0,AT32*$AT$10,0)</f>
        <v>0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0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8</v>
      </c>
      <c r="D12" s="342">
        <v>17</v>
      </c>
      <c r="E12" s="30">
        <v>1</v>
      </c>
      <c r="F12" s="31">
        <f t="shared" si="1"/>
        <v>8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0</v>
      </c>
      <c r="M12" s="831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8</v>
      </c>
      <c r="X12" s="342">
        <v>16</v>
      </c>
      <c r="Y12" s="30">
        <v>1</v>
      </c>
      <c r="Z12" s="31">
        <f t="shared" si="9"/>
        <v>7</v>
      </c>
      <c r="AA12" s="344"/>
      <c r="AB12" s="53">
        <v>0.5</v>
      </c>
      <c r="AC12" s="36">
        <f t="shared" si="10"/>
        <v>0.5</v>
      </c>
      <c r="AD12" s="30"/>
      <c r="AE12" s="32">
        <f t="shared" si="11"/>
        <v>8.5</v>
      </c>
      <c r="AF12" s="20">
        <f>IF(W12&gt;0,IF(AE$5&gt;0,(Z12+AC12)*2,(Z12+AC12-8)),0)*IF(Z12&lt;9,IF(AE$5&gt;0,1,2),1)+IF(Z12&gt;8,AC12,0)</f>
        <v>-1</v>
      </c>
      <c r="AG12" s="37">
        <v>7</v>
      </c>
      <c r="AH12" s="342">
        <v>17</v>
      </c>
      <c r="AI12" s="30">
        <v>1</v>
      </c>
      <c r="AJ12" s="38">
        <f>+AH12-AG12-AI12</f>
        <v>9</v>
      </c>
      <c r="AK12" s="342"/>
      <c r="AL12" s="342"/>
      <c r="AM12" s="31">
        <f t="shared" si="13"/>
        <v>0</v>
      </c>
      <c r="AN12" s="39"/>
      <c r="AO12" s="40">
        <f t="shared" si="14"/>
        <v>18</v>
      </c>
      <c r="AP12" s="1282">
        <f t="shared" si="15"/>
        <v>26</v>
      </c>
      <c r="AQ12" s="1283"/>
      <c r="AR12" s="1284">
        <f t="shared" si="16"/>
        <v>133.5</v>
      </c>
      <c r="AS12" s="1285"/>
      <c r="AT12" s="345">
        <f t="shared" si="17"/>
        <v>28</v>
      </c>
      <c r="AV12" s="26">
        <f t="shared" si="18"/>
        <v>0</v>
      </c>
      <c r="AW12" s="26">
        <f t="shared" si="19"/>
        <v>0</v>
      </c>
      <c r="AX12" s="26">
        <f t="shared" si="20"/>
        <v>-1</v>
      </c>
      <c r="AY12" s="27">
        <f t="shared" si="21"/>
        <v>18</v>
      </c>
      <c r="AZ12" s="26">
        <f t="shared" si="22"/>
        <v>6</v>
      </c>
      <c r="BA12" s="26">
        <f t="shared" si="23"/>
        <v>2</v>
      </c>
      <c r="BB12" s="26">
        <f t="shared" si="24"/>
        <v>1</v>
      </c>
      <c r="BC12" s="28"/>
      <c r="BD12" s="339">
        <f t="shared" si="25"/>
        <v>5.1339285714285712</v>
      </c>
      <c r="BE12" s="340">
        <f t="shared" si="26"/>
        <v>133.48214285714286</v>
      </c>
      <c r="BF12" s="341">
        <f t="shared" si="27"/>
        <v>92.410714285714278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831">
        <v>7</v>
      </c>
      <c r="N13" s="342">
        <v>17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>
        <v>4</v>
      </c>
      <c r="AO13" s="40">
        <f t="shared" si="14"/>
        <v>0</v>
      </c>
      <c r="AP13" s="1282">
        <f t="shared" si="15"/>
        <v>3</v>
      </c>
      <c r="AQ13" s="1283"/>
      <c r="AR13" s="1284">
        <f t="shared" si="16"/>
        <v>15.4</v>
      </c>
      <c r="AS13" s="1285"/>
      <c r="AT13" s="345">
        <f t="shared" si="17"/>
        <v>20</v>
      </c>
      <c r="AV13" s="26">
        <f t="shared" si="18"/>
        <v>2</v>
      </c>
      <c r="AW13" s="26">
        <f t="shared" si="19"/>
        <v>1</v>
      </c>
      <c r="AX13" s="26">
        <f t="shared" si="20"/>
        <v>1</v>
      </c>
      <c r="AY13" s="27">
        <f t="shared" si="21"/>
        <v>0</v>
      </c>
      <c r="AZ13" s="26">
        <f t="shared" si="22"/>
        <v>0</v>
      </c>
      <c r="BA13" s="26">
        <f t="shared" si="23"/>
        <v>2</v>
      </c>
      <c r="BB13" s="26">
        <f t="shared" si="24"/>
        <v>1</v>
      </c>
      <c r="BC13" s="28"/>
      <c r="BD13" s="339">
        <f t="shared" si="25"/>
        <v>5.1339285714285712</v>
      </c>
      <c r="BE13" s="340">
        <f t="shared" si="26"/>
        <v>15.401785714285714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16</v>
      </c>
      <c r="E14" s="42">
        <v>1</v>
      </c>
      <c r="F14" s="44">
        <f t="shared" si="1"/>
        <v>8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0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2</v>
      </c>
      <c r="W14" s="347">
        <v>7</v>
      </c>
      <c r="X14" s="346">
        <v>22</v>
      </c>
      <c r="Y14" s="42">
        <v>1</v>
      </c>
      <c r="Z14" s="44">
        <f t="shared" si="9"/>
        <v>14</v>
      </c>
      <c r="AA14" s="344"/>
      <c r="AB14" s="41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6</v>
      </c>
      <c r="AG14" s="37">
        <v>7</v>
      </c>
      <c r="AH14" s="342">
        <v>16</v>
      </c>
      <c r="AI14" s="30">
        <v>1</v>
      </c>
      <c r="AJ14" s="38">
        <f t="shared" si="12"/>
        <v>8</v>
      </c>
      <c r="AK14" s="342"/>
      <c r="AL14" s="342"/>
      <c r="AM14" s="31">
        <f t="shared" si="13"/>
        <v>0</v>
      </c>
      <c r="AN14" s="47"/>
      <c r="AO14" s="40">
        <f t="shared" si="14"/>
        <v>16</v>
      </c>
      <c r="AP14" s="1282">
        <f t="shared" si="15"/>
        <v>36</v>
      </c>
      <c r="AQ14" s="1283"/>
      <c r="AR14" s="1284">
        <f t="shared" si="16"/>
        <v>150</v>
      </c>
      <c r="AS14" s="1285"/>
      <c r="AT14" s="345">
        <f t="shared" si="17"/>
        <v>28</v>
      </c>
      <c r="AV14" s="26">
        <f t="shared" si="18"/>
        <v>0</v>
      </c>
      <c r="AW14" s="26">
        <f t="shared" si="19"/>
        <v>2</v>
      </c>
      <c r="AX14" s="26">
        <f t="shared" si="20"/>
        <v>6</v>
      </c>
      <c r="AY14" s="27">
        <f t="shared" si="21"/>
        <v>16</v>
      </c>
      <c r="AZ14" s="26">
        <f t="shared" si="22"/>
        <v>6</v>
      </c>
      <c r="BA14" s="26">
        <f t="shared" si="23"/>
        <v>2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150.00042857142856</v>
      </c>
      <c r="BF14" s="341">
        <f t="shared" si="27"/>
        <v>66.66685714285714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18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831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16</v>
      </c>
      <c r="Y15" s="30">
        <v>1</v>
      </c>
      <c r="Z15" s="31">
        <f t="shared" si="9"/>
        <v>7</v>
      </c>
      <c r="AA15" s="346"/>
      <c r="AB15" s="53">
        <v>0.5</v>
      </c>
      <c r="AC15" s="31">
        <f t="shared" si="10"/>
        <v>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5</v>
      </c>
      <c r="AQ15" s="1295"/>
      <c r="AR15" s="1284">
        <f t="shared" si="16"/>
        <v>25.7</v>
      </c>
      <c r="AS15" s="1285"/>
      <c r="AT15" s="345">
        <f t="shared" si="17"/>
        <v>24</v>
      </c>
      <c r="AV15" s="26">
        <f t="shared" si="18"/>
        <v>2</v>
      </c>
      <c r="AW15" s="26">
        <f t="shared" si="19"/>
        <v>0</v>
      </c>
      <c r="AX15" s="26">
        <f t="shared" si="20"/>
        <v>-1</v>
      </c>
      <c r="AY15" s="27">
        <f t="shared" si="21"/>
        <v>0</v>
      </c>
      <c r="AZ15" s="26">
        <f t="shared" si="22"/>
        <v>1</v>
      </c>
      <c r="BA15" s="26">
        <f t="shared" si="23"/>
        <v>1</v>
      </c>
      <c r="BB15" s="26">
        <f t="shared" si="24"/>
        <v>2</v>
      </c>
      <c r="BC15" s="28"/>
      <c r="BD15" s="339">
        <f t="shared" si="25"/>
        <v>5.1339285714285712</v>
      </c>
      <c r="BE15" s="349">
        <f t="shared" si="26"/>
        <v>25.669642857142854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8</v>
      </c>
      <c r="D16" s="342">
        <v>16</v>
      </c>
      <c r="E16" s="30">
        <v>1</v>
      </c>
      <c r="F16" s="31">
        <f>+D16-C16-E16</f>
        <v>7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-1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-2</v>
      </c>
      <c r="AQ16" s="1283"/>
      <c r="AR16" s="1284">
        <f>ROUND(BD16*AP16,1)</f>
        <v>-10.3</v>
      </c>
      <c r="AS16" s="1285"/>
      <c r="AT16" s="345">
        <f t="shared" si="17"/>
        <v>24</v>
      </c>
      <c r="AU16" s="6"/>
      <c r="AV16" s="26">
        <f>+L16</f>
        <v>-1</v>
      </c>
      <c r="AW16" s="26">
        <f>+V16</f>
        <v>-1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-10.267857142857142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17</v>
      </c>
      <c r="E18" s="30">
        <v>1</v>
      </c>
      <c r="F18" s="31">
        <f>+D18-C18-E18</f>
        <v>9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1</v>
      </c>
      <c r="M18" s="342">
        <v>7</v>
      </c>
      <c r="N18" s="342">
        <v>16</v>
      </c>
      <c r="O18" s="30">
        <v>1</v>
      </c>
      <c r="P18" s="31">
        <f>+N18-M18-O18</f>
        <v>8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0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9</v>
      </c>
      <c r="AQ18" s="1283"/>
      <c r="AR18" s="1284">
        <f t="shared" si="16"/>
        <v>34.9</v>
      </c>
      <c r="AS18" s="1285"/>
      <c r="AT18" s="345">
        <f t="shared" si="17"/>
        <v>24</v>
      </c>
      <c r="AV18" s="26">
        <f t="shared" si="18"/>
        <v>1</v>
      </c>
      <c r="AW18" s="26">
        <f t="shared" si="19"/>
        <v>0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34.875032142857144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832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/>
      <c r="D21" s="459"/>
      <c r="E21" s="459"/>
      <c r="F21" s="460">
        <f>+D21-C21-E21</f>
        <v>0</v>
      </c>
      <c r="G21" s="459"/>
      <c r="H21" s="459"/>
      <c r="I21" s="460">
        <f>+H21-G21</f>
        <v>0</v>
      </c>
      <c r="J21" s="459"/>
      <c r="K21" s="32">
        <f t="shared" si="3"/>
        <v>0</v>
      </c>
      <c r="L21" s="461">
        <f>IF(C21&gt;0,(F21+I21)+IF(K$5&gt;0,F21,-8),0)+IF(U$5&gt;0,I21,0)</f>
        <v>0</v>
      </c>
      <c r="M21" s="833">
        <v>7</v>
      </c>
      <c r="N21" s="459">
        <v>18</v>
      </c>
      <c r="O21" s="459">
        <v>1</v>
      </c>
      <c r="P21" s="460">
        <f>+N21-M21-O21</f>
        <v>10</v>
      </c>
      <c r="Q21" s="459"/>
      <c r="R21" s="459"/>
      <c r="S21" s="460">
        <f>+R21-Q21</f>
        <v>0</v>
      </c>
      <c r="T21" s="459"/>
      <c r="U21" s="32">
        <f t="shared" si="7"/>
        <v>8</v>
      </c>
      <c r="V21" s="461">
        <f>IF(M21&gt;0,(P21+S21)+IF(U$5&gt;0,P21,-8),0)+IF(AE$5&gt;0,S21,0)</f>
        <v>2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2</v>
      </c>
      <c r="AG21" s="459">
        <v>7</v>
      </c>
      <c r="AH21" s="459">
        <v>17</v>
      </c>
      <c r="AI21" s="459">
        <v>1</v>
      </c>
      <c r="AJ21" s="38">
        <f>+AH21-AG21-AI21</f>
        <v>9</v>
      </c>
      <c r="AK21" s="459"/>
      <c r="AL21" s="459"/>
      <c r="AM21" s="460">
        <f>+AL21-AK21</f>
        <v>0</v>
      </c>
      <c r="AN21" s="725">
        <v>8</v>
      </c>
      <c r="AO21" s="465">
        <f>(AJ21*2+AM21)</f>
        <v>18</v>
      </c>
      <c r="AP21" s="1290">
        <f t="shared" si="15"/>
        <v>20</v>
      </c>
      <c r="AQ21" s="1291"/>
      <c r="AR21" s="1292">
        <f>ROUND(BD21*AP21,1)</f>
        <v>77.5</v>
      </c>
      <c r="AS21" s="1293"/>
      <c r="AT21" s="488">
        <f t="shared" si="17"/>
        <v>24</v>
      </c>
      <c r="AV21" s="69">
        <f>+L21</f>
        <v>0</v>
      </c>
      <c r="AW21" s="69">
        <f>+V21</f>
        <v>2</v>
      </c>
      <c r="AX21" s="69">
        <f>+AF21</f>
        <v>2</v>
      </c>
      <c r="AY21" s="70">
        <f>+AO21</f>
        <v>18</v>
      </c>
      <c r="AZ21" s="69">
        <f>+L42</f>
        <v>2</v>
      </c>
      <c r="BA21" s="69">
        <f>+V42</f>
        <v>2</v>
      </c>
      <c r="BB21" s="69">
        <f>+AF42</f>
        <v>2</v>
      </c>
      <c r="BC21" s="28"/>
      <c r="BD21" s="339">
        <f>+I82</f>
        <v>3.875</v>
      </c>
      <c r="BE21" s="351">
        <f>+BD21*AP21</f>
        <v>77.5</v>
      </c>
      <c r="BF21" s="352">
        <f>+BD21*AY21</f>
        <v>69.75</v>
      </c>
    </row>
    <row r="22" spans="1:58" s="55" customFormat="1" ht="14.1" customHeight="1">
      <c r="A22" s="50"/>
      <c r="B22" s="513" t="str">
        <f>+B83</f>
        <v>Rafael Armas R.</v>
      </c>
      <c r="C22" s="458"/>
      <c r="D22" s="459"/>
      <c r="E22" s="459"/>
      <c r="F22" s="460">
        <f>+D22-C22-E22</f>
        <v>0</v>
      </c>
      <c r="G22" s="459"/>
      <c r="H22" s="459"/>
      <c r="I22" s="460">
        <f>+H22-G22</f>
        <v>0</v>
      </c>
      <c r="J22" s="459"/>
      <c r="K22" s="32">
        <f t="shared" si="3"/>
        <v>0</v>
      </c>
      <c r="L22" s="461">
        <f>IF(C22&gt;0,(F22+I22)+IF(K$5&gt;0,F22,-8),0)+IF(U$5&gt;0,I22,0)</f>
        <v>0</v>
      </c>
      <c r="M22" s="833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si="7"/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2</v>
      </c>
      <c r="AG22" s="459">
        <v>7</v>
      </c>
      <c r="AH22" s="459">
        <v>16</v>
      </c>
      <c r="AI22" s="459">
        <v>1</v>
      </c>
      <c r="AJ22" s="38">
        <f>+AH22-AG22-AI22</f>
        <v>8</v>
      </c>
      <c r="AK22" s="459"/>
      <c r="AL22" s="459"/>
      <c r="AM22" s="460">
        <f>+AL22-AK22</f>
        <v>0</v>
      </c>
      <c r="AN22" s="725">
        <v>8</v>
      </c>
      <c r="AO22" s="465">
        <f>(AJ22*2+AM22)</f>
        <v>16</v>
      </c>
      <c r="AP22" s="1270">
        <f t="shared" si="15"/>
        <v>18</v>
      </c>
      <c r="AQ22" s="1271"/>
      <c r="AR22" s="1272">
        <f>ROUND(BD22*AP22,1)</f>
        <v>69.8</v>
      </c>
      <c r="AS22" s="1273"/>
      <c r="AT22" s="359">
        <f t="shared" si="17"/>
        <v>24</v>
      </c>
      <c r="AV22" s="69">
        <f>+L22</f>
        <v>0</v>
      </c>
      <c r="AW22" s="69">
        <f>+V22</f>
        <v>2</v>
      </c>
      <c r="AX22" s="69">
        <f>+AF22</f>
        <v>2</v>
      </c>
      <c r="AY22" s="70">
        <f>+AO22</f>
        <v>16</v>
      </c>
      <c r="AZ22" s="69">
        <f>+L43</f>
        <v>2</v>
      </c>
      <c r="BA22" s="69">
        <f>+V43</f>
        <v>2</v>
      </c>
      <c r="BB22" s="69">
        <f>+AF43</f>
        <v>2</v>
      </c>
      <c r="BC22" s="54"/>
      <c r="BD22" s="339">
        <f>+I83</f>
        <v>3.875</v>
      </c>
      <c r="BE22" s="351">
        <f>+BD22*AP22</f>
        <v>69.75</v>
      </c>
      <c r="BF22" s="352">
        <f>+BD22*AY22</f>
        <v>62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18</v>
      </c>
      <c r="O23" s="87">
        <v>1</v>
      </c>
      <c r="P23" s="88">
        <f>+N23-M23-O23</f>
        <v>10</v>
      </c>
      <c r="Q23" s="87"/>
      <c r="R23" s="87"/>
      <c r="S23" s="88">
        <f>+R23-Q23</f>
        <v>0</v>
      </c>
      <c r="T23" s="87"/>
      <c r="U23" s="121">
        <f>+S23+P23-V23</f>
        <v>8</v>
      </c>
      <c r="V23" s="89">
        <f>IF(M23&gt;0,(P23+S23)+IF(U$5&gt;0,P23,-8),0)+IF(AE$5&gt;0,S23,0)</f>
        <v>2</v>
      </c>
      <c r="W23" s="87">
        <v>7</v>
      </c>
      <c r="X23" s="87">
        <v>22</v>
      </c>
      <c r="Y23" s="87">
        <v>1</v>
      </c>
      <c r="Z23" s="88">
        <f>+X23-W23-Y23</f>
        <v>14</v>
      </c>
      <c r="AA23" s="87"/>
      <c r="AB23" s="91"/>
      <c r="AC23" s="88">
        <f>+AB23-AA23</f>
        <v>0</v>
      </c>
      <c r="AD23" s="87"/>
      <c r="AE23" s="121">
        <f>+AC23+Z23-IF(AE$5&gt;0,AF23/2,AF23)</f>
        <v>8</v>
      </c>
      <c r="AF23" s="89">
        <f t="shared" si="28"/>
        <v>6</v>
      </c>
      <c r="AG23" s="87"/>
      <c r="AH23" s="87"/>
      <c r="AI23" s="87"/>
      <c r="AJ23" s="829">
        <f t="shared" si="12"/>
        <v>0</v>
      </c>
      <c r="AK23" s="87"/>
      <c r="AL23" s="87"/>
      <c r="AM23" s="88">
        <f>+AL23-AK23</f>
        <v>0</v>
      </c>
      <c r="AN23" s="830"/>
      <c r="AO23" s="94">
        <f>(AJ23*2+AM23)</f>
        <v>0</v>
      </c>
      <c r="AP23" s="1274">
        <f t="shared" si="15"/>
        <v>16</v>
      </c>
      <c r="AQ23" s="1275"/>
      <c r="AR23" s="1276">
        <f>ROUND(BD23*AP23,1)</f>
        <v>62</v>
      </c>
      <c r="AS23" s="1277"/>
      <c r="AT23" s="537">
        <f t="shared" si="17"/>
        <v>24</v>
      </c>
      <c r="AU23" s="55"/>
      <c r="AV23" s="538">
        <f>+L23</f>
        <v>2</v>
      </c>
      <c r="AW23" s="538">
        <f>+V23</f>
        <v>2</v>
      </c>
      <c r="AX23" s="538">
        <f>+AF23</f>
        <v>6</v>
      </c>
      <c r="AY23" s="538">
        <f>+AO23</f>
        <v>0</v>
      </c>
      <c r="AZ23" s="538">
        <f>+L44</f>
        <v>2</v>
      </c>
      <c r="BA23" s="538">
        <f>+V44</f>
        <v>2</v>
      </c>
      <c r="BB23" s="538">
        <f>+AF44</f>
        <v>2</v>
      </c>
      <c r="BC23" s="28"/>
      <c r="BD23" s="539">
        <f>+I81</f>
        <v>3.875</v>
      </c>
      <c r="BE23" s="539">
        <f>+BD23*AP23</f>
        <v>62</v>
      </c>
      <c r="BF23" s="539">
        <f>+BD23*AY23</f>
        <v>0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558.41117499999996</v>
      </c>
      <c r="BF25" s="1242">
        <f>SUM(BF11:BF24)</f>
        <v>290.82757142857145</v>
      </c>
    </row>
    <row r="26" spans="1:58" ht="10.9" customHeight="1">
      <c r="B26" s="1244" t="s">
        <v>1</v>
      </c>
      <c r="C26" s="1140">
        <f>1+AG5</f>
        <v>43269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43270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43271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43265</v>
      </c>
      <c r="AJ26" s="1218">
        <f t="shared" ref="AJ26:AO26" si="29">1+AI26</f>
        <v>43266</v>
      </c>
      <c r="AK26" s="1218">
        <f t="shared" si="29"/>
        <v>43267</v>
      </c>
      <c r="AL26" s="1219">
        <f t="shared" si="29"/>
        <v>43268</v>
      </c>
      <c r="AM26" s="1219">
        <f t="shared" si="29"/>
        <v>43269</v>
      </c>
      <c r="AN26" s="1220">
        <f t="shared" si="29"/>
        <v>43270</v>
      </c>
      <c r="AO26" s="1220">
        <f t="shared" si="29"/>
        <v>43271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43268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151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83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/>
      <c r="D32" s="342"/>
      <c r="E32" s="30"/>
      <c r="F32" s="31">
        <f t="shared" ref="F32:F45" si="31">+D32-C32-E32</f>
        <v>0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0</v>
      </c>
      <c r="L32" s="20">
        <f>IF(C32&gt;0,(F32+I32)+IF(K$26&gt;0,F32,-8),0)+IF(U$26&gt;0,I32,0)</f>
        <v>0</v>
      </c>
      <c r="M32" s="342"/>
      <c r="N32" s="342"/>
      <c r="O32" s="30"/>
      <c r="P32" s="31">
        <f t="shared" ref="P32:P45" si="34">+N32-M32-O32</f>
        <v>0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0</v>
      </c>
      <c r="V32" s="20">
        <f>IF(M32&gt;0,(P32+S32)+IF(U$26&gt;0,P32,-8),0)+IF(AE$26&gt;0,S32,0)</f>
        <v>0</v>
      </c>
      <c r="W32" s="369"/>
      <c r="X32" s="370"/>
      <c r="Y32" s="108"/>
      <c r="Z32" s="109">
        <f t="shared" ref="Z32:Z45" si="37">+X32-W32-Y32</f>
        <v>0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0</v>
      </c>
      <c r="AF32" s="20">
        <f>IF(W32&gt;0,(Z32+AC32)+IF(AE$26&gt;0,Z32,-8),0)+IF(AO$26&gt;0,AC32,0)</f>
        <v>0</v>
      </c>
      <c r="AG32" s="55"/>
      <c r="AH32" s="112">
        <v>0</v>
      </c>
      <c r="AI32" s="113">
        <f t="shared" ref="AI32:AI45" si="40">+K11+(IF(ISBLANK($K$5),-8,0))</f>
        <v>-8</v>
      </c>
      <c r="AJ32" s="113">
        <f t="shared" ref="AJ32:AJ45" si="41">IF(ISBLANK($U$5),-8,0)+U11</f>
        <v>-8</v>
      </c>
      <c r="AK32" s="113">
        <f>IF(ISBLANK($AE$5),-8,0)+AE11</f>
        <v>-8</v>
      </c>
      <c r="AL32" s="113">
        <f t="shared" ref="AL32:AL45" si="42">IF(ISBLANK($AO$5),-8,0)+AO11+AW32</f>
        <v>0</v>
      </c>
      <c r="AM32" s="113">
        <f t="shared" ref="AM32:AM45" si="43">IF(ISBLANK($K$26),-8,0)+K32</f>
        <v>-8</v>
      </c>
      <c r="AN32" s="113">
        <f t="shared" ref="AN32:AN45" si="44">IF(ISBLANK($U$26),-8,0)+U32</f>
        <v>-8</v>
      </c>
      <c r="AO32" s="113">
        <f t="shared" ref="AO32:AO45" si="45">IF(ISBLANK($AE$26),-8,0)+AE32</f>
        <v>-8</v>
      </c>
      <c r="AP32" s="114">
        <f t="shared" ref="AP32:AP45" si="46">SUM(AH32:AO32)</f>
        <v>-48</v>
      </c>
      <c r="AQ32" s="55"/>
      <c r="AR32" s="1159">
        <f t="shared" ref="AR32:AR40" si="47">+X71*Q71</f>
        <v>0</v>
      </c>
      <c r="AS32" s="1197"/>
      <c r="AT32" s="117">
        <f t="shared" ref="AT32:AT43" si="48">IF(K11+L11&gt;0,1,0)+IF(U11+V11&gt;0,1,0)+IF(AE11+AF11&gt;0,1,0)+IF(AO11&gt;3,1,0)+IF(K32+L32&gt;0,1,0)+IF(U32+V32&gt;0,1,0)+IF(AE32+AF32&gt;0,1,0)</f>
        <v>0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23</v>
      </c>
      <c r="E33" s="30">
        <v>2</v>
      </c>
      <c r="F33" s="31">
        <f t="shared" si="31"/>
        <v>14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6</v>
      </c>
      <c r="M33" s="342">
        <v>7</v>
      </c>
      <c r="N33" s="342">
        <v>18</v>
      </c>
      <c r="O33" s="30">
        <v>1</v>
      </c>
      <c r="P33" s="31">
        <f t="shared" si="34"/>
        <v>10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>IF(M33&gt;0,(P33+S33)+IF(U$26&gt;0,P33,-8),0)+IF(AE$26&gt;0,S33,0)</f>
        <v>2</v>
      </c>
      <c r="W33" s="334">
        <v>8</v>
      </c>
      <c r="X33" s="342">
        <v>18</v>
      </c>
      <c r="Y33" s="30">
        <v>1</v>
      </c>
      <c r="Z33" s="31">
        <f t="shared" si="37"/>
        <v>9</v>
      </c>
      <c r="AA33" s="342"/>
      <c r="AB33" s="346"/>
      <c r="AC33" s="31">
        <f t="shared" si="38"/>
        <v>0</v>
      </c>
      <c r="AD33" s="30"/>
      <c r="AE33" s="32">
        <f t="shared" si="39"/>
        <v>8</v>
      </c>
      <c r="AF33" s="20">
        <f t="shared" ref="AF33:AF45" si="49">IF(W33&gt;0,(Z33+AC33)+IF(AE$26&gt;0,0+Z33,-8),0)</f>
        <v>1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0.5</v>
      </c>
      <c r="AL33" s="113">
        <f t="shared" si="42"/>
        <v>0</v>
      </c>
      <c r="AM33" s="113">
        <f t="shared" si="43"/>
        <v>0</v>
      </c>
      <c r="AN33" s="113">
        <f t="shared" si="44"/>
        <v>0</v>
      </c>
      <c r="AO33" s="113">
        <f t="shared" si="45"/>
        <v>0</v>
      </c>
      <c r="AP33" s="114">
        <f t="shared" si="46"/>
        <v>0.5</v>
      </c>
      <c r="AQ33" s="55"/>
      <c r="AR33" s="1159">
        <f t="shared" si="47"/>
        <v>0</v>
      </c>
      <c r="AS33" s="1160"/>
      <c r="AT33" s="117">
        <f t="shared" si="48"/>
        <v>7</v>
      </c>
      <c r="AU33" s="55"/>
      <c r="AV33" s="55"/>
      <c r="AW33" s="1134">
        <v>-18</v>
      </c>
      <c r="AX33" s="1135"/>
    </row>
    <row r="34" spans="1:56" ht="14.1" customHeight="1">
      <c r="B34" s="29" t="str">
        <f t="shared" si="30"/>
        <v>Miguel Tejada Ll.</v>
      </c>
      <c r="C34" s="334"/>
      <c r="D34" s="342"/>
      <c r="E34" s="30"/>
      <c r="F34" s="31">
        <f t="shared" si="31"/>
        <v>0</v>
      </c>
      <c r="G34" s="346"/>
      <c r="H34" s="346"/>
      <c r="I34" s="31">
        <f t="shared" si="32"/>
        <v>0</v>
      </c>
      <c r="J34" s="30"/>
      <c r="K34" s="32">
        <f t="shared" si="33"/>
        <v>0</v>
      </c>
      <c r="L34" s="20">
        <f t="shared" ref="L34:L45" si="50">IF(C34&gt;0,(F34+I34)+IF(K$26&gt;0,F34,-8),0)+IF(U$26&gt;0,I34,0)</f>
        <v>0</v>
      </c>
      <c r="M34" s="334">
        <v>7</v>
      </c>
      <c r="N34" s="342">
        <v>18</v>
      </c>
      <c r="O34" s="30">
        <v>1</v>
      </c>
      <c r="P34" s="31">
        <f t="shared" si="34"/>
        <v>10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ref="V34:V45" si="51">IF(M34&gt;0,(P34+S34)+IF(U$26&gt;0,P34,-8),0)+IF(AE$26&gt;0,S34,0)</f>
        <v>2</v>
      </c>
      <c r="W34" s="334">
        <v>7</v>
      </c>
      <c r="X34" s="342">
        <v>17</v>
      </c>
      <c r="Y34" s="30">
        <v>1</v>
      </c>
      <c r="Z34" s="31">
        <f t="shared" si="37"/>
        <v>9</v>
      </c>
      <c r="AA34" s="342"/>
      <c r="AB34" s="116"/>
      <c r="AC34" s="31">
        <f t="shared" si="38"/>
        <v>0</v>
      </c>
      <c r="AD34" s="30"/>
      <c r="AE34" s="32">
        <f t="shared" si="39"/>
        <v>8</v>
      </c>
      <c r="AF34" s="20">
        <f t="shared" si="49"/>
        <v>1</v>
      </c>
      <c r="AG34" s="55"/>
      <c r="AH34" s="112">
        <v>0</v>
      </c>
      <c r="AI34" s="113">
        <f t="shared" si="40"/>
        <v>0</v>
      </c>
      <c r="AJ34" s="113">
        <f t="shared" si="41"/>
        <v>0</v>
      </c>
      <c r="AK34" s="113">
        <f>IF(ISBLANK($AE$5),-8,0)+AE13</f>
        <v>0</v>
      </c>
      <c r="AL34" s="113">
        <f t="shared" si="42"/>
        <v>0</v>
      </c>
      <c r="AM34" s="113">
        <f t="shared" si="43"/>
        <v>-8</v>
      </c>
      <c r="AN34" s="113">
        <f t="shared" si="44"/>
        <v>0</v>
      </c>
      <c r="AO34" s="113">
        <f t="shared" si="45"/>
        <v>0</v>
      </c>
      <c r="AP34" s="114">
        <f t="shared" si="46"/>
        <v>-8</v>
      </c>
      <c r="AQ34" s="55"/>
      <c r="AR34" s="1159">
        <f t="shared" si="47"/>
        <v>0</v>
      </c>
      <c r="AS34" s="1160"/>
      <c r="AT34" s="118">
        <f t="shared" si="48"/>
        <v>5</v>
      </c>
      <c r="AU34" s="55"/>
      <c r="AV34" s="55"/>
      <c r="AW34" s="1134"/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23</v>
      </c>
      <c r="E35" s="119">
        <v>2</v>
      </c>
      <c r="F35" s="120">
        <f t="shared" si="31"/>
        <v>14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6</v>
      </c>
      <c r="M35" s="342">
        <v>7</v>
      </c>
      <c r="N35" s="342">
        <v>18</v>
      </c>
      <c r="O35" s="30">
        <v>1</v>
      </c>
      <c r="P35" s="31">
        <f t="shared" si="34"/>
        <v>10</v>
      </c>
      <c r="Q35" s="346"/>
      <c r="R35" s="346"/>
      <c r="S35" s="120">
        <f t="shared" si="35"/>
        <v>0</v>
      </c>
      <c r="T35" s="30"/>
      <c r="U35" s="32">
        <f t="shared" si="36"/>
        <v>8</v>
      </c>
      <c r="V35" s="20">
        <f t="shared" si="51"/>
        <v>2</v>
      </c>
      <c r="W35" s="334">
        <v>7</v>
      </c>
      <c r="X35" s="342">
        <v>20</v>
      </c>
      <c r="Y35" s="30">
        <v>1</v>
      </c>
      <c r="Z35" s="31">
        <f t="shared" si="37"/>
        <v>12</v>
      </c>
      <c r="AA35" s="342"/>
      <c r="AB35" s="342"/>
      <c r="AC35" s="31">
        <f t="shared" si="38"/>
        <v>0</v>
      </c>
      <c r="AD35" s="30"/>
      <c r="AE35" s="32">
        <f t="shared" si="39"/>
        <v>8</v>
      </c>
      <c r="AF35" s="20">
        <f t="shared" si="49"/>
        <v>4</v>
      </c>
      <c r="AG35" s="55"/>
      <c r="AH35" s="112">
        <v>0</v>
      </c>
      <c r="AI35" s="113">
        <f t="shared" si="40"/>
        <v>0</v>
      </c>
      <c r="AJ35" s="113">
        <f t="shared" si="41"/>
        <v>0</v>
      </c>
      <c r="AK35" s="113">
        <f>IF(ISBLANK($AE$5),-8,0)+AE14</f>
        <v>0</v>
      </c>
      <c r="AL35" s="113">
        <f t="shared" si="42"/>
        <v>0</v>
      </c>
      <c r="AM35" s="113">
        <f t="shared" si="43"/>
        <v>0</v>
      </c>
      <c r="AN35" s="113">
        <f t="shared" si="44"/>
        <v>0</v>
      </c>
      <c r="AO35" s="113">
        <f t="shared" si="45"/>
        <v>0</v>
      </c>
      <c r="AP35" s="114">
        <f t="shared" si="46"/>
        <v>0</v>
      </c>
      <c r="AQ35" s="55"/>
      <c r="AR35" s="1159">
        <f t="shared" si="47"/>
        <v>0</v>
      </c>
      <c r="AS35" s="1160"/>
      <c r="AT35" s="118">
        <f t="shared" si="48"/>
        <v>7</v>
      </c>
      <c r="AU35" s="55"/>
      <c r="AV35" s="55"/>
      <c r="AW35" s="1195">
        <v>-16</v>
      </c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7</v>
      </c>
      <c r="D36" s="342">
        <v>17</v>
      </c>
      <c r="E36" s="30">
        <v>1</v>
      </c>
      <c r="F36" s="31">
        <f t="shared" si="31"/>
        <v>9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1</v>
      </c>
      <c r="M36" s="342">
        <v>8</v>
      </c>
      <c r="N36" s="342">
        <v>18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51"/>
        <v>1</v>
      </c>
      <c r="W36" s="334">
        <v>7</v>
      </c>
      <c r="X36" s="342">
        <v>18</v>
      </c>
      <c r="Y36" s="30">
        <v>1</v>
      </c>
      <c r="Z36" s="31">
        <f t="shared" si="37"/>
        <v>10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9"/>
        <v>2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0.5</v>
      </c>
      <c r="AL36" s="113">
        <f t="shared" si="42"/>
        <v>0</v>
      </c>
      <c r="AM36" s="113">
        <f t="shared" si="43"/>
        <v>0</v>
      </c>
      <c r="AN36" s="113">
        <f t="shared" si="44"/>
        <v>0</v>
      </c>
      <c r="AO36" s="113">
        <f t="shared" si="45"/>
        <v>0</v>
      </c>
      <c r="AP36" s="114">
        <f t="shared" si="46"/>
        <v>0.5</v>
      </c>
      <c r="AQ36" s="55"/>
      <c r="AR36" s="1159">
        <f t="shared" si="47"/>
        <v>0</v>
      </c>
      <c r="AS36" s="1160"/>
      <c r="AT36" s="118">
        <f t="shared" si="48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0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1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9"/>
        <v>0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7"/>
        <v>0</v>
      </c>
      <c r="AS37" s="1160"/>
      <c r="AT37" s="118">
        <f t="shared" si="48"/>
        <v>6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-8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-48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7</v>
      </c>
      <c r="D39" s="348">
        <v>18</v>
      </c>
      <c r="E39" s="119">
        <v>1</v>
      </c>
      <c r="F39" s="31">
        <f t="shared" si="31"/>
        <v>10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2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346"/>
      <c r="R39" s="346"/>
      <c r="S39" s="31">
        <f t="shared" si="35"/>
        <v>0</v>
      </c>
      <c r="T39" s="30"/>
      <c r="U39" s="32">
        <f t="shared" si="36"/>
        <v>8</v>
      </c>
      <c r="V39" s="20">
        <f t="shared" si="51"/>
        <v>2</v>
      </c>
      <c r="W39" s="334">
        <v>7</v>
      </c>
      <c r="X39" s="342">
        <v>18</v>
      </c>
      <c r="Y39" s="30">
        <v>1</v>
      </c>
      <c r="Z39" s="31">
        <f t="shared" si="37"/>
        <v>10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9"/>
        <v>2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</v>
      </c>
      <c r="AL39" s="113">
        <f t="shared" si="42"/>
        <v>0</v>
      </c>
      <c r="AM39" s="125">
        <f t="shared" si="43"/>
        <v>0</v>
      </c>
      <c r="AN39" s="125">
        <f t="shared" si="44"/>
        <v>0</v>
      </c>
      <c r="AO39" s="125">
        <f t="shared" si="45"/>
        <v>0</v>
      </c>
      <c r="AP39" s="114">
        <f t="shared" si="46"/>
        <v>0</v>
      </c>
      <c r="AQ39" s="55"/>
      <c r="AR39" s="1159">
        <f t="shared" si="47"/>
        <v>0</v>
      </c>
      <c r="AS39" s="1160"/>
      <c r="AT39" s="118">
        <f t="shared" si="48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-8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-48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-8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-48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18</v>
      </c>
      <c r="Y42" s="719">
        <v>1</v>
      </c>
      <c r="Z42" s="720">
        <f>+X42-W42-Y42</f>
        <v>10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2</v>
      </c>
      <c r="AG42" s="55"/>
      <c r="AH42" s="143">
        <v>0</v>
      </c>
      <c r="AI42" s="144">
        <f t="shared" si="40"/>
        <v>-8</v>
      </c>
      <c r="AJ42" s="144">
        <f t="shared" si="41"/>
        <v>0</v>
      </c>
      <c r="AK42" s="144">
        <f t="shared" si="52"/>
        <v>0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-8</v>
      </c>
      <c r="AQ42" s="55"/>
      <c r="AR42" s="1159">
        <f>+X82*Q82</f>
        <v>0</v>
      </c>
      <c r="AS42" s="1160"/>
      <c r="AT42" s="118">
        <f t="shared" si="48"/>
        <v>6</v>
      </c>
      <c r="AU42" s="55"/>
      <c r="AV42" s="55"/>
      <c r="AW42" s="1185">
        <v>-18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18</v>
      </c>
      <c r="Y43" s="719">
        <v>1</v>
      </c>
      <c r="Z43" s="720">
        <f>+X43-W43-Y43</f>
        <v>10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2</v>
      </c>
      <c r="AG43" s="55"/>
      <c r="AH43" s="127">
        <v>0</v>
      </c>
      <c r="AI43" s="113">
        <f t="shared" si="40"/>
        <v>-8</v>
      </c>
      <c r="AJ43" s="113">
        <f t="shared" si="41"/>
        <v>0</v>
      </c>
      <c r="AK43" s="128">
        <f t="shared" si="52"/>
        <v>0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-8</v>
      </c>
      <c r="AQ43" s="55"/>
      <c r="AR43" s="1159"/>
      <c r="AS43" s="1160"/>
      <c r="AT43" s="118">
        <f t="shared" si="48"/>
        <v>6</v>
      </c>
      <c r="AU43" s="55"/>
      <c r="AV43" s="55"/>
      <c r="AW43" s="1134">
        <v>-16</v>
      </c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2</v>
      </c>
      <c r="M44" s="719">
        <v>7</v>
      </c>
      <c r="N44" s="719">
        <v>18</v>
      </c>
      <c r="O44" s="719">
        <v>1</v>
      </c>
      <c r="P44" s="720">
        <f t="shared" si="34"/>
        <v>10</v>
      </c>
      <c r="Q44" s="721"/>
      <c r="R44" s="721"/>
      <c r="S44" s="720">
        <f t="shared" si="35"/>
        <v>0</v>
      </c>
      <c r="T44" s="719"/>
      <c r="U44" s="32">
        <f t="shared" si="36"/>
        <v>8</v>
      </c>
      <c r="V44" s="722">
        <f t="shared" si="51"/>
        <v>2</v>
      </c>
      <c r="W44" s="723">
        <v>7</v>
      </c>
      <c r="X44" s="719">
        <v>18</v>
      </c>
      <c r="Y44" s="719">
        <v>1</v>
      </c>
      <c r="Z44" s="720">
        <f t="shared" si="37"/>
        <v>10</v>
      </c>
      <c r="AA44" s="719"/>
      <c r="AB44" s="724"/>
      <c r="AC44" s="720">
        <f t="shared" si="38"/>
        <v>0</v>
      </c>
      <c r="AD44" s="719"/>
      <c r="AE44" s="32">
        <f t="shared" si="39"/>
        <v>8</v>
      </c>
      <c r="AF44" s="722">
        <f t="shared" si="49"/>
        <v>2</v>
      </c>
      <c r="AG44" s="55"/>
      <c r="AH44" s="490">
        <v>0</v>
      </c>
      <c r="AI44" s="527">
        <f t="shared" si="40"/>
        <v>0</v>
      </c>
      <c r="AJ44" s="527">
        <f t="shared" si="41"/>
        <v>0</v>
      </c>
      <c r="AK44" s="527">
        <f t="shared" si="52"/>
        <v>0</v>
      </c>
      <c r="AL44" s="527">
        <f t="shared" si="42"/>
        <v>0</v>
      </c>
      <c r="AM44" s="527">
        <f t="shared" si="43"/>
        <v>0</v>
      </c>
      <c r="AN44" s="527">
        <f t="shared" si="44"/>
        <v>0</v>
      </c>
      <c r="AO44" s="527">
        <f t="shared" si="45"/>
        <v>0</v>
      </c>
      <c r="AP44" s="492">
        <f t="shared" si="46"/>
        <v>0</v>
      </c>
      <c r="AQ44" s="55"/>
      <c r="AR44" s="1187">
        <f>+X81*Q81</f>
        <v>0</v>
      </c>
      <c r="AS44" s="1188"/>
      <c r="AT44" s="528">
        <f>IF(K23+L23&gt;0,1,0)+IF(U23+V23&gt;0,1,0)+IF(AE23+AF23&gt;0,1,0)+IF(AO23&gt;3,1,0)+IF(K44+L44&gt;0,1,0)+IF(U44+V44&gt;0,1,0)+IF(AE44+AF44&gt;0,1,0)+AV44</f>
        <v>6</v>
      </c>
      <c r="AU44" s="55"/>
      <c r="AV44" s="55"/>
      <c r="AW44" s="1189"/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-8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131</v>
      </c>
      <c r="AS46" s="1162"/>
      <c r="AT46" s="167">
        <f>SUM(AT32:AT45)</f>
        <v>55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68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43265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43266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43267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43268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43269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43270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43271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848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0</v>
      </c>
      <c r="V71" s="239">
        <v>48</v>
      </c>
      <c r="W71" s="240">
        <f t="shared" ref="W71:W86" si="59">+V71-U71</f>
        <v>48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66.5</v>
      </c>
      <c r="V72" s="239">
        <v>48</v>
      </c>
      <c r="W72" s="240">
        <f t="shared" si="59"/>
        <v>-18.5</v>
      </c>
      <c r="X72" s="241">
        <f t="shared" si="60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40</v>
      </c>
      <c r="V73" s="239">
        <v>48</v>
      </c>
      <c r="W73" s="240">
        <f t="shared" si="59"/>
        <v>8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64</v>
      </c>
      <c r="V74" s="239">
        <v>48</v>
      </c>
      <c r="W74" s="240">
        <f t="shared" si="59"/>
        <v>-16</v>
      </c>
      <c r="X74" s="241">
        <f t="shared" si="60"/>
        <v>0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48.5</v>
      </c>
      <c r="V75" s="239">
        <v>48</v>
      </c>
      <c r="W75" s="240">
        <f t="shared" si="59"/>
        <v>-0.5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45</v>
      </c>
      <c r="V76" s="239">
        <v>48</v>
      </c>
      <c r="W76" s="240">
        <f>+V76-U76</f>
        <v>3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846"/>
      <c r="AA77" s="846"/>
      <c r="AB77" s="846"/>
      <c r="AC77" s="846"/>
      <c r="AD77" s="846"/>
      <c r="AE77" s="386"/>
      <c r="AF77" s="386"/>
      <c r="AG77" s="845"/>
      <c r="AH77" s="845"/>
      <c r="AI77" s="393"/>
      <c r="AJ77" s="393"/>
      <c r="AK77" s="393"/>
      <c r="AL77" s="393"/>
      <c r="AM77" s="845"/>
      <c r="AN77" s="845"/>
      <c r="AO77" s="845"/>
      <c r="AP77" s="845"/>
      <c r="AQ77" s="845"/>
      <c r="AR77" s="845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848"/>
      <c r="T78" s="848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848"/>
      <c r="Z78" s="846"/>
      <c r="AA78" s="846"/>
      <c r="AB78" s="846"/>
      <c r="AC78" s="846"/>
      <c r="AD78" s="846"/>
      <c r="AE78" s="386"/>
      <c r="AF78" s="386"/>
      <c r="AG78" s="845"/>
      <c r="AH78" s="845"/>
      <c r="AI78" s="393"/>
      <c r="AJ78" s="393"/>
      <c r="AK78" s="393"/>
      <c r="AL78" s="393"/>
      <c r="AM78" s="845"/>
      <c r="AN78" s="845"/>
      <c r="AO78" s="845"/>
      <c r="AP78" s="845"/>
      <c r="AQ78" s="845"/>
      <c r="AR78" s="845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56</v>
      </c>
      <c r="V79" s="239">
        <v>48</v>
      </c>
      <c r="W79" s="240">
        <f>+V79-U79</f>
        <v>-8</v>
      </c>
      <c r="X79" s="241">
        <f t="shared" si="60"/>
        <v>0</v>
      </c>
      <c r="Z79" s="246"/>
      <c r="AA79" s="246"/>
      <c r="AB79" s="846"/>
      <c r="AC79" s="846"/>
      <c r="AD79" s="846"/>
      <c r="AE79" s="386"/>
      <c r="AF79" s="386"/>
      <c r="AG79" s="845"/>
      <c r="AH79" s="845"/>
      <c r="AI79" s="845"/>
      <c r="AJ79" s="845"/>
      <c r="AK79" s="845"/>
      <c r="AL79" s="845"/>
      <c r="AM79" s="845"/>
      <c r="AN79" s="845"/>
      <c r="AO79" s="845"/>
      <c r="AP79" s="845"/>
      <c r="AQ79" s="845"/>
      <c r="AR79" s="845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846"/>
      <c r="AC80" s="846"/>
      <c r="AD80" s="846"/>
      <c r="AE80" s="386"/>
      <c r="AF80" s="386"/>
      <c r="AG80" s="845"/>
      <c r="AH80" s="845"/>
      <c r="AI80" s="845"/>
      <c r="AJ80" s="845"/>
      <c r="AK80" s="845"/>
      <c r="AL80" s="845"/>
      <c r="AM80" s="845"/>
      <c r="AN80" s="845"/>
      <c r="AO80" s="845"/>
      <c r="AP80" s="845"/>
      <c r="AQ80" s="845"/>
      <c r="AR80" s="845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48</v>
      </c>
      <c r="V81" s="239">
        <v>48</v>
      </c>
      <c r="W81" s="240">
        <f>+V81-U81</f>
        <v>0</v>
      </c>
      <c r="X81" s="241">
        <f>+J23+T23+AD23+J44+T44+AD44</f>
        <v>0</v>
      </c>
      <c r="Z81" s="246"/>
      <c r="AA81" s="246"/>
      <c r="AB81" s="846"/>
      <c r="AC81" s="846"/>
      <c r="AD81" s="846"/>
      <c r="AE81" s="386"/>
      <c r="AF81" s="386"/>
      <c r="AG81" s="845"/>
      <c r="AH81" s="845"/>
      <c r="AI81" s="845"/>
      <c r="AJ81" s="845"/>
      <c r="AK81" s="393"/>
      <c r="AL81" s="393"/>
      <c r="AM81" s="845"/>
      <c r="AN81" s="845"/>
      <c r="AO81" s="845"/>
      <c r="AP81" s="845"/>
      <c r="AQ81" s="845"/>
      <c r="AR81" s="845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56</v>
      </c>
      <c r="V82" s="239">
        <v>48</v>
      </c>
      <c r="W82" s="240">
        <f t="shared" si="59"/>
        <v>-8</v>
      </c>
      <c r="X82" s="241">
        <f>+J21+T21+AD21+J42+T42+AD42</f>
        <v>0</v>
      </c>
      <c r="Z82" s="246"/>
      <c r="AA82" s="246"/>
      <c r="AB82" s="846"/>
      <c r="AC82" s="846"/>
      <c r="AD82" s="846"/>
      <c r="AE82" s="386"/>
      <c r="AF82" s="386"/>
      <c r="AG82" s="845"/>
      <c r="AH82" s="845"/>
      <c r="AI82" s="845"/>
      <c r="AJ82" s="845"/>
      <c r="AK82" s="845"/>
      <c r="AL82" s="845"/>
      <c r="AM82" s="845"/>
      <c r="AN82" s="845"/>
      <c r="AO82" s="845"/>
      <c r="AP82" s="845"/>
      <c r="AQ82" s="845"/>
      <c r="AR82" s="845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846"/>
      <c r="AC83" s="846"/>
      <c r="AD83" s="846"/>
      <c r="AE83" s="386"/>
      <c r="AF83" s="386"/>
      <c r="AG83" s="845"/>
      <c r="AH83" s="845"/>
      <c r="AI83" s="845"/>
      <c r="AJ83" s="845"/>
      <c r="AK83" s="845"/>
      <c r="AL83" s="845"/>
      <c r="AM83" s="845"/>
      <c r="AN83" s="845"/>
      <c r="AO83" s="845"/>
      <c r="AP83" s="845"/>
      <c r="AQ83" s="845"/>
      <c r="AR83" s="845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846"/>
      <c r="AC84" s="846"/>
      <c r="AD84" s="846"/>
      <c r="AE84" s="386"/>
      <c r="AF84" s="386"/>
      <c r="AG84" s="845"/>
      <c r="AH84" s="845"/>
      <c r="AI84" s="845"/>
      <c r="AJ84" s="845"/>
      <c r="AK84" s="834"/>
      <c r="AL84" s="834"/>
      <c r="AM84" s="834"/>
      <c r="AN84" s="834"/>
      <c r="AO84" s="834"/>
      <c r="AP84" s="834"/>
      <c r="AQ84" s="834"/>
      <c r="AR84" s="834"/>
      <c r="AS84" s="386"/>
      <c r="AT84" s="386"/>
    </row>
    <row r="85" spans="1:46" ht="16.5">
      <c r="A85" s="247"/>
      <c r="B85" s="250" t="s">
        <v>147</v>
      </c>
      <c r="C85" s="835"/>
      <c r="D85" s="836"/>
      <c r="E85" s="837"/>
      <c r="F85" s="838"/>
      <c r="G85" s="839"/>
      <c r="H85" s="840"/>
      <c r="I85" s="837"/>
      <c r="J85" s="838"/>
      <c r="K85" s="849"/>
      <c r="L85" s="850"/>
      <c r="M85" s="5"/>
      <c r="N85" s="841"/>
      <c r="O85" s="842"/>
      <c r="P85" s="5"/>
      <c r="Q85" s="843"/>
      <c r="R85" s="844"/>
      <c r="U85" s="238"/>
      <c r="V85" s="239"/>
      <c r="W85" s="240"/>
      <c r="X85" s="241"/>
      <c r="Z85" s="246"/>
      <c r="AA85" s="246"/>
      <c r="AB85" s="846"/>
      <c r="AC85" s="846"/>
      <c r="AD85" s="846"/>
      <c r="AE85" s="386"/>
      <c r="AF85" s="386"/>
      <c r="AG85" s="845"/>
      <c r="AH85" s="845"/>
      <c r="AI85" s="845"/>
      <c r="AJ85" s="845"/>
      <c r="AK85" s="834"/>
      <c r="AL85" s="834"/>
      <c r="AM85" s="834"/>
      <c r="AN85" s="834"/>
      <c r="AO85" s="834"/>
      <c r="AP85" s="834"/>
      <c r="AQ85" s="834"/>
      <c r="AR85" s="834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846"/>
      <c r="AC86" s="846"/>
      <c r="AD86" s="846"/>
      <c r="AE86" s="386"/>
      <c r="AF86" s="386"/>
      <c r="AG86" s="845"/>
      <c r="AH86" s="845"/>
      <c r="AI86" s="845"/>
      <c r="AJ86" s="845"/>
      <c r="AK86" s="845"/>
      <c r="AL86" s="845"/>
      <c r="AM86" s="845"/>
      <c r="AN86" s="845"/>
      <c r="AO86" s="845"/>
      <c r="AP86" s="845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845"/>
      <c r="AF90" s="845"/>
      <c r="AG90" s="386"/>
      <c r="AH90" s="386"/>
      <c r="AI90" s="386"/>
      <c r="AJ90" s="845"/>
      <c r="AK90" s="845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845"/>
      <c r="AF91" s="845"/>
      <c r="AG91" s="386"/>
      <c r="AH91" s="386"/>
      <c r="AI91" s="386"/>
      <c r="AJ91" s="845"/>
      <c r="AK91" s="845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845"/>
      <c r="AF93" s="845"/>
      <c r="AG93" s="386"/>
      <c r="AH93" s="386"/>
      <c r="AI93" s="386"/>
      <c r="AJ93" s="845"/>
      <c r="AK93" s="845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845"/>
      <c r="AF96" s="845"/>
      <c r="AG96" s="386"/>
      <c r="AH96" s="386"/>
      <c r="AI96" s="386"/>
      <c r="AJ96" s="845"/>
      <c r="AK96" s="845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834"/>
      <c r="AM98" s="845"/>
      <c r="AN98" s="834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845"/>
      <c r="AF108" s="845"/>
      <c r="AG108" s="386"/>
      <c r="AH108" s="386"/>
      <c r="AI108" s="386"/>
      <c r="AJ108" s="845"/>
      <c r="AK108" s="845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834"/>
      <c r="AM116" s="845"/>
      <c r="AN116" s="834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845"/>
      <c r="AF127" s="845"/>
      <c r="AG127" s="386"/>
      <c r="AH127" s="386"/>
      <c r="AI127" s="386"/>
      <c r="AJ127" s="845"/>
      <c r="AK127" s="845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845"/>
      <c r="AF128" s="845"/>
      <c r="AG128" s="386"/>
      <c r="AH128" s="386"/>
      <c r="AI128" s="386"/>
      <c r="AJ128" s="845"/>
      <c r="AK128" s="845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845"/>
      <c r="AF130" s="845"/>
      <c r="AG130" s="386"/>
      <c r="AH130" s="386"/>
      <c r="AI130" s="386"/>
      <c r="AJ130" s="845"/>
      <c r="AK130" s="845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845"/>
      <c r="AF133" s="845"/>
      <c r="AG133" s="386"/>
      <c r="AH133" s="386"/>
      <c r="AI133" s="386"/>
      <c r="AJ133" s="845"/>
      <c r="AK133" s="845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834"/>
      <c r="AM135" s="845"/>
      <c r="AN135" s="834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845"/>
      <c r="AF145" s="845"/>
      <c r="AG145" s="386"/>
      <c r="AH145" s="386"/>
      <c r="AI145" s="386"/>
      <c r="AJ145" s="845"/>
      <c r="AK145" s="845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845"/>
      <c r="AF146" s="845"/>
      <c r="AG146" s="386"/>
      <c r="AH146" s="386"/>
      <c r="AI146" s="386"/>
      <c r="AJ146" s="845"/>
      <c r="AK146" s="845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845"/>
      <c r="AF148" s="845"/>
      <c r="AG148" s="386"/>
      <c r="AH148" s="386"/>
      <c r="AI148" s="386"/>
      <c r="AJ148" s="845"/>
      <c r="AK148" s="845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845"/>
      <c r="AF151" s="845"/>
      <c r="AG151" s="386"/>
      <c r="AH151" s="386"/>
      <c r="AI151" s="386"/>
      <c r="AJ151" s="845"/>
      <c r="AK151" s="845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834"/>
      <c r="AM153" s="845"/>
      <c r="AN153" s="834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845"/>
      <c r="AF165" s="845"/>
      <c r="AG165" s="386"/>
      <c r="AH165" s="386"/>
      <c r="AI165" s="386"/>
      <c r="AJ165" s="845"/>
      <c r="AK165" s="845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834"/>
      <c r="AM173" s="845"/>
      <c r="AN173" s="834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845"/>
      <c r="AF184" s="845"/>
      <c r="AG184" s="386"/>
      <c r="AH184" s="386"/>
      <c r="AI184" s="386"/>
      <c r="AJ184" s="845"/>
      <c r="AK184" s="845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845"/>
      <c r="AF185" s="845"/>
      <c r="AG185" s="386"/>
      <c r="AH185" s="386"/>
      <c r="AI185" s="386"/>
      <c r="AJ185" s="845"/>
      <c r="AK185" s="845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845"/>
      <c r="AF187" s="845"/>
      <c r="AG187" s="386"/>
      <c r="AH187" s="386"/>
      <c r="AI187" s="386"/>
      <c r="AJ187" s="845"/>
      <c r="AK187" s="845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845"/>
      <c r="AF190" s="845"/>
      <c r="AG190" s="386"/>
      <c r="AH190" s="386"/>
      <c r="AI190" s="386"/>
      <c r="AJ190" s="845"/>
      <c r="AK190" s="845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834"/>
      <c r="AM192" s="845"/>
      <c r="AN192" s="834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848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848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848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848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848"/>
      <c r="AB204" s="848"/>
      <c r="AC204" s="848"/>
      <c r="AD204" s="848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846"/>
      <c r="AB205" s="846"/>
      <c r="AC205" s="846"/>
      <c r="AD205" s="846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846"/>
      <c r="AB206" s="846"/>
      <c r="AC206" s="846"/>
      <c r="AD206" s="846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846"/>
      <c r="AB207" s="846"/>
      <c r="AC207" s="846"/>
      <c r="AD207" s="846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846"/>
      <c r="AB208" s="846"/>
      <c r="AC208" s="846"/>
      <c r="AD208" s="846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846"/>
      <c r="AB209" s="846"/>
      <c r="AC209" s="846"/>
      <c r="AD209" s="846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846"/>
      <c r="AF210" s="386"/>
      <c r="AG210" s="845"/>
      <c r="AH210" s="845"/>
      <c r="AI210" s="386"/>
      <c r="AJ210" s="386"/>
      <c r="AK210" s="834"/>
      <c r="AL210" s="834"/>
      <c r="AM210" s="834"/>
      <c r="AN210" s="834"/>
      <c r="AO210" s="834"/>
      <c r="AP210" s="834"/>
      <c r="AQ210" s="834"/>
      <c r="AR210" s="834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846"/>
      <c r="AA211" s="846"/>
      <c r="AB211" s="846"/>
      <c r="AC211" s="846"/>
      <c r="AD211" s="846"/>
      <c r="AE211" s="386"/>
      <c r="AF211" s="386"/>
      <c r="AG211" s="244"/>
      <c r="AH211" s="244"/>
      <c r="AI211" s="845"/>
      <c r="AJ211" s="845"/>
      <c r="AK211" s="845"/>
      <c r="AL211" s="845"/>
      <c r="AM211" s="845"/>
      <c r="AN211" s="845"/>
      <c r="AO211" s="845"/>
      <c r="AP211" s="845"/>
      <c r="AQ211" s="845"/>
      <c r="AR211" s="845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845"/>
      <c r="AN212" s="845"/>
      <c r="AO212" s="845"/>
      <c r="AP212" s="845"/>
      <c r="AQ212" s="845"/>
      <c r="AR212" s="845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846"/>
      <c r="AA213" s="846"/>
      <c r="AB213" s="846"/>
      <c r="AC213" s="846"/>
      <c r="AD213" s="846"/>
      <c r="AE213" s="386"/>
      <c r="AF213" s="386"/>
      <c r="AG213" s="845"/>
      <c r="AH213" s="845"/>
      <c r="AI213" s="393"/>
      <c r="AJ213" s="393"/>
      <c r="AK213" s="393"/>
      <c r="AL213" s="393"/>
      <c r="AM213" s="845"/>
      <c r="AN213" s="845"/>
      <c r="AO213" s="845"/>
      <c r="AP213" s="845"/>
      <c r="AQ213" s="845"/>
      <c r="AR213" s="845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848"/>
      <c r="T214" s="848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848"/>
      <c r="Z214" s="846"/>
      <c r="AA214" s="846"/>
      <c r="AB214" s="846"/>
      <c r="AC214" s="846"/>
      <c r="AD214" s="846"/>
      <c r="AE214" s="386"/>
      <c r="AF214" s="386"/>
      <c r="AG214" s="845"/>
      <c r="AH214" s="845"/>
      <c r="AI214" s="393"/>
      <c r="AJ214" s="393"/>
      <c r="AK214" s="393"/>
      <c r="AL214" s="393"/>
      <c r="AM214" s="845"/>
      <c r="AN214" s="845"/>
      <c r="AO214" s="845"/>
      <c r="AP214" s="845"/>
      <c r="AQ214" s="845"/>
      <c r="AR214" s="845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846"/>
      <c r="AC215" s="846"/>
      <c r="AD215" s="846"/>
      <c r="AE215" s="386"/>
      <c r="AF215" s="386"/>
      <c r="AG215" s="845"/>
      <c r="AH215" s="845"/>
      <c r="AI215" s="845"/>
      <c r="AJ215" s="845"/>
      <c r="AK215" s="845"/>
      <c r="AL215" s="845"/>
      <c r="AM215" s="845"/>
      <c r="AN215" s="845"/>
      <c r="AO215" s="845"/>
      <c r="AP215" s="845"/>
      <c r="AQ215" s="845"/>
      <c r="AR215" s="845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846"/>
      <c r="AE216" s="386"/>
      <c r="AF216" s="386"/>
      <c r="AG216" s="244"/>
      <c r="AH216" s="244"/>
      <c r="AI216" s="845"/>
      <c r="AJ216" s="845"/>
      <c r="AK216" s="845"/>
      <c r="AL216" s="845"/>
      <c r="AM216" s="845"/>
      <c r="AN216" s="845"/>
      <c r="AO216" s="845"/>
      <c r="AP216" s="845"/>
      <c r="AQ216" s="845"/>
      <c r="AR216" s="845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846"/>
      <c r="AD217" s="846"/>
      <c r="AE217" s="386"/>
      <c r="AF217" s="386"/>
      <c r="AG217" s="845"/>
      <c r="AH217" s="845"/>
      <c r="AI217" s="393"/>
      <c r="AJ217" s="393"/>
      <c r="AK217" s="393"/>
      <c r="AL217" s="393"/>
      <c r="AM217" s="845"/>
      <c r="AN217" s="845"/>
      <c r="AO217" s="845"/>
      <c r="AP217" s="845"/>
      <c r="AQ217" s="845"/>
      <c r="AR217" s="845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846"/>
      <c r="AD218" s="846"/>
      <c r="AE218" s="386"/>
      <c r="AF218" s="386"/>
      <c r="AG218" s="393"/>
      <c r="AH218" s="393"/>
      <c r="AI218" s="845"/>
      <c r="AJ218" s="845"/>
      <c r="AK218" s="845"/>
      <c r="AL218" s="845"/>
      <c r="AM218" s="845"/>
      <c r="AN218" s="845"/>
      <c r="AO218" s="845"/>
      <c r="AP218" s="845"/>
      <c r="AQ218" s="845"/>
      <c r="AR218" s="845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846"/>
      <c r="AC219" s="846"/>
      <c r="AD219" s="846">
        <v>200</v>
      </c>
      <c r="AE219" s="386"/>
      <c r="AF219" s="1023">
        <f>+AD219/6</f>
        <v>33.333333333333336</v>
      </c>
      <c r="AG219" s="1023"/>
      <c r="AH219" s="1023"/>
      <c r="AI219" s="845"/>
      <c r="AJ219" s="845"/>
      <c r="AK219" s="845"/>
      <c r="AL219" s="845"/>
      <c r="AM219" s="845"/>
      <c r="AN219" s="845"/>
      <c r="AO219" s="845"/>
      <c r="AP219" s="845"/>
      <c r="AQ219" s="845"/>
      <c r="AR219" s="845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846"/>
      <c r="AA220" s="846"/>
      <c r="AB220" s="846"/>
      <c r="AC220" s="846"/>
      <c r="AG220" s="845"/>
      <c r="AH220" s="845"/>
      <c r="AI220" s="386"/>
      <c r="AJ220" s="386"/>
      <c r="AK220" s="834"/>
      <c r="AL220" s="834"/>
      <c r="AM220" s="834"/>
      <c r="AN220" s="834"/>
      <c r="AO220" s="834"/>
      <c r="AP220" s="834"/>
      <c r="AQ220" s="834"/>
      <c r="AR220" s="834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846"/>
      <c r="AC221" s="846"/>
      <c r="AD221" s="846"/>
      <c r="AE221" s="386"/>
      <c r="AF221" s="386"/>
      <c r="AG221" s="845"/>
      <c r="AH221" s="845"/>
      <c r="AI221" s="845"/>
      <c r="AJ221" s="845"/>
      <c r="AK221" s="845"/>
      <c r="AL221" s="845"/>
      <c r="AM221" s="845"/>
      <c r="AN221" s="845"/>
      <c r="AO221" s="845"/>
      <c r="AP221" s="845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847"/>
      <c r="E224" s="304"/>
      <c r="F224" s="305"/>
      <c r="G224" s="847"/>
      <c r="H224" s="847"/>
      <c r="I224" s="305"/>
      <c r="J224" s="847"/>
      <c r="K224" s="306"/>
      <c r="L224" s="306"/>
      <c r="M224" s="847"/>
      <c r="N224" s="847"/>
      <c r="O224" s="847"/>
      <c r="P224" s="847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845"/>
      <c r="AF244" s="845"/>
      <c r="AG244" s="386"/>
      <c r="AH244" s="386"/>
      <c r="AI244" s="386"/>
      <c r="AJ244" s="845"/>
      <c r="AK244" s="845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845"/>
      <c r="AF245" s="845"/>
      <c r="AG245" s="386"/>
      <c r="AH245" s="386"/>
      <c r="AI245" s="386"/>
      <c r="AJ245" s="845"/>
      <c r="AK245" s="845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845"/>
      <c r="AF247" s="845"/>
      <c r="AG247" s="386"/>
      <c r="AH247" s="386"/>
      <c r="AI247" s="386"/>
      <c r="AJ247" s="845"/>
      <c r="AK247" s="845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845"/>
      <c r="AF250" s="845"/>
      <c r="AG250" s="386"/>
      <c r="AH250" s="386"/>
      <c r="AI250" s="386"/>
      <c r="AJ250" s="845"/>
      <c r="AK250" s="845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834"/>
      <c r="AM252" s="845"/>
      <c r="AN252" s="834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847"/>
      <c r="E261" s="304"/>
      <c r="F261" s="305"/>
      <c r="G261" s="847"/>
      <c r="H261" s="847"/>
      <c r="I261" s="305"/>
      <c r="J261" s="847"/>
      <c r="K261" s="306"/>
      <c r="L261" s="306"/>
      <c r="M261" s="847"/>
      <c r="N261" s="847"/>
      <c r="O261" s="847"/>
      <c r="P261" s="847"/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0:AP203 AH60 AP60 AP32:AP48 AH32:AH48">
    <cfRule type="cellIs" dxfId="566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565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564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563" priority="18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562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561" priority="16" stopIfTrue="1" operator="lessThanOrEqual">
      <formula>0</formula>
    </cfRule>
  </conditionalFormatting>
  <conditionalFormatting sqref="AA66:AB68 AA71:AB73 W210:X219 Z49:AA53 Z61:AA61 W86:X86 W74:X83 Z200:AA202 W221:X221">
    <cfRule type="cellIs" dxfId="560" priority="15" stopIfTrue="1" operator="lessThan">
      <formula>0</formula>
    </cfRule>
  </conditionalFormatting>
  <conditionalFormatting sqref="X49:X53 X61:X66 U86 U74:U83 X200:X202 U221 U210:U219">
    <cfRule type="cellIs" dxfId="559" priority="14" stopIfTrue="1" operator="greaterThan">
      <formula>48</formula>
    </cfRule>
  </conditionalFormatting>
  <conditionalFormatting sqref="C276:C280 C288:D291 C159:D159 D276:D287 C87:D142 C241:D241 C222:D222">
    <cfRule type="cellIs" dxfId="558" priority="13" stopIfTrue="1" operator="lessThan">
      <formula>$C$71</formula>
    </cfRule>
  </conditionalFormatting>
  <conditionalFormatting sqref="AI60:AO60 AI32:AO48">
    <cfRule type="cellIs" dxfId="557" priority="11" stopIfTrue="1" operator="equal">
      <formula>0</formula>
    </cfRule>
    <cfRule type="cellIs" dxfId="556" priority="12" stopIfTrue="1" operator="lessThan">
      <formula>0</formula>
    </cfRule>
  </conditionalFormatting>
  <conditionalFormatting sqref="AT60 AT32:AT45">
    <cfRule type="cellIs" dxfId="555" priority="9" stopIfTrue="1" operator="greaterThan">
      <formula>0</formula>
    </cfRule>
    <cfRule type="cellIs" dxfId="554" priority="10" stopIfTrue="1" operator="lessThan">
      <formula>1</formula>
    </cfRule>
  </conditionalFormatting>
  <conditionalFormatting sqref="K84:L85 K71:L81 K220:L220 K207:L217">
    <cfRule type="cellIs" dxfId="553" priority="8" stopIfTrue="1" operator="greaterThanOrEqual">
      <formula>$K$69</formula>
    </cfRule>
  </conditionalFormatting>
  <conditionalFormatting sqref="AF56:AF57 L12:L24 AF11:AF24 V12:V24 V32:V45 AF33:AF45 L32:L45">
    <cfRule type="cellIs" dxfId="552" priority="6" stopIfTrue="1" operator="equal">
      <formula>0</formula>
    </cfRule>
    <cfRule type="cellIs" dxfId="551" priority="7" stopIfTrue="1" operator="lessThan">
      <formula>0</formula>
    </cfRule>
  </conditionalFormatting>
  <conditionalFormatting sqref="K84:K85">
    <cfRule type="cellIs" dxfId="550" priority="5" stopIfTrue="1" operator="greaterThanOrEqual">
      <formula>$K$72</formula>
    </cfRule>
  </conditionalFormatting>
  <conditionalFormatting sqref="W84:X85">
    <cfRule type="cellIs" dxfId="549" priority="4" stopIfTrue="1" operator="lessThan">
      <formula>0</formula>
    </cfRule>
  </conditionalFormatting>
  <conditionalFormatting sqref="U84:U85">
    <cfRule type="cellIs" dxfId="548" priority="3" stopIfTrue="1" operator="greaterThan">
      <formula>48</formula>
    </cfRule>
  </conditionalFormatting>
  <conditionalFormatting sqref="AF32">
    <cfRule type="cellIs" dxfId="547" priority="1" stopIfTrue="1" operator="equal">
      <formula>0</formula>
    </cfRule>
    <cfRule type="cellIs" dxfId="546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T39" sqref="AT39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823" customWidth="1"/>
    <col min="5" max="5" width="4.28515625" style="3" customWidth="1"/>
    <col min="6" max="6" width="4.28515625" style="4" customWidth="1"/>
    <col min="7" max="8" width="4.28515625" style="823" customWidth="1"/>
    <col min="9" max="9" width="4.28515625" style="4" customWidth="1"/>
    <col min="10" max="10" width="4.28515625" style="823" customWidth="1"/>
    <col min="11" max="12" width="4.28515625" style="5" customWidth="1"/>
    <col min="13" max="26" width="4.28515625" style="823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43264</v>
      </c>
      <c r="C1" s="823" t="s">
        <v>0</v>
      </c>
      <c r="AN1" s="7"/>
      <c r="AO1" s="7"/>
      <c r="AR1" s="1340">
        <f>+AR46+AT46</f>
        <v>196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43265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823">
        <v>0</v>
      </c>
    </row>
    <row r="5" spans="1:58" ht="10.9" customHeight="1">
      <c r="B5" s="1244" t="s">
        <v>1</v>
      </c>
      <c r="C5" s="1140">
        <v>43258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43259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43260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43261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43258</v>
      </c>
      <c r="AW7" s="1296">
        <f>+M5</f>
        <v>43259</v>
      </c>
      <c r="AX7" s="1296">
        <f>+W5</f>
        <v>43260</v>
      </c>
      <c r="AY7" s="1309">
        <f>+AG5</f>
        <v>43261</v>
      </c>
      <c r="AZ7" s="1296">
        <f>+C26</f>
        <v>43262</v>
      </c>
      <c r="BA7" s="1296">
        <f>+M26</f>
        <v>43263</v>
      </c>
      <c r="BB7" s="1296">
        <f>+W26</f>
        <v>43264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2" si="3">+I11+F11-L11</f>
        <v>8</v>
      </c>
      <c r="L11" s="20">
        <f t="shared" ref="L11:L24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2" si="7">+S11+P11-V11</f>
        <v>8</v>
      </c>
      <c r="V11" s="20">
        <f t="shared" ref="V11:V20" si="8">IF(M11&gt;0,(P11+S11)+IF(U$5&gt;0,P11,-8),0)+IF(AE$5&gt;0,S11,0)</f>
        <v>-1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11</v>
      </c>
      <c r="AQ11" s="1298"/>
      <c r="AR11" s="1299">
        <f t="shared" ref="AR11:AR20" si="16">ROUND(BD11*AP11,1)</f>
        <v>50</v>
      </c>
      <c r="AS11" s="1300"/>
      <c r="AT11" s="338">
        <f t="shared" ref="AT11:AT24" si="17">IF(AT32&gt;0,AT32*$AT$10,0)</f>
        <v>28</v>
      </c>
      <c r="AV11" s="26">
        <f t="shared" ref="AV11:AV20" si="18">+L11</f>
        <v>0</v>
      </c>
      <c r="AW11" s="26">
        <f t="shared" ref="AW11:AW20" si="19">+V11</f>
        <v>-1</v>
      </c>
      <c r="AX11" s="26">
        <f t="shared" ref="AX11:AX20" si="20">+AF11</f>
        <v>-1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-1</v>
      </c>
      <c r="BB11" s="26">
        <f t="shared" ref="BB11:BB19" si="24">+AF32</f>
        <v>-2</v>
      </c>
      <c r="BC11" s="28"/>
      <c r="BD11" s="339">
        <f t="shared" ref="BD11:BD17" si="25">+I71</f>
        <v>4.5464285714285708</v>
      </c>
      <c r="BE11" s="340">
        <f t="shared" ref="BE11:BE20" si="26">+BD11*AP11</f>
        <v>50.010714285714279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23</v>
      </c>
      <c r="E12" s="30">
        <v>1</v>
      </c>
      <c r="F12" s="31">
        <f t="shared" si="1"/>
        <v>15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7</v>
      </c>
      <c r="M12" s="806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17</v>
      </c>
      <c r="Y12" s="30">
        <v>1</v>
      </c>
      <c r="Z12" s="31">
        <f t="shared" si="9"/>
        <v>9</v>
      </c>
      <c r="AA12" s="344"/>
      <c r="AB12" s="53">
        <v>-0.5</v>
      </c>
      <c r="AC12" s="36">
        <f t="shared" si="10"/>
        <v>-0.5</v>
      </c>
      <c r="AD12" s="30"/>
      <c r="AE12" s="32">
        <f t="shared" si="11"/>
        <v>8.5</v>
      </c>
      <c r="AF12" s="20">
        <f>IF(W12&gt;0,IF(AE$5&gt;0,(Z12+AC12)*2,(Z12+AC12-8)),0)*IF(Z12&lt;9,IF(AE$5&gt;0,1,2),1)+IF(Z12&gt;8,AC12,0)</f>
        <v>0</v>
      </c>
      <c r="AG12" s="37"/>
      <c r="AH12" s="342"/>
      <c r="AI12" s="30"/>
      <c r="AJ12" s="38">
        <f>+AH12-AG12-AI12</f>
        <v>0</v>
      </c>
      <c r="AK12" s="342"/>
      <c r="AL12" s="342"/>
      <c r="AM12" s="31">
        <f t="shared" si="13"/>
        <v>0</v>
      </c>
      <c r="AN12" s="39"/>
      <c r="AO12" s="40">
        <f t="shared" si="14"/>
        <v>0</v>
      </c>
      <c r="AP12" s="1282">
        <f t="shared" si="15"/>
        <v>10</v>
      </c>
      <c r="AQ12" s="1283"/>
      <c r="AR12" s="1284">
        <f t="shared" si="16"/>
        <v>51.3</v>
      </c>
      <c r="AS12" s="1285"/>
      <c r="AT12" s="345">
        <f t="shared" si="17"/>
        <v>24</v>
      </c>
      <c r="AV12" s="26">
        <f t="shared" si="18"/>
        <v>7</v>
      </c>
      <c r="AW12" s="26">
        <f t="shared" si="19"/>
        <v>0</v>
      </c>
      <c r="AX12" s="26">
        <f t="shared" si="20"/>
        <v>0</v>
      </c>
      <c r="AY12" s="27">
        <f t="shared" si="21"/>
        <v>0</v>
      </c>
      <c r="AZ12" s="26">
        <f t="shared" si="22"/>
        <v>1</v>
      </c>
      <c r="BA12" s="26">
        <f t="shared" si="23"/>
        <v>1</v>
      </c>
      <c r="BB12" s="26">
        <f t="shared" si="24"/>
        <v>1</v>
      </c>
      <c r="BC12" s="28"/>
      <c r="BD12" s="339">
        <f t="shared" si="25"/>
        <v>5.1339285714285712</v>
      </c>
      <c r="BE12" s="340">
        <f t="shared" si="26"/>
        <v>51.339285714285708</v>
      </c>
      <c r="BF12" s="341">
        <f t="shared" si="27"/>
        <v>0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18</v>
      </c>
      <c r="E13" s="30">
        <v>1</v>
      </c>
      <c r="F13" s="31">
        <f t="shared" si="1"/>
        <v>10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2</v>
      </c>
      <c r="M13" s="806">
        <v>8</v>
      </c>
      <c r="N13" s="342">
        <v>18</v>
      </c>
      <c r="O13" s="30">
        <v>1</v>
      </c>
      <c r="P13" s="31">
        <f t="shared" si="5"/>
        <v>9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1</v>
      </c>
      <c r="W13" s="342">
        <v>7</v>
      </c>
      <c r="X13" s="342">
        <v>18</v>
      </c>
      <c r="Y13" s="30">
        <v>1</v>
      </c>
      <c r="Z13" s="31">
        <f t="shared" si="9"/>
        <v>10</v>
      </c>
      <c r="AA13" s="344"/>
      <c r="AB13" s="41">
        <v>-0.5</v>
      </c>
      <c r="AC13" s="36">
        <f t="shared" si="10"/>
        <v>-0.5</v>
      </c>
      <c r="AD13" s="30"/>
      <c r="AE13" s="32">
        <f t="shared" si="11"/>
        <v>8.5</v>
      </c>
      <c r="AF13" s="20">
        <f>IF(W13&gt;0,IF(AE$5&gt;0,(Z13+AC13)*2,(Z13+AC13-8)),0)*IF(Z13&lt;9,IF(AE$5&gt;0,1,2),1)+IF(Z13&gt;8,AC13,0)</f>
        <v>1</v>
      </c>
      <c r="AG13" s="33">
        <v>7</v>
      </c>
      <c r="AH13" s="346">
        <v>16</v>
      </c>
      <c r="AI13" s="42">
        <v>1</v>
      </c>
      <c r="AJ13" s="38">
        <f>+AH13-AG13-AI13</f>
        <v>8</v>
      </c>
      <c r="AK13" s="342"/>
      <c r="AL13" s="346"/>
      <c r="AM13" s="31">
        <f t="shared" si="13"/>
        <v>0</v>
      </c>
      <c r="AN13" s="43"/>
      <c r="AO13" s="40">
        <f t="shared" si="14"/>
        <v>16</v>
      </c>
      <c r="AP13" s="1282">
        <f t="shared" si="15"/>
        <v>20</v>
      </c>
      <c r="AQ13" s="1283"/>
      <c r="AR13" s="1284">
        <f t="shared" si="16"/>
        <v>102.7</v>
      </c>
      <c r="AS13" s="1285"/>
      <c r="AT13" s="345">
        <f t="shared" si="17"/>
        <v>28</v>
      </c>
      <c r="AV13" s="26">
        <f t="shared" si="18"/>
        <v>2</v>
      </c>
      <c r="AW13" s="26">
        <f t="shared" si="19"/>
        <v>1</v>
      </c>
      <c r="AX13" s="26">
        <f t="shared" si="20"/>
        <v>1</v>
      </c>
      <c r="AY13" s="27">
        <f t="shared" si="21"/>
        <v>16</v>
      </c>
      <c r="AZ13" s="26">
        <f t="shared" si="22"/>
        <v>0</v>
      </c>
      <c r="BA13" s="26">
        <f t="shared" si="23"/>
        <v>0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102.67857142857142</v>
      </c>
      <c r="BF13" s="341">
        <f t="shared" si="27"/>
        <v>82.142857142857139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23</v>
      </c>
      <c r="E14" s="42">
        <v>1</v>
      </c>
      <c r="F14" s="44">
        <f t="shared" si="1"/>
        <v>15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7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7</v>
      </c>
      <c r="X14" s="346">
        <v>18</v>
      </c>
      <c r="Y14" s="42">
        <v>1</v>
      </c>
      <c r="Z14" s="44">
        <f t="shared" si="9"/>
        <v>10</v>
      </c>
      <c r="AA14" s="344"/>
      <c r="AB14" s="41">
        <v>-0.5</v>
      </c>
      <c r="AC14" s="36">
        <f t="shared" si="10"/>
        <v>-0.5</v>
      </c>
      <c r="AD14" s="42"/>
      <c r="AE14" s="45">
        <f t="shared" si="11"/>
        <v>8.5</v>
      </c>
      <c r="AF14" s="20">
        <f>IF(W14&gt;0,IF(AE$5&gt;0,(Z14+AC14)*2,(Z14+AC14-8)),0)*IF(Z14&lt;9,IF(AE$5&gt;0,1,2),1)+IF(Z14&gt;8,AC14,0)</f>
        <v>1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14</v>
      </c>
      <c r="AQ14" s="1283"/>
      <c r="AR14" s="1284">
        <f t="shared" si="16"/>
        <v>58.3</v>
      </c>
      <c r="AS14" s="1285"/>
      <c r="AT14" s="345">
        <f t="shared" si="17"/>
        <v>24</v>
      </c>
      <c r="AV14" s="26">
        <f t="shared" si="18"/>
        <v>7</v>
      </c>
      <c r="AW14" s="26">
        <f t="shared" si="19"/>
        <v>1</v>
      </c>
      <c r="AX14" s="26">
        <f t="shared" si="20"/>
        <v>1</v>
      </c>
      <c r="AY14" s="27">
        <f t="shared" si="21"/>
        <v>0</v>
      </c>
      <c r="AZ14" s="26">
        <f t="shared" si="22"/>
        <v>2</v>
      </c>
      <c r="BA14" s="26">
        <f t="shared" si="23"/>
        <v>2</v>
      </c>
      <c r="BB14" s="26">
        <f t="shared" si="24"/>
        <v>1</v>
      </c>
      <c r="BC14" s="28"/>
      <c r="BD14" s="339">
        <f t="shared" si="25"/>
        <v>4.1666785714285712</v>
      </c>
      <c r="BE14" s="340">
        <f t="shared" si="26"/>
        <v>58.333500000000001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7</v>
      </c>
      <c r="D15" s="342">
        <v>18</v>
      </c>
      <c r="E15" s="30">
        <v>1</v>
      </c>
      <c r="F15" s="31">
        <f t="shared" si="1"/>
        <v>10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2</v>
      </c>
      <c r="M15" s="806">
        <v>7</v>
      </c>
      <c r="N15" s="342">
        <v>16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53">
        <v>-0.5</v>
      </c>
      <c r="AC15" s="31">
        <f t="shared" si="10"/>
        <v>-0.5</v>
      </c>
      <c r="AD15" s="30"/>
      <c r="AE15" s="32">
        <f t="shared" si="11"/>
        <v>8.5</v>
      </c>
      <c r="AF15" s="20">
        <f>IF(W15&gt;0,IF(AE$5&gt;0,(Z15+AC15)*2,(Z15+AC15-8)),0)*IF(Z15&lt;9,IF(AE$5&gt;0,1,2),1)+IF(Z15&gt;8,AC15,0)</f>
        <v>-1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3</v>
      </c>
      <c r="AQ15" s="1295"/>
      <c r="AR15" s="1284">
        <f t="shared" si="16"/>
        <v>15.4</v>
      </c>
      <c r="AS15" s="1285"/>
      <c r="AT15" s="345">
        <f t="shared" si="17"/>
        <v>24</v>
      </c>
      <c r="AV15" s="26">
        <f t="shared" si="18"/>
        <v>2</v>
      </c>
      <c r="AW15" s="26">
        <f t="shared" si="19"/>
        <v>0</v>
      </c>
      <c r="AX15" s="26">
        <f t="shared" si="20"/>
        <v>-1</v>
      </c>
      <c r="AY15" s="27">
        <f t="shared" si="21"/>
        <v>0</v>
      </c>
      <c r="AZ15" s="26">
        <f t="shared" si="22"/>
        <v>0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15.401785714285714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17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-1</v>
      </c>
      <c r="AQ16" s="1283"/>
      <c r="AR16" s="1284">
        <f>ROUND(BD16*AP16,1)</f>
        <v>-5.0999999999999996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-1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-5.1339285714285712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>
        <v>-0.5</v>
      </c>
      <c r="AC18" s="31">
        <f>+AB18-AA18</f>
        <v>-0.5</v>
      </c>
      <c r="AD18" s="30"/>
      <c r="AE18" s="32">
        <f>+AC18+Z18-IF(AE$5&gt;0,AF18/2,AF18)</f>
        <v>8.5</v>
      </c>
      <c r="AF18" s="20">
        <f t="shared" si="28"/>
        <v>1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10</v>
      </c>
      <c r="AQ18" s="1283"/>
      <c r="AR18" s="1284">
        <f t="shared" si="16"/>
        <v>38.799999999999997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1</v>
      </c>
      <c r="AY18" s="27">
        <f t="shared" si="21"/>
        <v>0</v>
      </c>
      <c r="AZ18" s="26">
        <f t="shared" si="22"/>
        <v>1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38.750035714285715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808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18</v>
      </c>
      <c r="E21" s="459">
        <v>1</v>
      </c>
      <c r="F21" s="460">
        <f>+D21-C21-E21</f>
        <v>10</v>
      </c>
      <c r="G21" s="459"/>
      <c r="H21" s="459"/>
      <c r="I21" s="460">
        <f>+H21-G21</f>
        <v>0</v>
      </c>
      <c r="J21" s="459"/>
      <c r="K21" s="32">
        <f t="shared" si="3"/>
        <v>8</v>
      </c>
      <c r="L21" s="461">
        <f>IF(C21&gt;0,(F21+I21)+IF(K$5&gt;0,F21,-8),0)+IF(U$5&gt;0,I21,0)</f>
        <v>2</v>
      </c>
      <c r="M21" s="807">
        <v>7</v>
      </c>
      <c r="N21" s="459">
        <v>18</v>
      </c>
      <c r="O21" s="459">
        <v>1</v>
      </c>
      <c r="P21" s="460">
        <f>+N21-M21-O21</f>
        <v>10</v>
      </c>
      <c r="Q21" s="459"/>
      <c r="R21" s="459"/>
      <c r="S21" s="460">
        <f>+R21-Q21</f>
        <v>0</v>
      </c>
      <c r="T21" s="459"/>
      <c r="U21" s="32">
        <f t="shared" si="7"/>
        <v>8</v>
      </c>
      <c r="V21" s="461">
        <f>IF(M21&gt;0,(P21+S21)+IF(U$5&gt;0,P21,-8),0)+IF(AE$5&gt;0,S21,0)</f>
        <v>2</v>
      </c>
      <c r="W21" s="459">
        <v>7</v>
      </c>
      <c r="X21" s="459">
        <v>18</v>
      </c>
      <c r="Y21" s="459">
        <v>1</v>
      </c>
      <c r="Z21" s="460">
        <f>+X21-W21-Y21</f>
        <v>10</v>
      </c>
      <c r="AA21" s="459"/>
      <c r="AB21" s="463">
        <v>-0.5</v>
      </c>
      <c r="AC21" s="460">
        <f>+AB21-AA21</f>
        <v>-0.5</v>
      </c>
      <c r="AD21" s="459"/>
      <c r="AE21" s="32">
        <f>+AC21+Z21-IF(AE$5&gt;0,AF21/2,AF21)</f>
        <v>8.5</v>
      </c>
      <c r="AF21" s="461">
        <f>IF(W21&gt;0,IF(AE$5&gt;0,(Z21+AC21)*2,(Z21+AC21-8)),0)*IF(Z21&lt;9,IF(AE$5&gt;0,1,2),1)+IF(Z21&gt;8,AC21,0)</f>
        <v>1</v>
      </c>
      <c r="AG21" s="459">
        <v>7</v>
      </c>
      <c r="AH21" s="459">
        <v>16</v>
      </c>
      <c r="AI21" s="459">
        <v>1</v>
      </c>
      <c r="AJ21" s="38">
        <f>+AH21-AG21-AI21</f>
        <v>8</v>
      </c>
      <c r="AK21" s="459"/>
      <c r="AL21" s="459"/>
      <c r="AM21" s="460">
        <f>+AL21-AK21</f>
        <v>0</v>
      </c>
      <c r="AN21" s="459"/>
      <c r="AO21" s="465">
        <f>(AJ21*2+AM21)</f>
        <v>16</v>
      </c>
      <c r="AP21" s="1290">
        <f t="shared" si="15"/>
        <v>27</v>
      </c>
      <c r="AQ21" s="1291"/>
      <c r="AR21" s="1292">
        <f>ROUND(BD21*AP21,1)</f>
        <v>104.6</v>
      </c>
      <c r="AS21" s="1293"/>
      <c r="AT21" s="488">
        <f t="shared" si="17"/>
        <v>28</v>
      </c>
      <c r="AV21" s="69">
        <f>+L21</f>
        <v>2</v>
      </c>
      <c r="AW21" s="69">
        <f>+V21</f>
        <v>2</v>
      </c>
      <c r="AX21" s="69">
        <f>+AF21</f>
        <v>1</v>
      </c>
      <c r="AY21" s="70">
        <f>+AO21</f>
        <v>16</v>
      </c>
      <c r="AZ21" s="69">
        <f>+L42</f>
        <v>2</v>
      </c>
      <c r="BA21" s="69">
        <f>+V42</f>
        <v>2</v>
      </c>
      <c r="BB21" s="69">
        <f>+AF42</f>
        <v>2</v>
      </c>
      <c r="BC21" s="28"/>
      <c r="BD21" s="339">
        <f>+I82</f>
        <v>3.875</v>
      </c>
      <c r="BE21" s="351">
        <f>+BD21*AP21</f>
        <v>104.625</v>
      </c>
      <c r="BF21" s="352">
        <f>+BD21*AY21</f>
        <v>62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3"/>
        <v>8</v>
      </c>
      <c r="L22" s="461">
        <f>IF(C22&gt;0,(F22+I22)+IF(K$5&gt;0,F22,-8),0)+IF(U$5&gt;0,I22,0)</f>
        <v>2</v>
      </c>
      <c r="M22" s="807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si="7"/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>
        <v>-0.5</v>
      </c>
      <c r="AC22" s="460">
        <f>+AB22-AA22</f>
        <v>-0.5</v>
      </c>
      <c r="AD22" s="459"/>
      <c r="AE22" s="32">
        <f>+AC22+Z22-IF(AE$5&gt;0,AF22/2,AF22)</f>
        <v>8.5</v>
      </c>
      <c r="AF22" s="461">
        <f>IF(W22&gt;0,IF(AE$5&gt;0,(Z22+AC22)*2,(Z22+AC22-8)),0)*IF(Z22&lt;9,IF(AE$5&gt;0,1,2),1)+IF(Z22&gt;8,AC22,0)</f>
        <v>1</v>
      </c>
      <c r="AG22" s="459">
        <v>7</v>
      </c>
      <c r="AH22" s="459">
        <v>16</v>
      </c>
      <c r="AI22" s="459">
        <v>1</v>
      </c>
      <c r="AJ22" s="38">
        <f>+AH22-AG22-AI22</f>
        <v>8</v>
      </c>
      <c r="AK22" s="459"/>
      <c r="AL22" s="459"/>
      <c r="AM22" s="460">
        <f>+AL22-AK22</f>
        <v>0</v>
      </c>
      <c r="AN22" s="725"/>
      <c r="AO22" s="465">
        <f>(AJ22*2+AM22)</f>
        <v>16</v>
      </c>
      <c r="AP22" s="1270">
        <f t="shared" si="15"/>
        <v>27</v>
      </c>
      <c r="AQ22" s="1271"/>
      <c r="AR22" s="1272">
        <f>ROUND(BD22*AP22,1)</f>
        <v>104.6</v>
      </c>
      <c r="AS22" s="1273"/>
      <c r="AT22" s="359">
        <f t="shared" si="17"/>
        <v>28</v>
      </c>
      <c r="AV22" s="69">
        <f>+L22</f>
        <v>2</v>
      </c>
      <c r="AW22" s="69">
        <f>+V22</f>
        <v>2</v>
      </c>
      <c r="AX22" s="69">
        <f>+AF22</f>
        <v>1</v>
      </c>
      <c r="AY22" s="70">
        <f>+AO22</f>
        <v>16</v>
      </c>
      <c r="AZ22" s="69">
        <f>+L43</f>
        <v>2</v>
      </c>
      <c r="BA22" s="69">
        <f>+V43</f>
        <v>2</v>
      </c>
      <c r="BB22" s="69">
        <f>+AF43</f>
        <v>2</v>
      </c>
      <c r="BC22" s="54"/>
      <c r="BD22" s="339">
        <f>+I83</f>
        <v>3.875</v>
      </c>
      <c r="BE22" s="351">
        <f>+BD22*AP22</f>
        <v>104.625</v>
      </c>
      <c r="BF22" s="352">
        <f>+BD22*AY22</f>
        <v>62</v>
      </c>
    </row>
    <row r="23" spans="1:58" s="81" customFormat="1" ht="14.1" customHeight="1">
      <c r="A23" s="72">
        <v>9</v>
      </c>
      <c r="B23" s="513" t="str">
        <f>+B84</f>
        <v>Jose Ochoa I.</v>
      </c>
      <c r="C23" s="86">
        <v>7</v>
      </c>
      <c r="D23" s="87">
        <v>18</v>
      </c>
      <c r="E23" s="87">
        <v>1</v>
      </c>
      <c r="F23" s="88">
        <f>+D23-C23-E23</f>
        <v>10</v>
      </c>
      <c r="G23" s="87"/>
      <c r="H23" s="87"/>
      <c r="I23" s="88">
        <f>+H23-G23</f>
        <v>0</v>
      </c>
      <c r="J23" s="87"/>
      <c r="K23" s="121">
        <f>+I23+F23-L23</f>
        <v>8</v>
      </c>
      <c r="L23" s="89">
        <f t="shared" si="4"/>
        <v>2</v>
      </c>
      <c r="M23" s="90">
        <v>7</v>
      </c>
      <c r="N23" s="87">
        <v>18</v>
      </c>
      <c r="O23" s="87">
        <v>1</v>
      </c>
      <c r="P23" s="88">
        <f>+N23-M23-O23</f>
        <v>10</v>
      </c>
      <c r="Q23" s="87"/>
      <c r="R23" s="87"/>
      <c r="S23" s="88">
        <f>+R23-Q23</f>
        <v>0</v>
      </c>
      <c r="T23" s="87"/>
      <c r="U23" s="121">
        <f>+S23+P23-V23</f>
        <v>8</v>
      </c>
      <c r="V23" s="89">
        <f>IF(M23&gt;0,(P23+S23)+IF(U$5&gt;0,P23,-8),0)+IF(AE$5&gt;0,S23,0)</f>
        <v>2</v>
      </c>
      <c r="W23" s="87">
        <v>7</v>
      </c>
      <c r="X23" s="87">
        <v>18</v>
      </c>
      <c r="Y23" s="87">
        <v>1</v>
      </c>
      <c r="Z23" s="88">
        <f>+X23-W23-Y23</f>
        <v>10</v>
      </c>
      <c r="AA23" s="87"/>
      <c r="AB23" s="91">
        <v>-0.5</v>
      </c>
      <c r="AC23" s="88">
        <f>+AB23-AA23</f>
        <v>-0.5</v>
      </c>
      <c r="AD23" s="87"/>
      <c r="AE23" s="121">
        <f>+AC23+Z23-IF(AE$5&gt;0,AF23/2,AF23)</f>
        <v>8.5</v>
      </c>
      <c r="AF23" s="89">
        <f t="shared" si="28"/>
        <v>1</v>
      </c>
      <c r="AG23" s="87"/>
      <c r="AH23" s="87"/>
      <c r="AI23" s="87"/>
      <c r="AJ23" s="829">
        <f t="shared" si="12"/>
        <v>0</v>
      </c>
      <c r="AK23" s="87"/>
      <c r="AL23" s="87"/>
      <c r="AM23" s="88">
        <f>+AL23-AK23</f>
        <v>0</v>
      </c>
      <c r="AN23" s="830"/>
      <c r="AO23" s="94">
        <f>(AJ23*2+AM23)</f>
        <v>0</v>
      </c>
      <c r="AP23" s="1274">
        <f t="shared" si="15"/>
        <v>11</v>
      </c>
      <c r="AQ23" s="1275"/>
      <c r="AR23" s="1276">
        <f>ROUND(BD23*AP23,1)</f>
        <v>42.6</v>
      </c>
      <c r="AS23" s="1277"/>
      <c r="AT23" s="537">
        <f t="shared" si="17"/>
        <v>24</v>
      </c>
      <c r="AU23" s="55"/>
      <c r="AV23" s="538">
        <f>+L23</f>
        <v>2</v>
      </c>
      <c r="AW23" s="538">
        <f>+V23</f>
        <v>2</v>
      </c>
      <c r="AX23" s="538">
        <f>+AF23</f>
        <v>1</v>
      </c>
      <c r="AY23" s="538">
        <f>+AO23</f>
        <v>0</v>
      </c>
      <c r="AZ23" s="538">
        <f>+L44</f>
        <v>2</v>
      </c>
      <c r="BA23" s="538">
        <f>+V44</f>
        <v>2</v>
      </c>
      <c r="BB23" s="538">
        <f>+AF44</f>
        <v>2</v>
      </c>
      <c r="BC23" s="28"/>
      <c r="BD23" s="539">
        <f>+I81</f>
        <v>3.875</v>
      </c>
      <c r="BE23" s="539">
        <f>+BD23*AP23</f>
        <v>42.625</v>
      </c>
      <c r="BF23" s="539">
        <f>+BD23*AY23</f>
        <v>0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563.25496428571432</v>
      </c>
      <c r="BF25" s="1242">
        <f>SUM(BF11:BF24)</f>
        <v>278.88571428571424</v>
      </c>
    </row>
    <row r="26" spans="1:58" ht="10.9" customHeight="1">
      <c r="B26" s="1244" t="s">
        <v>1</v>
      </c>
      <c r="C26" s="1140">
        <f>1+AG5</f>
        <v>43262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43263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43264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43258</v>
      </c>
      <c r="AJ26" s="1218">
        <f t="shared" ref="AJ26:AO26" si="29">1+AI26</f>
        <v>43259</v>
      </c>
      <c r="AK26" s="1218">
        <f t="shared" si="29"/>
        <v>43260</v>
      </c>
      <c r="AL26" s="1219">
        <f t="shared" si="29"/>
        <v>43261</v>
      </c>
      <c r="AM26" s="1219">
        <f t="shared" si="29"/>
        <v>43262</v>
      </c>
      <c r="AN26" s="1220">
        <f t="shared" si="29"/>
        <v>43263</v>
      </c>
      <c r="AO26" s="1220">
        <f t="shared" si="29"/>
        <v>43264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43261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132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68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0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1">+D32-C32-E32</f>
        <v>8</v>
      </c>
      <c r="G32" s="33"/>
      <c r="H32" s="47"/>
      <c r="I32" s="31">
        <f t="shared" ref="I32:I45" si="32">+H32-G32</f>
        <v>0</v>
      </c>
      <c r="J32" s="30"/>
      <c r="K32" s="32">
        <f t="shared" ref="K32:K45" si="33">+I32+F32-L32</f>
        <v>8</v>
      </c>
      <c r="L32" s="20">
        <f>IF(C32&gt;0,(F32+I32)+IF(K$26&gt;0,F32,-8),0)+IF(U$26&gt;0,I32,0)</f>
        <v>0</v>
      </c>
      <c r="M32" s="342">
        <v>7</v>
      </c>
      <c r="N32" s="342">
        <v>15</v>
      </c>
      <c r="O32" s="30">
        <v>1</v>
      </c>
      <c r="P32" s="31">
        <f t="shared" ref="P32:P45" si="34">+N32-M32-O32</f>
        <v>7</v>
      </c>
      <c r="Q32" s="106"/>
      <c r="R32" s="107"/>
      <c r="S32" s="31">
        <f t="shared" ref="S32:S45" si="35">+R32-Q32</f>
        <v>0</v>
      </c>
      <c r="T32" s="30"/>
      <c r="U32" s="32">
        <f t="shared" ref="U32:U45" si="36">+S32+P32-V32</f>
        <v>8</v>
      </c>
      <c r="V32" s="20">
        <f>IF(M32&gt;0,(P32+S32)+IF(U$26&gt;0,P32,-8),0)+IF(AE$26&gt;0,S32,0)</f>
        <v>-1</v>
      </c>
      <c r="W32" s="369">
        <v>8</v>
      </c>
      <c r="X32" s="370">
        <v>15</v>
      </c>
      <c r="Y32" s="108">
        <v>1</v>
      </c>
      <c r="Z32" s="109">
        <f t="shared" ref="Z32:Z45" si="37">+X32-W32-Y32</f>
        <v>6</v>
      </c>
      <c r="AA32" s="370"/>
      <c r="AB32" s="18"/>
      <c r="AC32" s="109">
        <f t="shared" ref="AC32:AC45" si="38">+AB32-AA32</f>
        <v>0</v>
      </c>
      <c r="AD32" s="108"/>
      <c r="AE32" s="110">
        <f t="shared" ref="AE32:AE45" si="39">+AC32+Z32-AF32</f>
        <v>8</v>
      </c>
      <c r="AF32" s="20">
        <f>IF(W32&gt;0,(Z32+AC32)+IF(AE$26&gt;0,Z32,-8),0)+IF(AO$26&gt;0,AC32,0)</f>
        <v>-2</v>
      </c>
      <c r="AG32" s="55"/>
      <c r="AH32" s="112">
        <v>0</v>
      </c>
      <c r="AI32" s="113">
        <f t="shared" ref="AI32:AI45" si="40">+K11+(IF(ISBLANK($K$5),-8,0))</f>
        <v>0</v>
      </c>
      <c r="AJ32" s="113">
        <f t="shared" ref="AJ32:AJ45" si="41">IF(ISBLANK($U$5),-8,0)+U11</f>
        <v>0</v>
      </c>
      <c r="AK32" s="113">
        <f>IF(ISBLANK($AE$5),-8,0)+AE11</f>
        <v>0.5</v>
      </c>
      <c r="AL32" s="113">
        <f t="shared" ref="AL32:AL45" si="42">IF(ISBLANK($AO$5),-8,0)+AO11+AW32</f>
        <v>0</v>
      </c>
      <c r="AM32" s="113">
        <f t="shared" ref="AM32:AM45" si="43">IF(ISBLANK($K$26),-8,0)+K32</f>
        <v>0</v>
      </c>
      <c r="AN32" s="113">
        <f t="shared" ref="AN32:AN45" si="44">IF(ISBLANK($U$26),-8,0)+U32</f>
        <v>0</v>
      </c>
      <c r="AO32" s="113">
        <f t="shared" ref="AO32:AO45" si="45">IF(ISBLANK($AE$26),-8,0)+AE32</f>
        <v>0</v>
      </c>
      <c r="AP32" s="114">
        <f t="shared" ref="AP32:AP45" si="46">SUM(AH32:AO32)</f>
        <v>0.5</v>
      </c>
      <c r="AQ32" s="55"/>
      <c r="AR32" s="1159">
        <f t="shared" ref="AR32:AR40" si="47">+X71*Q71</f>
        <v>0</v>
      </c>
      <c r="AS32" s="1197"/>
      <c r="AT32" s="117">
        <f t="shared" ref="AT32:AT43" si="48">IF(K11+L11&gt;0,1,0)+IF(U11+V11&gt;0,1,0)+IF(AE11+AF11&gt;0,1,0)+IF(AO11&gt;3,1,0)+IF(K32+L32&gt;0,1,0)+IF(U32+V32&gt;0,1,0)+IF(AE32+AF32&gt;0,1,0)</f>
        <v>7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0"/>
        <v>Cesar Mendez M.</v>
      </c>
      <c r="C33" s="334">
        <v>7</v>
      </c>
      <c r="D33" s="342">
        <v>17</v>
      </c>
      <c r="E33" s="30">
        <v>1</v>
      </c>
      <c r="F33" s="31">
        <f t="shared" si="31"/>
        <v>9</v>
      </c>
      <c r="G33" s="33"/>
      <c r="H33" s="346"/>
      <c r="I33" s="31">
        <f t="shared" si="32"/>
        <v>0</v>
      </c>
      <c r="J33" s="30"/>
      <c r="K33" s="32">
        <f t="shared" si="33"/>
        <v>8</v>
      </c>
      <c r="L33" s="20">
        <f>IF(C33&gt;0,(F33+I33)+IF(K$26&gt;0,F33,-8),0)+IF(U$26&gt;0,I33,0)</f>
        <v>1</v>
      </c>
      <c r="M33" s="342">
        <v>7</v>
      </c>
      <c r="N33" s="342">
        <v>17</v>
      </c>
      <c r="O33" s="30">
        <v>1</v>
      </c>
      <c r="P33" s="31">
        <f t="shared" si="34"/>
        <v>9</v>
      </c>
      <c r="Q33" s="346"/>
      <c r="R33" s="346"/>
      <c r="S33" s="31">
        <f t="shared" si="35"/>
        <v>0</v>
      </c>
      <c r="T33" s="30"/>
      <c r="U33" s="32">
        <f t="shared" si="36"/>
        <v>8</v>
      </c>
      <c r="V33" s="20">
        <f>IF(M33&gt;0,(P33+S33)+IF(U$26&gt;0,P33,-8),0)+IF(AE$26&gt;0,S33,0)</f>
        <v>1</v>
      </c>
      <c r="W33" s="334">
        <v>7</v>
      </c>
      <c r="X33" s="342">
        <v>17</v>
      </c>
      <c r="Y33" s="30">
        <v>1</v>
      </c>
      <c r="Z33" s="31">
        <f t="shared" si="37"/>
        <v>9</v>
      </c>
      <c r="AA33" s="342"/>
      <c r="AB33" s="346"/>
      <c r="AC33" s="31">
        <f t="shared" si="38"/>
        <v>0</v>
      </c>
      <c r="AD33" s="30"/>
      <c r="AE33" s="32">
        <f t="shared" si="39"/>
        <v>8</v>
      </c>
      <c r="AF33" s="20">
        <f t="shared" ref="AF33:AF45" si="49">IF(W33&gt;0,(Z33+AC33)+IF(AE$26&gt;0,0+Z33,-8),0)</f>
        <v>1</v>
      </c>
      <c r="AG33" s="55"/>
      <c r="AH33" s="112">
        <v>0</v>
      </c>
      <c r="AI33" s="113">
        <f t="shared" si="40"/>
        <v>0</v>
      </c>
      <c r="AJ33" s="113">
        <f t="shared" si="41"/>
        <v>0</v>
      </c>
      <c r="AK33" s="113">
        <f>IF(ISBLANK($AE$5),-8,0)+AE12</f>
        <v>0.5</v>
      </c>
      <c r="AL33" s="113">
        <f t="shared" si="42"/>
        <v>0</v>
      </c>
      <c r="AM33" s="113">
        <f t="shared" si="43"/>
        <v>0</v>
      </c>
      <c r="AN33" s="113">
        <f t="shared" si="44"/>
        <v>0</v>
      </c>
      <c r="AO33" s="113">
        <f t="shared" si="45"/>
        <v>0</v>
      </c>
      <c r="AP33" s="114">
        <f t="shared" si="46"/>
        <v>0.5</v>
      </c>
      <c r="AQ33" s="55"/>
      <c r="AR33" s="1159">
        <f t="shared" si="47"/>
        <v>0</v>
      </c>
      <c r="AS33" s="1160"/>
      <c r="AT33" s="117">
        <f t="shared" si="48"/>
        <v>6</v>
      </c>
      <c r="AU33" s="55"/>
      <c r="AV33" s="55"/>
      <c r="AW33" s="1134"/>
      <c r="AX33" s="1135"/>
    </row>
    <row r="34" spans="1:56" ht="14.1" customHeight="1">
      <c r="B34" s="29" t="str">
        <f t="shared" si="30"/>
        <v>Miguel Tejada Ll.</v>
      </c>
      <c r="C34" s="334">
        <v>7</v>
      </c>
      <c r="D34" s="342">
        <v>16</v>
      </c>
      <c r="E34" s="30">
        <v>1</v>
      </c>
      <c r="F34" s="31">
        <f t="shared" si="31"/>
        <v>8</v>
      </c>
      <c r="G34" s="346"/>
      <c r="H34" s="346"/>
      <c r="I34" s="31">
        <f t="shared" si="32"/>
        <v>0</v>
      </c>
      <c r="J34" s="30"/>
      <c r="K34" s="32">
        <f t="shared" si="33"/>
        <v>8</v>
      </c>
      <c r="L34" s="20">
        <f t="shared" ref="L34:L45" si="50">IF(C34&gt;0,(F34+I34)+IF(K$26&gt;0,F34,-8),0)+IF(U$26&gt;0,I34,0)</f>
        <v>0</v>
      </c>
      <c r="M34" s="334">
        <v>8</v>
      </c>
      <c r="N34" s="342">
        <v>17</v>
      </c>
      <c r="O34" s="30">
        <v>1</v>
      </c>
      <c r="P34" s="31">
        <f t="shared" si="34"/>
        <v>8</v>
      </c>
      <c r="Q34" s="106"/>
      <c r="R34" s="106"/>
      <c r="S34" s="31">
        <f t="shared" si="35"/>
        <v>0</v>
      </c>
      <c r="T34" s="30"/>
      <c r="U34" s="32">
        <f t="shared" si="36"/>
        <v>8</v>
      </c>
      <c r="V34" s="20">
        <f t="shared" ref="V34:V45" si="51">IF(M34&gt;0,(P34+S34)+IF(U$26&gt;0,P34,-8),0)+IF(AE$26&gt;0,S34,0)</f>
        <v>0</v>
      </c>
      <c r="W34" s="334">
        <v>7</v>
      </c>
      <c r="X34" s="342">
        <v>16</v>
      </c>
      <c r="Y34" s="30">
        <v>1</v>
      </c>
      <c r="Z34" s="31">
        <f t="shared" si="37"/>
        <v>8</v>
      </c>
      <c r="AA34" s="342"/>
      <c r="AB34" s="116"/>
      <c r="AC34" s="31">
        <f t="shared" si="38"/>
        <v>0</v>
      </c>
      <c r="AD34" s="30"/>
      <c r="AE34" s="32">
        <f t="shared" si="39"/>
        <v>8</v>
      </c>
      <c r="AF34" s="20">
        <f t="shared" si="49"/>
        <v>0</v>
      </c>
      <c r="AG34" s="55"/>
      <c r="AH34" s="112">
        <v>0</v>
      </c>
      <c r="AI34" s="113">
        <f t="shared" si="40"/>
        <v>0</v>
      </c>
      <c r="AJ34" s="113">
        <f t="shared" si="41"/>
        <v>0</v>
      </c>
      <c r="AK34" s="113">
        <f>IF(ISBLANK($AE$5),-8,0)+AE13</f>
        <v>0.5</v>
      </c>
      <c r="AL34" s="113">
        <f t="shared" si="42"/>
        <v>0</v>
      </c>
      <c r="AM34" s="113">
        <f t="shared" si="43"/>
        <v>0</v>
      </c>
      <c r="AN34" s="113">
        <f t="shared" si="44"/>
        <v>0</v>
      </c>
      <c r="AO34" s="113">
        <f t="shared" si="45"/>
        <v>0</v>
      </c>
      <c r="AP34" s="114">
        <f t="shared" si="46"/>
        <v>0.5</v>
      </c>
      <c r="AQ34" s="55"/>
      <c r="AR34" s="1159">
        <f t="shared" si="47"/>
        <v>0</v>
      </c>
      <c r="AS34" s="1160"/>
      <c r="AT34" s="118">
        <f t="shared" si="48"/>
        <v>7</v>
      </c>
      <c r="AU34" s="55"/>
      <c r="AV34" s="55"/>
      <c r="AW34" s="1134">
        <v>-16</v>
      </c>
      <c r="AX34" s="1135"/>
    </row>
    <row r="35" spans="1:56" ht="14.1" customHeight="1">
      <c r="B35" s="29" t="str">
        <f t="shared" si="30"/>
        <v>Alejandro Dueñas</v>
      </c>
      <c r="C35" s="372">
        <v>7</v>
      </c>
      <c r="D35" s="348">
        <v>18</v>
      </c>
      <c r="E35" s="119">
        <v>1</v>
      </c>
      <c r="F35" s="120">
        <f t="shared" si="31"/>
        <v>10</v>
      </c>
      <c r="G35" s="346"/>
      <c r="H35" s="346"/>
      <c r="I35" s="120">
        <f t="shared" si="32"/>
        <v>0</v>
      </c>
      <c r="J35" s="119"/>
      <c r="K35" s="121">
        <f t="shared" si="33"/>
        <v>8</v>
      </c>
      <c r="L35" s="20">
        <f t="shared" si="50"/>
        <v>2</v>
      </c>
      <c r="M35" s="342">
        <v>7</v>
      </c>
      <c r="N35" s="342">
        <v>18</v>
      </c>
      <c r="O35" s="30">
        <v>1</v>
      </c>
      <c r="P35" s="31">
        <f t="shared" si="34"/>
        <v>10</v>
      </c>
      <c r="Q35" s="346"/>
      <c r="R35" s="346"/>
      <c r="S35" s="120">
        <f t="shared" si="35"/>
        <v>0</v>
      </c>
      <c r="T35" s="30"/>
      <c r="U35" s="32">
        <f t="shared" si="36"/>
        <v>8</v>
      </c>
      <c r="V35" s="20">
        <f t="shared" si="51"/>
        <v>2</v>
      </c>
      <c r="W35" s="334">
        <v>7</v>
      </c>
      <c r="X35" s="342">
        <v>17</v>
      </c>
      <c r="Y35" s="30">
        <v>1</v>
      </c>
      <c r="Z35" s="31">
        <f t="shared" si="37"/>
        <v>9</v>
      </c>
      <c r="AA35" s="342"/>
      <c r="AB35" s="342"/>
      <c r="AC35" s="31">
        <f t="shared" si="38"/>
        <v>0</v>
      </c>
      <c r="AD35" s="30"/>
      <c r="AE35" s="32">
        <f t="shared" si="39"/>
        <v>8</v>
      </c>
      <c r="AF35" s="20">
        <f t="shared" si="49"/>
        <v>1</v>
      </c>
      <c r="AG35" s="55"/>
      <c r="AH35" s="112">
        <v>0</v>
      </c>
      <c r="AI35" s="113">
        <f t="shared" si="40"/>
        <v>0</v>
      </c>
      <c r="AJ35" s="113">
        <f t="shared" si="41"/>
        <v>0</v>
      </c>
      <c r="AK35" s="113">
        <f>IF(ISBLANK($AE$5),-8,0)+AE14</f>
        <v>0.5</v>
      </c>
      <c r="AL35" s="113">
        <f t="shared" si="42"/>
        <v>0</v>
      </c>
      <c r="AM35" s="113">
        <f t="shared" si="43"/>
        <v>0</v>
      </c>
      <c r="AN35" s="113">
        <f t="shared" si="44"/>
        <v>0</v>
      </c>
      <c r="AO35" s="113">
        <f t="shared" si="45"/>
        <v>0</v>
      </c>
      <c r="AP35" s="114">
        <f t="shared" si="46"/>
        <v>0.5</v>
      </c>
      <c r="AQ35" s="55"/>
      <c r="AR35" s="1159">
        <f t="shared" si="47"/>
        <v>0</v>
      </c>
      <c r="AS35" s="1160"/>
      <c r="AT35" s="118">
        <f t="shared" si="48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0"/>
        <v>Juan Manrique V.</v>
      </c>
      <c r="C36" s="334">
        <v>7</v>
      </c>
      <c r="D36" s="342">
        <v>16</v>
      </c>
      <c r="E36" s="30">
        <v>1</v>
      </c>
      <c r="F36" s="31">
        <f t="shared" si="31"/>
        <v>8</v>
      </c>
      <c r="G36" s="33"/>
      <c r="H36" s="47"/>
      <c r="I36" s="31">
        <f t="shared" si="32"/>
        <v>0</v>
      </c>
      <c r="J36" s="30"/>
      <c r="K36" s="32">
        <f t="shared" si="33"/>
        <v>8</v>
      </c>
      <c r="L36" s="20">
        <f t="shared" si="50"/>
        <v>0</v>
      </c>
      <c r="M36" s="342">
        <v>7</v>
      </c>
      <c r="N36" s="342">
        <v>17</v>
      </c>
      <c r="O36" s="30">
        <v>1</v>
      </c>
      <c r="P36" s="31">
        <f t="shared" si="34"/>
        <v>9</v>
      </c>
      <c r="Q36" s="106"/>
      <c r="R36" s="106"/>
      <c r="S36" s="31">
        <f t="shared" si="35"/>
        <v>0</v>
      </c>
      <c r="T36" s="30"/>
      <c r="U36" s="32">
        <f t="shared" si="36"/>
        <v>8</v>
      </c>
      <c r="V36" s="20">
        <f t="shared" si="51"/>
        <v>1</v>
      </c>
      <c r="W36" s="334">
        <v>7</v>
      </c>
      <c r="X36" s="342">
        <v>17</v>
      </c>
      <c r="Y36" s="30">
        <v>1</v>
      </c>
      <c r="Z36" s="31">
        <f t="shared" si="37"/>
        <v>9</v>
      </c>
      <c r="AA36" s="342"/>
      <c r="AB36" s="342"/>
      <c r="AC36" s="31">
        <f t="shared" si="38"/>
        <v>0</v>
      </c>
      <c r="AD36" s="30"/>
      <c r="AE36" s="32">
        <f t="shared" si="39"/>
        <v>8</v>
      </c>
      <c r="AF36" s="20">
        <f t="shared" si="49"/>
        <v>1</v>
      </c>
      <c r="AG36" s="55"/>
      <c r="AH36" s="112">
        <v>0</v>
      </c>
      <c r="AI36" s="113">
        <f t="shared" si="40"/>
        <v>0</v>
      </c>
      <c r="AJ36" s="113">
        <f t="shared" si="41"/>
        <v>0</v>
      </c>
      <c r="AK36" s="113">
        <f>IF(ISBLANK($AE$5),-8,0)+AE15</f>
        <v>0.5</v>
      </c>
      <c r="AL36" s="113">
        <f t="shared" si="42"/>
        <v>0</v>
      </c>
      <c r="AM36" s="113">
        <f t="shared" si="43"/>
        <v>0</v>
      </c>
      <c r="AN36" s="113">
        <f t="shared" si="44"/>
        <v>0</v>
      </c>
      <c r="AO36" s="113">
        <f t="shared" si="45"/>
        <v>0</v>
      </c>
      <c r="AP36" s="114">
        <f t="shared" si="46"/>
        <v>0.5</v>
      </c>
      <c r="AQ36" s="55"/>
      <c r="AR36" s="1159">
        <f t="shared" si="47"/>
        <v>0</v>
      </c>
      <c r="AS36" s="1160"/>
      <c r="AT36" s="118">
        <f t="shared" si="48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0"/>
        <v xml:space="preserve"> Irving Huaringa B.</v>
      </c>
      <c r="C37" s="334">
        <v>8</v>
      </c>
      <c r="D37" s="342">
        <v>16</v>
      </c>
      <c r="E37" s="30">
        <v>1</v>
      </c>
      <c r="F37" s="31">
        <f>+D37-C37-E37</f>
        <v>7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0"/>
        <v>-1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1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9"/>
        <v>0</v>
      </c>
      <c r="AG37" s="55"/>
      <c r="AH37" s="112">
        <v>0</v>
      </c>
      <c r="AI37" s="113">
        <f t="shared" si="40"/>
        <v>0</v>
      </c>
      <c r="AJ37" s="113">
        <f t="shared" si="41"/>
        <v>0</v>
      </c>
      <c r="AK37" s="124">
        <f>IF(ISBLANK($AE$5),-5,0)+AE16</f>
        <v>0</v>
      </c>
      <c r="AL37" s="113">
        <f t="shared" si="42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47"/>
        <v>0</v>
      </c>
      <c r="AS37" s="1160"/>
      <c r="AT37" s="118">
        <f t="shared" si="48"/>
        <v>6</v>
      </c>
      <c r="AU37" s="55"/>
      <c r="AV37" s="55"/>
      <c r="AW37" s="1134"/>
      <c r="AX37" s="1135"/>
    </row>
    <row r="38" spans="1:56" ht="14.1" customHeight="1">
      <c r="B38" s="48" t="str">
        <f t="shared" si="30"/>
        <v xml:space="preserve">  -  .  -  </v>
      </c>
      <c r="C38" s="334"/>
      <c r="D38" s="342"/>
      <c r="E38" s="30"/>
      <c r="F38" s="31">
        <f t="shared" si="31"/>
        <v>0</v>
      </c>
      <c r="G38" s="33"/>
      <c r="H38" s="346"/>
      <c r="I38" s="31">
        <f t="shared" si="32"/>
        <v>0</v>
      </c>
      <c r="J38" s="30"/>
      <c r="K38" s="32">
        <f t="shared" si="33"/>
        <v>0</v>
      </c>
      <c r="L38" s="20">
        <f t="shared" si="50"/>
        <v>0</v>
      </c>
      <c r="M38" s="342"/>
      <c r="N38" s="342"/>
      <c r="O38" s="30"/>
      <c r="P38" s="31">
        <f t="shared" si="34"/>
        <v>0</v>
      </c>
      <c r="Q38" s="106"/>
      <c r="R38" s="106"/>
      <c r="S38" s="31">
        <f t="shared" si="35"/>
        <v>0</v>
      </c>
      <c r="T38" s="30"/>
      <c r="U38" s="32">
        <f t="shared" si="36"/>
        <v>0</v>
      </c>
      <c r="V38" s="20">
        <f t="shared" si="51"/>
        <v>0</v>
      </c>
      <c r="W38" s="334"/>
      <c r="X38" s="342"/>
      <c r="Y38" s="30"/>
      <c r="Z38" s="31">
        <f t="shared" si="37"/>
        <v>0</v>
      </c>
      <c r="AA38" s="342"/>
      <c r="AB38" s="342"/>
      <c r="AC38" s="31">
        <f>+AB38-AA38</f>
        <v>0</v>
      </c>
      <c r="AD38" s="30"/>
      <c r="AE38" s="32">
        <f t="shared" si="39"/>
        <v>0</v>
      </c>
      <c r="AF38" s="20">
        <f t="shared" si="49"/>
        <v>0</v>
      </c>
      <c r="AG38" s="55"/>
      <c r="AH38" s="112">
        <v>0</v>
      </c>
      <c r="AI38" s="113">
        <f t="shared" si="40"/>
        <v>-8</v>
      </c>
      <c r="AJ38" s="113">
        <f t="shared" si="41"/>
        <v>-8</v>
      </c>
      <c r="AK38" s="113">
        <f t="shared" ref="AK38:AK45" si="52">IF(ISBLANK($AE$5),-8,0)+AE17</f>
        <v>-8</v>
      </c>
      <c r="AL38" s="113">
        <f t="shared" si="42"/>
        <v>0</v>
      </c>
      <c r="AM38" s="113">
        <f t="shared" si="43"/>
        <v>-8</v>
      </c>
      <c r="AN38" s="113">
        <f t="shared" si="44"/>
        <v>-8</v>
      </c>
      <c r="AO38" s="113">
        <f t="shared" si="45"/>
        <v>-8</v>
      </c>
      <c r="AP38" s="114">
        <f t="shared" si="46"/>
        <v>-48</v>
      </c>
      <c r="AQ38" s="55"/>
      <c r="AR38" s="1159">
        <f t="shared" si="47"/>
        <v>0</v>
      </c>
      <c r="AS38" s="1160"/>
      <c r="AT38" s="118">
        <f t="shared" si="48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0"/>
        <v>Pedro Hostos S,</v>
      </c>
      <c r="C39" s="372">
        <v>8</v>
      </c>
      <c r="D39" s="348">
        <v>18</v>
      </c>
      <c r="E39" s="119">
        <v>1</v>
      </c>
      <c r="F39" s="31">
        <f t="shared" si="31"/>
        <v>9</v>
      </c>
      <c r="G39" s="33"/>
      <c r="H39" s="346"/>
      <c r="I39" s="31">
        <f t="shared" si="32"/>
        <v>0</v>
      </c>
      <c r="J39" s="30"/>
      <c r="K39" s="32">
        <f t="shared" si="33"/>
        <v>8</v>
      </c>
      <c r="L39" s="20">
        <f t="shared" si="50"/>
        <v>1</v>
      </c>
      <c r="M39" s="342">
        <v>7</v>
      </c>
      <c r="N39" s="342">
        <v>18</v>
      </c>
      <c r="O39" s="30">
        <v>1</v>
      </c>
      <c r="P39" s="31">
        <f t="shared" si="34"/>
        <v>10</v>
      </c>
      <c r="Q39" s="346"/>
      <c r="R39" s="346"/>
      <c r="S39" s="31">
        <f t="shared" si="35"/>
        <v>0</v>
      </c>
      <c r="T39" s="30"/>
      <c r="U39" s="32">
        <f t="shared" si="36"/>
        <v>8</v>
      </c>
      <c r="V39" s="20">
        <f t="shared" si="51"/>
        <v>2</v>
      </c>
      <c r="W39" s="334">
        <v>7</v>
      </c>
      <c r="X39" s="342">
        <v>18</v>
      </c>
      <c r="Y39" s="30">
        <v>1</v>
      </c>
      <c r="Z39" s="31">
        <f t="shared" si="37"/>
        <v>10</v>
      </c>
      <c r="AA39" s="342"/>
      <c r="AB39" s="342"/>
      <c r="AC39" s="31">
        <f t="shared" si="38"/>
        <v>0</v>
      </c>
      <c r="AD39" s="30"/>
      <c r="AE39" s="32">
        <f t="shared" si="39"/>
        <v>8</v>
      </c>
      <c r="AF39" s="20">
        <f t="shared" si="49"/>
        <v>2</v>
      </c>
      <c r="AG39" s="55"/>
      <c r="AH39" s="112">
        <v>0</v>
      </c>
      <c r="AI39" s="113">
        <f t="shared" si="40"/>
        <v>0</v>
      </c>
      <c r="AJ39" s="113">
        <f t="shared" si="41"/>
        <v>0</v>
      </c>
      <c r="AK39" s="113">
        <f t="shared" si="52"/>
        <v>0.5</v>
      </c>
      <c r="AL39" s="113">
        <f t="shared" si="42"/>
        <v>0</v>
      </c>
      <c r="AM39" s="125">
        <f t="shared" si="43"/>
        <v>0</v>
      </c>
      <c r="AN39" s="125">
        <f t="shared" si="44"/>
        <v>0</v>
      </c>
      <c r="AO39" s="125">
        <f t="shared" si="45"/>
        <v>0</v>
      </c>
      <c r="AP39" s="114">
        <f t="shared" si="46"/>
        <v>0.5</v>
      </c>
      <c r="AQ39" s="55"/>
      <c r="AR39" s="1159">
        <f t="shared" si="47"/>
        <v>0</v>
      </c>
      <c r="AS39" s="1160"/>
      <c r="AT39" s="118">
        <f t="shared" si="48"/>
        <v>6</v>
      </c>
      <c r="AU39" s="55"/>
      <c r="AV39" s="55"/>
      <c r="AW39" s="1134"/>
      <c r="AX39" s="1135"/>
    </row>
    <row r="40" spans="1:56" ht="14.1" customHeight="1">
      <c r="B40" s="58" t="str">
        <f t="shared" si="30"/>
        <v xml:space="preserve">  -  .  -  </v>
      </c>
      <c r="C40" s="334"/>
      <c r="D40" s="342"/>
      <c r="E40" s="30"/>
      <c r="F40" s="31">
        <f t="shared" si="31"/>
        <v>0</v>
      </c>
      <c r="G40" s="33"/>
      <c r="H40" s="346"/>
      <c r="I40" s="31">
        <f t="shared" si="32"/>
        <v>0</v>
      </c>
      <c r="J40" s="30"/>
      <c r="K40" s="32">
        <f t="shared" si="33"/>
        <v>0</v>
      </c>
      <c r="L40" s="20">
        <f t="shared" si="50"/>
        <v>0</v>
      </c>
      <c r="M40" s="342"/>
      <c r="N40" s="342"/>
      <c r="O40" s="30"/>
      <c r="P40" s="31">
        <f t="shared" si="34"/>
        <v>0</v>
      </c>
      <c r="Q40" s="106"/>
      <c r="R40" s="106"/>
      <c r="S40" s="31">
        <f t="shared" si="35"/>
        <v>0</v>
      </c>
      <c r="T40" s="30"/>
      <c r="U40" s="32">
        <f t="shared" si="36"/>
        <v>0</v>
      </c>
      <c r="V40" s="20">
        <f t="shared" si="51"/>
        <v>0</v>
      </c>
      <c r="W40" s="334"/>
      <c r="X40" s="342"/>
      <c r="Y40" s="30"/>
      <c r="Z40" s="31">
        <f t="shared" si="37"/>
        <v>0</v>
      </c>
      <c r="AA40" s="342"/>
      <c r="AB40" s="346"/>
      <c r="AC40" s="44">
        <f t="shared" si="38"/>
        <v>0</v>
      </c>
      <c r="AD40" s="30"/>
      <c r="AE40" s="32">
        <f t="shared" si="39"/>
        <v>0</v>
      </c>
      <c r="AF40" s="20">
        <f t="shared" si="49"/>
        <v>0</v>
      </c>
      <c r="AG40" s="126"/>
      <c r="AH40" s="127">
        <v>0</v>
      </c>
      <c r="AI40" s="113">
        <f t="shared" si="40"/>
        <v>-8</v>
      </c>
      <c r="AJ40" s="113">
        <f t="shared" si="41"/>
        <v>-8</v>
      </c>
      <c r="AK40" s="128">
        <f t="shared" si="52"/>
        <v>-8</v>
      </c>
      <c r="AL40" s="113">
        <f t="shared" si="42"/>
        <v>0</v>
      </c>
      <c r="AM40" s="113">
        <f t="shared" si="43"/>
        <v>-8</v>
      </c>
      <c r="AN40" s="113">
        <f t="shared" si="44"/>
        <v>-8</v>
      </c>
      <c r="AO40" s="113">
        <f t="shared" si="45"/>
        <v>-8</v>
      </c>
      <c r="AP40" s="114">
        <f t="shared" si="46"/>
        <v>-48</v>
      </c>
      <c r="AQ40" s="55"/>
      <c r="AR40" s="1159">
        <f t="shared" si="47"/>
        <v>0</v>
      </c>
      <c r="AS40" s="1160"/>
      <c r="AT40" s="118">
        <f t="shared" si="48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0"/>
        <v xml:space="preserve">  -  .  -  </v>
      </c>
      <c r="C41" s="522"/>
      <c r="D41" s="522"/>
      <c r="E41" s="522"/>
      <c r="F41" s="523">
        <f t="shared" si="31"/>
        <v>0</v>
      </c>
      <c r="G41" s="522"/>
      <c r="H41" s="522"/>
      <c r="I41" s="523">
        <f t="shared" si="32"/>
        <v>0</v>
      </c>
      <c r="J41" s="522"/>
      <c r="K41" s="523">
        <f t="shared" si="33"/>
        <v>0</v>
      </c>
      <c r="L41" s="524">
        <f t="shared" si="50"/>
        <v>0</v>
      </c>
      <c r="M41" s="522"/>
      <c r="N41" s="522"/>
      <c r="O41" s="522"/>
      <c r="P41" s="523">
        <f t="shared" si="34"/>
        <v>0</v>
      </c>
      <c r="Q41" s="525"/>
      <c r="R41" s="525"/>
      <c r="S41" s="523">
        <f t="shared" si="35"/>
        <v>0</v>
      </c>
      <c r="T41" s="522"/>
      <c r="U41" s="523">
        <f t="shared" si="36"/>
        <v>0</v>
      </c>
      <c r="V41" s="524">
        <f t="shared" si="51"/>
        <v>0</v>
      </c>
      <c r="W41" s="526"/>
      <c r="X41" s="522"/>
      <c r="Y41" s="522"/>
      <c r="Z41" s="523">
        <f t="shared" si="37"/>
        <v>0</v>
      </c>
      <c r="AA41" s="522"/>
      <c r="AB41" s="522"/>
      <c r="AC41" s="523">
        <f t="shared" si="38"/>
        <v>0</v>
      </c>
      <c r="AD41" s="522"/>
      <c r="AE41" s="523">
        <f t="shared" si="39"/>
        <v>0</v>
      </c>
      <c r="AF41" s="524">
        <f t="shared" si="49"/>
        <v>0</v>
      </c>
      <c r="AG41" s="514"/>
      <c r="AH41" s="529">
        <v>0</v>
      </c>
      <c r="AI41" s="530">
        <f t="shared" si="40"/>
        <v>-8</v>
      </c>
      <c r="AJ41" s="530">
        <f t="shared" si="41"/>
        <v>-8</v>
      </c>
      <c r="AK41" s="530">
        <f t="shared" si="52"/>
        <v>-8</v>
      </c>
      <c r="AL41" s="530">
        <f t="shared" si="42"/>
        <v>0</v>
      </c>
      <c r="AM41" s="530">
        <f t="shared" si="43"/>
        <v>-8</v>
      </c>
      <c r="AN41" s="530">
        <f t="shared" si="44"/>
        <v>-8</v>
      </c>
      <c r="AO41" s="530">
        <f t="shared" si="45"/>
        <v>-8</v>
      </c>
      <c r="AP41" s="531">
        <f t="shared" si="46"/>
        <v>-48</v>
      </c>
      <c r="AQ41" s="55"/>
      <c r="AR41" s="1191"/>
      <c r="AS41" s="1192"/>
      <c r="AT41" s="532">
        <f t="shared" si="48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0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18</v>
      </c>
      <c r="Y42" s="719">
        <v>1</v>
      </c>
      <c r="Z42" s="720">
        <f>+X42-W42-Y42</f>
        <v>10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2</v>
      </c>
      <c r="AG42" s="55"/>
      <c r="AH42" s="143">
        <v>0</v>
      </c>
      <c r="AI42" s="144">
        <f t="shared" si="40"/>
        <v>0</v>
      </c>
      <c r="AJ42" s="144">
        <f t="shared" si="41"/>
        <v>0</v>
      </c>
      <c r="AK42" s="144">
        <f t="shared" si="52"/>
        <v>0.5</v>
      </c>
      <c r="AL42" s="113">
        <f t="shared" si="42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0.5</v>
      </c>
      <c r="AQ42" s="55"/>
      <c r="AR42" s="1159">
        <f>+X82*Q82</f>
        <v>0</v>
      </c>
      <c r="AS42" s="1160"/>
      <c r="AT42" s="118">
        <f t="shared" si="48"/>
        <v>7</v>
      </c>
      <c r="AU42" s="55"/>
      <c r="AV42" s="55"/>
      <c r="AW42" s="1185">
        <v>-16</v>
      </c>
      <c r="AX42" s="1186"/>
    </row>
    <row r="43" spans="1:56" ht="14.1" customHeight="1">
      <c r="B43" s="513" t="str">
        <f t="shared" si="30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18</v>
      </c>
      <c r="Y43" s="719">
        <v>1</v>
      </c>
      <c r="Z43" s="720">
        <f>+X43-W43-Y43</f>
        <v>10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2</v>
      </c>
      <c r="AG43" s="55"/>
      <c r="AH43" s="127">
        <v>0</v>
      </c>
      <c r="AI43" s="113">
        <f t="shared" si="40"/>
        <v>0</v>
      </c>
      <c r="AJ43" s="113">
        <f t="shared" si="41"/>
        <v>0</v>
      </c>
      <c r="AK43" s="128">
        <f t="shared" si="52"/>
        <v>0.5</v>
      </c>
      <c r="AL43" s="113">
        <f t="shared" si="42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0.5</v>
      </c>
      <c r="AQ43" s="55"/>
      <c r="AR43" s="1159"/>
      <c r="AS43" s="1160"/>
      <c r="AT43" s="118">
        <f t="shared" si="48"/>
        <v>7</v>
      </c>
      <c r="AU43" s="55"/>
      <c r="AV43" s="55"/>
      <c r="AW43" s="1134">
        <v>-16</v>
      </c>
      <c r="AX43" s="1135"/>
    </row>
    <row r="44" spans="1:56" s="81" customFormat="1" ht="14.1" customHeight="1">
      <c r="A44" s="72"/>
      <c r="B44" s="513" t="str">
        <f t="shared" si="30"/>
        <v>Jose Ochoa I.</v>
      </c>
      <c r="C44" s="716">
        <v>7</v>
      </c>
      <c r="D44" s="716">
        <v>18</v>
      </c>
      <c r="E44" s="716">
        <v>1</v>
      </c>
      <c r="F44" s="717">
        <f t="shared" si="31"/>
        <v>10</v>
      </c>
      <c r="G44" s="716"/>
      <c r="H44" s="716"/>
      <c r="I44" s="717">
        <f t="shared" si="32"/>
        <v>0</v>
      </c>
      <c r="J44" s="716"/>
      <c r="K44" s="32">
        <f t="shared" si="33"/>
        <v>8</v>
      </c>
      <c r="L44" s="718">
        <f t="shared" si="50"/>
        <v>2</v>
      </c>
      <c r="M44" s="719">
        <v>7</v>
      </c>
      <c r="N44" s="719">
        <v>18</v>
      </c>
      <c r="O44" s="719">
        <v>1</v>
      </c>
      <c r="P44" s="720">
        <f t="shared" si="34"/>
        <v>10</v>
      </c>
      <c r="Q44" s="721"/>
      <c r="R44" s="721"/>
      <c r="S44" s="720">
        <f t="shared" si="35"/>
        <v>0</v>
      </c>
      <c r="T44" s="719"/>
      <c r="U44" s="32">
        <f t="shared" si="36"/>
        <v>8</v>
      </c>
      <c r="V44" s="722">
        <f t="shared" si="51"/>
        <v>2</v>
      </c>
      <c r="W44" s="723">
        <v>7</v>
      </c>
      <c r="X44" s="719">
        <v>18</v>
      </c>
      <c r="Y44" s="719">
        <v>1</v>
      </c>
      <c r="Z44" s="720">
        <f t="shared" si="37"/>
        <v>10</v>
      </c>
      <c r="AA44" s="719"/>
      <c r="AB44" s="724"/>
      <c r="AC44" s="720">
        <f t="shared" si="38"/>
        <v>0</v>
      </c>
      <c r="AD44" s="719"/>
      <c r="AE44" s="32">
        <f t="shared" si="39"/>
        <v>8</v>
      </c>
      <c r="AF44" s="722">
        <f t="shared" si="49"/>
        <v>2</v>
      </c>
      <c r="AG44" s="55"/>
      <c r="AH44" s="490">
        <v>0</v>
      </c>
      <c r="AI44" s="527">
        <f t="shared" si="40"/>
        <v>0</v>
      </c>
      <c r="AJ44" s="527">
        <f t="shared" si="41"/>
        <v>0</v>
      </c>
      <c r="AK44" s="527">
        <f t="shared" si="52"/>
        <v>0.5</v>
      </c>
      <c r="AL44" s="527">
        <f t="shared" si="42"/>
        <v>0</v>
      </c>
      <c r="AM44" s="527">
        <f t="shared" si="43"/>
        <v>0</v>
      </c>
      <c r="AN44" s="527">
        <f t="shared" si="44"/>
        <v>0</v>
      </c>
      <c r="AO44" s="527">
        <f t="shared" si="45"/>
        <v>0</v>
      </c>
      <c r="AP44" s="492">
        <f t="shared" si="46"/>
        <v>0.5</v>
      </c>
      <c r="AQ44" s="55"/>
      <c r="AR44" s="1187">
        <f>+X81*Q81</f>
        <v>0</v>
      </c>
      <c r="AS44" s="1188"/>
      <c r="AT44" s="528">
        <f>IF(K23+L23&gt;0,1,0)+IF(U23+V23&gt;0,1,0)+IF(AE23+AF23&gt;0,1,0)+IF(AO23&gt;3,1,0)+IF(K44+L44&gt;0,1,0)+IF(U44+V44&gt;0,1,0)+IF(AE44+AF44&gt;0,1,0)+AV44</f>
        <v>6</v>
      </c>
      <c r="AU44" s="55"/>
      <c r="AV44" s="55"/>
      <c r="AW44" s="1189"/>
      <c r="AX44" s="1190"/>
    </row>
    <row r="45" spans="1:56" ht="14.1" customHeight="1" thickBot="1">
      <c r="B45" s="95" t="str">
        <f t="shared" si="30"/>
        <v xml:space="preserve">   </v>
      </c>
      <c r="C45" s="360"/>
      <c r="D45" s="361"/>
      <c r="E45" s="96"/>
      <c r="F45" s="97">
        <f t="shared" si="31"/>
        <v>0</v>
      </c>
      <c r="G45" s="153"/>
      <c r="H45" s="363"/>
      <c r="I45" s="97">
        <f t="shared" si="32"/>
        <v>0</v>
      </c>
      <c r="J45" s="96"/>
      <c r="K45" s="98">
        <f t="shared" si="33"/>
        <v>0</v>
      </c>
      <c r="L45" s="99">
        <f t="shared" si="50"/>
        <v>0</v>
      </c>
      <c r="M45" s="361"/>
      <c r="N45" s="361"/>
      <c r="O45" s="96"/>
      <c r="P45" s="97">
        <f t="shared" si="34"/>
        <v>0</v>
      </c>
      <c r="Q45" s="154"/>
      <c r="R45" s="154"/>
      <c r="S45" s="97">
        <f t="shared" si="35"/>
        <v>0</v>
      </c>
      <c r="T45" s="96"/>
      <c r="U45" s="98">
        <f t="shared" si="36"/>
        <v>0</v>
      </c>
      <c r="V45" s="99">
        <f t="shared" si="51"/>
        <v>0</v>
      </c>
      <c r="W45" s="360"/>
      <c r="X45" s="361"/>
      <c r="Y45" s="96"/>
      <c r="Z45" s="97">
        <f t="shared" si="37"/>
        <v>0</v>
      </c>
      <c r="AA45" s="361"/>
      <c r="AB45" s="361"/>
      <c r="AC45" s="97">
        <f t="shared" si="38"/>
        <v>0</v>
      </c>
      <c r="AD45" s="96"/>
      <c r="AE45" s="98">
        <f t="shared" si="39"/>
        <v>0</v>
      </c>
      <c r="AF45" s="99">
        <f t="shared" si="49"/>
        <v>0</v>
      </c>
      <c r="AG45" s="55"/>
      <c r="AH45" s="112">
        <v>0</v>
      </c>
      <c r="AI45" s="113">
        <f t="shared" si="40"/>
        <v>-8</v>
      </c>
      <c r="AJ45" s="113">
        <f t="shared" si="41"/>
        <v>-8</v>
      </c>
      <c r="AK45" s="113">
        <f t="shared" si="52"/>
        <v>-8</v>
      </c>
      <c r="AL45" s="113">
        <f t="shared" si="42"/>
        <v>0</v>
      </c>
      <c r="AM45" s="113">
        <f t="shared" si="43"/>
        <v>-8</v>
      </c>
      <c r="AN45" s="113">
        <f t="shared" si="44"/>
        <v>-8</v>
      </c>
      <c r="AO45" s="113">
        <f t="shared" si="45"/>
        <v>-8</v>
      </c>
      <c r="AP45" s="114">
        <f t="shared" si="46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132</v>
      </c>
      <c r="AS46" s="1162"/>
      <c r="AT46" s="167">
        <f>SUM(AT32:AT45)</f>
        <v>64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64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43258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43259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43260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43261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43262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43263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43264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823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3">+C71/7</f>
        <v>36.371428571428567</v>
      </c>
      <c r="F71" s="1049"/>
      <c r="G71" s="388"/>
      <c r="H71" s="388"/>
      <c r="I71" s="1052">
        <f t="shared" ref="I71:I78" si="54">+E71/8</f>
        <v>4.5464285714285708</v>
      </c>
      <c r="J71" s="1058"/>
      <c r="K71" s="1059">
        <f t="shared" ref="K71:K79" si="55">+E71*30</f>
        <v>1091.1428571428569</v>
      </c>
      <c r="L71" s="1059"/>
      <c r="M71" s="5"/>
      <c r="N71" s="1020">
        <f t="shared" ref="N71:N86" si="56">+I71/6*7</f>
        <v>5.3041666666666654</v>
      </c>
      <c r="O71" s="1020"/>
      <c r="P71" s="5"/>
      <c r="Q71" s="1056">
        <f t="shared" ref="Q71:Q86" si="57">+$I$69-I71</f>
        <v>0.68482142857142936</v>
      </c>
      <c r="R71" s="1057"/>
      <c r="U71" s="238">
        <f t="shared" ref="U71:U77" si="58">+AE32+U32+K32+AO11+AE11+U11+K11</f>
        <v>64.5</v>
      </c>
      <c r="V71" s="239">
        <v>48</v>
      </c>
      <c r="W71" s="240">
        <f t="shared" ref="W71:W86" si="59">+V71-U71</f>
        <v>-16.5</v>
      </c>
      <c r="X71" s="241">
        <f t="shared" ref="X71:X80" si="60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3"/>
        <v>41.071428571428569</v>
      </c>
      <c r="F72" s="1049"/>
      <c r="G72" s="388"/>
      <c r="H72" s="388"/>
      <c r="I72" s="1052">
        <f t="shared" si="54"/>
        <v>5.1339285714285712</v>
      </c>
      <c r="J72" s="1058"/>
      <c r="K72" s="1059">
        <f t="shared" si="55"/>
        <v>1232.1428571428571</v>
      </c>
      <c r="L72" s="1059"/>
      <c r="M72" s="5"/>
      <c r="N72" s="1020">
        <f t="shared" si="56"/>
        <v>5.989583333333333</v>
      </c>
      <c r="O72" s="1020"/>
      <c r="P72" s="5"/>
      <c r="Q72" s="1056">
        <f t="shared" si="57"/>
        <v>9.7321428571429003E-2</v>
      </c>
      <c r="R72" s="1057"/>
      <c r="U72" s="238">
        <f t="shared" si="58"/>
        <v>48.5</v>
      </c>
      <c r="V72" s="239">
        <v>48</v>
      </c>
      <c r="W72" s="240">
        <f t="shared" si="59"/>
        <v>-0.5</v>
      </c>
      <c r="X72" s="241">
        <f t="shared" si="60"/>
        <v>0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3"/>
        <v>41.071428571428569</v>
      </c>
      <c r="F73" s="1049"/>
      <c r="G73" s="388"/>
      <c r="H73" s="388"/>
      <c r="I73" s="1052">
        <f t="shared" si="54"/>
        <v>5.1339285714285712</v>
      </c>
      <c r="J73" s="1058"/>
      <c r="K73" s="1059">
        <f t="shared" si="55"/>
        <v>1232.1428571428571</v>
      </c>
      <c r="L73" s="1059"/>
      <c r="M73" s="5"/>
      <c r="N73" s="1020">
        <f t="shared" si="56"/>
        <v>5.989583333333333</v>
      </c>
      <c r="O73" s="1020"/>
      <c r="P73" s="5"/>
      <c r="Q73" s="1056">
        <f t="shared" si="57"/>
        <v>9.7321428571429003E-2</v>
      </c>
      <c r="R73" s="1057"/>
      <c r="U73" s="238">
        <f t="shared" si="58"/>
        <v>64.5</v>
      </c>
      <c r="V73" s="239">
        <v>48</v>
      </c>
      <c r="W73" s="240">
        <f t="shared" si="59"/>
        <v>-16.5</v>
      </c>
      <c r="X73" s="241">
        <f t="shared" si="60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3"/>
        <v>33.33342857142857</v>
      </c>
      <c r="F74" s="1049"/>
      <c r="G74" s="388"/>
      <c r="H74" s="388"/>
      <c r="I74" s="1052">
        <f t="shared" si="54"/>
        <v>4.1666785714285712</v>
      </c>
      <c r="J74" s="1058"/>
      <c r="K74" s="1059">
        <f t="shared" si="55"/>
        <v>1000.0028571428571</v>
      </c>
      <c r="L74" s="1059"/>
      <c r="M74" s="5"/>
      <c r="N74" s="1020">
        <f t="shared" si="56"/>
        <v>4.8611250000000004</v>
      </c>
      <c r="O74" s="1020"/>
      <c r="P74" s="5"/>
      <c r="Q74" s="1056">
        <f t="shared" si="57"/>
        <v>1.0645714285714289</v>
      </c>
      <c r="R74" s="1057"/>
      <c r="S74" s="1066">
        <f>20*30/180*117</f>
        <v>390</v>
      </c>
      <c r="T74" s="1067"/>
      <c r="U74" s="238">
        <f t="shared" si="58"/>
        <v>48.5</v>
      </c>
      <c r="V74" s="239">
        <v>48</v>
      </c>
      <c r="W74" s="240">
        <f t="shared" si="59"/>
        <v>-0.5</v>
      </c>
      <c r="X74" s="241">
        <f t="shared" si="60"/>
        <v>0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3"/>
        <v>41.071428571428569</v>
      </c>
      <c r="F75" s="1049"/>
      <c r="G75" s="388"/>
      <c r="H75" s="388"/>
      <c r="I75" s="1052">
        <f t="shared" si="54"/>
        <v>5.1339285714285712</v>
      </c>
      <c r="J75" s="1058"/>
      <c r="K75" s="1059">
        <f t="shared" si="55"/>
        <v>1232.1428571428571</v>
      </c>
      <c r="L75" s="1059"/>
      <c r="M75" s="5"/>
      <c r="N75" s="1020">
        <f t="shared" si="56"/>
        <v>5.989583333333333</v>
      </c>
      <c r="O75" s="1020"/>
      <c r="P75" s="5"/>
      <c r="Q75" s="1056">
        <f t="shared" si="57"/>
        <v>9.7321428571429003E-2</v>
      </c>
      <c r="R75" s="1057"/>
      <c r="U75" s="238">
        <f t="shared" si="58"/>
        <v>48.5</v>
      </c>
      <c r="V75" s="239">
        <v>48</v>
      </c>
      <c r="W75" s="240">
        <f t="shared" si="59"/>
        <v>-0.5</v>
      </c>
      <c r="X75" s="241">
        <f t="shared" si="60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3"/>
        <v>41.071428571428569</v>
      </c>
      <c r="F76" s="1049"/>
      <c r="G76" s="1068"/>
      <c r="H76" s="1069"/>
      <c r="I76" s="1052">
        <f t="shared" si="54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58"/>
        <v>45</v>
      </c>
      <c r="V76" s="239">
        <v>48</v>
      </c>
      <c r="W76" s="240">
        <f>+V76-U76</f>
        <v>3</v>
      </c>
      <c r="X76" s="241">
        <f t="shared" si="60"/>
        <v>0</v>
      </c>
      <c r="AD76"/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3"/>
        <v>29.571428571428573</v>
      </c>
      <c r="F77" s="1049"/>
      <c r="G77" s="1062"/>
      <c r="H77" s="1063"/>
      <c r="I77" s="1052">
        <f t="shared" si="54"/>
        <v>3.6964285714285716</v>
      </c>
      <c r="J77" s="1058"/>
      <c r="K77" s="1059">
        <f>+E77*30</f>
        <v>887.14285714285722</v>
      </c>
      <c r="L77" s="1059"/>
      <c r="M77" s="5"/>
      <c r="N77" s="1020">
        <f t="shared" si="56"/>
        <v>4.3125</v>
      </c>
      <c r="O77" s="1020"/>
      <c r="P77" s="5"/>
      <c r="Q77" s="1056">
        <f t="shared" si="57"/>
        <v>1.5348214285714286</v>
      </c>
      <c r="R77" s="1057"/>
      <c r="S77" s="1066">
        <f>20*30/180*117</f>
        <v>390</v>
      </c>
      <c r="T77" s="1067"/>
      <c r="U77" s="238">
        <f t="shared" si="58"/>
        <v>0</v>
      </c>
      <c r="V77" s="239">
        <v>48</v>
      </c>
      <c r="W77" s="240">
        <f t="shared" si="59"/>
        <v>48</v>
      </c>
      <c r="X77" s="241">
        <f t="shared" si="60"/>
        <v>0</v>
      </c>
      <c r="Y77" s="248"/>
      <c r="Z77" s="821"/>
      <c r="AA77" s="821"/>
      <c r="AB77" s="821"/>
      <c r="AC77" s="821"/>
      <c r="AD77" s="821"/>
      <c r="AE77" s="386"/>
      <c r="AF77" s="386"/>
      <c r="AG77" s="820"/>
      <c r="AH77" s="820"/>
      <c r="AI77" s="393"/>
      <c r="AJ77" s="393"/>
      <c r="AK77" s="393"/>
      <c r="AL77" s="393"/>
      <c r="AM77" s="820"/>
      <c r="AN77" s="820"/>
      <c r="AO77" s="820"/>
      <c r="AP77" s="820"/>
      <c r="AQ77" s="820"/>
      <c r="AR77" s="820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3"/>
        <v>31.000028571428572</v>
      </c>
      <c r="F78" s="1049"/>
      <c r="G78" s="1050"/>
      <c r="H78" s="1051"/>
      <c r="I78" s="1052">
        <f t="shared" si="54"/>
        <v>3.8750035714285715</v>
      </c>
      <c r="J78" s="1058"/>
      <c r="K78" s="1059">
        <f>+E78*30</f>
        <v>930.00085714285717</v>
      </c>
      <c r="L78" s="1059"/>
      <c r="M78" s="5"/>
      <c r="N78" s="1020">
        <f t="shared" si="56"/>
        <v>4.5208375000000007</v>
      </c>
      <c r="O78" s="1020"/>
      <c r="P78" s="5"/>
      <c r="Q78" s="1056">
        <f t="shared" si="57"/>
        <v>1.3562464285714286</v>
      </c>
      <c r="R78" s="1057"/>
      <c r="S78" s="823"/>
      <c r="T78" s="823"/>
      <c r="U78" s="238">
        <f>+AE40+U40+K40+AO19+AE19+U19+K19</f>
        <v>0</v>
      </c>
      <c r="V78" s="239">
        <v>48</v>
      </c>
      <c r="W78" s="240">
        <f t="shared" si="59"/>
        <v>48</v>
      </c>
      <c r="X78" s="241">
        <f t="shared" si="60"/>
        <v>0</v>
      </c>
      <c r="Y78" s="823"/>
      <c r="Z78" s="821"/>
      <c r="AA78" s="821"/>
      <c r="AB78" s="821"/>
      <c r="AC78" s="821"/>
      <c r="AD78" s="821"/>
      <c r="AE78" s="386"/>
      <c r="AF78" s="386"/>
      <c r="AG78" s="820"/>
      <c r="AH78" s="820"/>
      <c r="AI78" s="393"/>
      <c r="AJ78" s="393"/>
      <c r="AK78" s="393"/>
      <c r="AL78" s="393"/>
      <c r="AM78" s="820"/>
      <c r="AN78" s="820"/>
      <c r="AO78" s="820"/>
      <c r="AP78" s="820"/>
      <c r="AQ78" s="820"/>
      <c r="AR78" s="820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5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64.5</v>
      </c>
      <c r="V79" s="239">
        <v>48</v>
      </c>
      <c r="W79" s="240">
        <f>+V79-U79</f>
        <v>-16.5</v>
      </c>
      <c r="X79" s="241">
        <f t="shared" si="60"/>
        <v>0</v>
      </c>
      <c r="Z79" s="246"/>
      <c r="AA79" s="246"/>
      <c r="AB79" s="821"/>
      <c r="AC79" s="821"/>
      <c r="AD79" s="821"/>
      <c r="AE79" s="386"/>
      <c r="AF79" s="386"/>
      <c r="AG79" s="820"/>
      <c r="AH79" s="820"/>
      <c r="AI79" s="820"/>
      <c r="AJ79" s="820"/>
      <c r="AK79" s="820"/>
      <c r="AL79" s="820"/>
      <c r="AM79" s="820"/>
      <c r="AN79" s="820"/>
      <c r="AO79" s="820"/>
      <c r="AP79" s="820"/>
      <c r="AQ79" s="820"/>
      <c r="AR79" s="820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1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0"/>
        <v>0</v>
      </c>
      <c r="Z80" s="246"/>
      <c r="AA80" s="246"/>
      <c r="AB80" s="821"/>
      <c r="AC80" s="821"/>
      <c r="AD80" s="821"/>
      <c r="AE80" s="386"/>
      <c r="AF80" s="386"/>
      <c r="AG80" s="820"/>
      <c r="AH80" s="820"/>
      <c r="AI80" s="820"/>
      <c r="AJ80" s="820"/>
      <c r="AK80" s="820"/>
      <c r="AL80" s="820"/>
      <c r="AM80" s="820"/>
      <c r="AN80" s="820"/>
      <c r="AO80" s="820"/>
      <c r="AP80" s="820"/>
      <c r="AQ80" s="820"/>
      <c r="AR80" s="820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1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48.5</v>
      </c>
      <c r="V81" s="239">
        <v>48</v>
      </c>
      <c r="W81" s="240">
        <f>+V81-U81</f>
        <v>-0.5</v>
      </c>
      <c r="X81" s="241">
        <f>+J23+T23+AD23+J44+T44+AD44</f>
        <v>0</v>
      </c>
      <c r="Z81" s="246"/>
      <c r="AA81" s="246"/>
      <c r="AB81" s="821"/>
      <c r="AC81" s="821"/>
      <c r="AD81" s="821"/>
      <c r="AE81" s="386"/>
      <c r="AF81" s="386"/>
      <c r="AG81" s="820"/>
      <c r="AH81" s="820"/>
      <c r="AI81" s="820"/>
      <c r="AJ81" s="820"/>
      <c r="AK81" s="393"/>
      <c r="AL81" s="393"/>
      <c r="AM81" s="820"/>
      <c r="AN81" s="820"/>
      <c r="AO81" s="820"/>
      <c r="AP81" s="820"/>
      <c r="AQ81" s="820"/>
      <c r="AR81" s="820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1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6"/>
        <v>4.5208333333333339</v>
      </c>
      <c r="O82" s="1044"/>
      <c r="P82" s="5"/>
      <c r="Q82" s="1004">
        <f t="shared" si="57"/>
        <v>1.3562500000000002</v>
      </c>
      <c r="R82" s="1005"/>
      <c r="U82" s="238">
        <f>+AE43+U43+K43+AO22+AE22+U22+K22</f>
        <v>64.5</v>
      </c>
      <c r="V82" s="239">
        <v>48</v>
      </c>
      <c r="W82" s="240">
        <f t="shared" si="59"/>
        <v>-16.5</v>
      </c>
      <c r="X82" s="241">
        <f>+J21+T21+AD21+J42+T42+AD42</f>
        <v>0</v>
      </c>
      <c r="Z82" s="246"/>
      <c r="AA82" s="246"/>
      <c r="AB82" s="821"/>
      <c r="AC82" s="821"/>
      <c r="AD82" s="821"/>
      <c r="AE82" s="386"/>
      <c r="AF82" s="386"/>
      <c r="AG82" s="820"/>
      <c r="AH82" s="820"/>
      <c r="AI82" s="820"/>
      <c r="AJ82" s="820"/>
      <c r="AK82" s="820"/>
      <c r="AL82" s="820"/>
      <c r="AM82" s="820"/>
      <c r="AN82" s="820"/>
      <c r="AO82" s="820"/>
      <c r="AP82" s="820"/>
      <c r="AQ82" s="820"/>
      <c r="AR82" s="820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1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821"/>
      <c r="AC83" s="821"/>
      <c r="AD83" s="821"/>
      <c r="AE83" s="386"/>
      <c r="AF83" s="386"/>
      <c r="AG83" s="820"/>
      <c r="AH83" s="820"/>
      <c r="AI83" s="820"/>
      <c r="AJ83" s="820"/>
      <c r="AK83" s="820"/>
      <c r="AL83" s="820"/>
      <c r="AM83" s="820"/>
      <c r="AN83" s="820"/>
      <c r="AO83" s="820"/>
      <c r="AP83" s="820"/>
      <c r="AQ83" s="820"/>
      <c r="AR83" s="820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si="61"/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821"/>
      <c r="AC84" s="821"/>
      <c r="AD84" s="821"/>
      <c r="AE84" s="386"/>
      <c r="AF84" s="386"/>
      <c r="AG84" s="820"/>
      <c r="AH84" s="820"/>
      <c r="AI84" s="820"/>
      <c r="AJ84" s="820"/>
      <c r="AK84" s="809"/>
      <c r="AL84" s="809"/>
      <c r="AM84" s="809"/>
      <c r="AN84" s="809"/>
      <c r="AO84" s="809"/>
      <c r="AP84" s="809"/>
      <c r="AQ84" s="809"/>
      <c r="AR84" s="809"/>
      <c r="AS84" s="386"/>
      <c r="AT84" s="386"/>
    </row>
    <row r="85" spans="1:46" ht="16.5">
      <c r="A85" s="247"/>
      <c r="B85" s="250" t="s">
        <v>147</v>
      </c>
      <c r="C85" s="810"/>
      <c r="D85" s="811"/>
      <c r="E85" s="812"/>
      <c r="F85" s="813"/>
      <c r="G85" s="814"/>
      <c r="H85" s="815"/>
      <c r="I85" s="812"/>
      <c r="J85" s="813"/>
      <c r="K85" s="824"/>
      <c r="L85" s="825"/>
      <c r="M85" s="5"/>
      <c r="N85" s="816"/>
      <c r="O85" s="817"/>
      <c r="P85" s="5"/>
      <c r="Q85" s="818"/>
      <c r="R85" s="819"/>
      <c r="U85" s="238"/>
      <c r="V85" s="239"/>
      <c r="W85" s="240"/>
      <c r="X85" s="241"/>
      <c r="Z85" s="246"/>
      <c r="AA85" s="246"/>
      <c r="AB85" s="821"/>
      <c r="AC85" s="821"/>
      <c r="AD85" s="821"/>
      <c r="AE85" s="386"/>
      <c r="AF85" s="386"/>
      <c r="AG85" s="820"/>
      <c r="AH85" s="820"/>
      <c r="AI85" s="820"/>
      <c r="AJ85" s="820"/>
      <c r="AK85" s="809"/>
      <c r="AL85" s="809"/>
      <c r="AM85" s="809"/>
      <c r="AN85" s="809"/>
      <c r="AO85" s="809"/>
      <c r="AP85" s="809"/>
      <c r="AQ85" s="809"/>
      <c r="AR85" s="809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1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56"/>
        <v>11.423610416666666</v>
      </c>
      <c r="O86" s="1020"/>
      <c r="P86" s="5"/>
      <c r="Q86" s="1004">
        <f t="shared" si="57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59"/>
        <v>48</v>
      </c>
      <c r="X86" s="241">
        <f>+J27+T27+AD27+J48+T48+AD48</f>
        <v>0</v>
      </c>
      <c r="Z86" s="246"/>
      <c r="AA86" s="246"/>
      <c r="AB86" s="821"/>
      <c r="AC86" s="821"/>
      <c r="AD86" s="821"/>
      <c r="AE86" s="386"/>
      <c r="AF86" s="386"/>
      <c r="AG86" s="820"/>
      <c r="AH86" s="820"/>
      <c r="AI86" s="820"/>
      <c r="AJ86" s="820"/>
      <c r="AK86" s="820"/>
      <c r="AL86" s="820"/>
      <c r="AM86" s="820"/>
      <c r="AN86" s="820"/>
      <c r="AO86" s="820"/>
      <c r="AP86" s="820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820"/>
      <c r="AF90" s="820"/>
      <c r="AG90" s="386"/>
      <c r="AH90" s="386"/>
      <c r="AI90" s="386"/>
      <c r="AJ90" s="820"/>
      <c r="AK90" s="820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820"/>
      <c r="AF91" s="820"/>
      <c r="AG91" s="386"/>
      <c r="AH91" s="386"/>
      <c r="AI91" s="386"/>
      <c r="AJ91" s="820"/>
      <c r="AK91" s="820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820"/>
      <c r="AF93" s="820"/>
      <c r="AG93" s="386"/>
      <c r="AH93" s="386"/>
      <c r="AI93" s="386"/>
      <c r="AJ93" s="820"/>
      <c r="AK93" s="820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820"/>
      <c r="AF96" s="820"/>
      <c r="AG96" s="386"/>
      <c r="AH96" s="386"/>
      <c r="AI96" s="386"/>
      <c r="AJ96" s="820"/>
      <c r="AK96" s="820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809"/>
      <c r="AM98" s="820"/>
      <c r="AN98" s="809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820"/>
      <c r="AF108" s="820"/>
      <c r="AG108" s="386"/>
      <c r="AH108" s="386"/>
      <c r="AI108" s="386"/>
      <c r="AJ108" s="820"/>
      <c r="AK108" s="820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809"/>
      <c r="AM116" s="820"/>
      <c r="AN116" s="809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820"/>
      <c r="AF127" s="820"/>
      <c r="AG127" s="386"/>
      <c r="AH127" s="386"/>
      <c r="AI127" s="386"/>
      <c r="AJ127" s="820"/>
      <c r="AK127" s="820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820"/>
      <c r="AF128" s="820"/>
      <c r="AG128" s="386"/>
      <c r="AH128" s="386"/>
      <c r="AI128" s="386"/>
      <c r="AJ128" s="820"/>
      <c r="AK128" s="820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820"/>
      <c r="AF130" s="820"/>
      <c r="AG130" s="386"/>
      <c r="AH130" s="386"/>
      <c r="AI130" s="386"/>
      <c r="AJ130" s="820"/>
      <c r="AK130" s="820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820"/>
      <c r="AF133" s="820"/>
      <c r="AG133" s="386"/>
      <c r="AH133" s="386"/>
      <c r="AI133" s="386"/>
      <c r="AJ133" s="820"/>
      <c r="AK133" s="820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809"/>
      <c r="AM135" s="820"/>
      <c r="AN135" s="809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820"/>
      <c r="AF145" s="820"/>
      <c r="AG145" s="386"/>
      <c r="AH145" s="386"/>
      <c r="AI145" s="386"/>
      <c r="AJ145" s="820"/>
      <c r="AK145" s="820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820"/>
      <c r="AF146" s="820"/>
      <c r="AG146" s="386"/>
      <c r="AH146" s="386"/>
      <c r="AI146" s="386"/>
      <c r="AJ146" s="820"/>
      <c r="AK146" s="820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820"/>
      <c r="AF148" s="820"/>
      <c r="AG148" s="386"/>
      <c r="AH148" s="386"/>
      <c r="AI148" s="386"/>
      <c r="AJ148" s="820"/>
      <c r="AK148" s="820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820"/>
      <c r="AF151" s="820"/>
      <c r="AG151" s="386"/>
      <c r="AH151" s="386"/>
      <c r="AI151" s="386"/>
      <c r="AJ151" s="820"/>
      <c r="AK151" s="820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809"/>
      <c r="AM153" s="820"/>
      <c r="AN153" s="809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820"/>
      <c r="AF165" s="820"/>
      <c r="AG165" s="386"/>
      <c r="AH165" s="386"/>
      <c r="AI165" s="386"/>
      <c r="AJ165" s="820"/>
      <c r="AK165" s="820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809"/>
      <c r="AM173" s="820"/>
      <c r="AN173" s="809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820"/>
      <c r="AF184" s="820"/>
      <c r="AG184" s="386"/>
      <c r="AH184" s="386"/>
      <c r="AI184" s="386"/>
      <c r="AJ184" s="820"/>
      <c r="AK184" s="820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820"/>
      <c r="AF185" s="820"/>
      <c r="AG185" s="386"/>
      <c r="AH185" s="386"/>
      <c r="AI185" s="386"/>
      <c r="AJ185" s="820"/>
      <c r="AK185" s="820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820"/>
      <c r="AF187" s="820"/>
      <c r="AG187" s="386"/>
      <c r="AH187" s="386"/>
      <c r="AI187" s="386"/>
      <c r="AJ187" s="820"/>
      <c r="AK187" s="820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820"/>
      <c r="AF190" s="820"/>
      <c r="AG190" s="386"/>
      <c r="AH190" s="386"/>
      <c r="AI190" s="386"/>
      <c r="AJ190" s="820"/>
      <c r="AK190" s="820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809"/>
      <c r="AM192" s="820"/>
      <c r="AN192" s="809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823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823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823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823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823"/>
      <c r="AB204" s="823"/>
      <c r="AC204" s="823"/>
      <c r="AD204" s="823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821"/>
      <c r="AB205" s="821"/>
      <c r="AC205" s="821"/>
      <c r="AD205" s="821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821"/>
      <c r="AB206" s="821"/>
      <c r="AC206" s="821"/>
      <c r="AD206" s="821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62">+C207/7</f>
        <v>36.371428571428567</v>
      </c>
      <c r="F207" s="1049"/>
      <c r="G207" s="388"/>
      <c r="H207" s="388"/>
      <c r="I207" s="1052">
        <f t="shared" ref="I207:I214" si="63">+E207/8</f>
        <v>4.5464285714285708</v>
      </c>
      <c r="J207" s="1058"/>
      <c r="K207" s="1059">
        <f t="shared" ref="K207:K211" si="64">+E207*30</f>
        <v>1091.1428571428569</v>
      </c>
      <c r="L207" s="1059"/>
      <c r="M207" s="5"/>
      <c r="N207" s="1020">
        <f t="shared" ref="N207:N211" si="65">+I207/6*7</f>
        <v>5.3041666666666654</v>
      </c>
      <c r="O207" s="1020"/>
      <c r="P207" s="5"/>
      <c r="Q207" s="1056">
        <f t="shared" ref="Q207:Q211" si="66">+$I$69-I207</f>
        <v>0.68482142857142936</v>
      </c>
      <c r="R207" s="1057"/>
      <c r="U207" s="238">
        <f t="shared" ref="U207:U213" si="67">+AE168+U168+K168+AO147+AE147+U147+K147</f>
        <v>0</v>
      </c>
      <c r="V207" s="239">
        <v>48</v>
      </c>
      <c r="W207" s="240">
        <f t="shared" ref="W207:W211" si="68">+V207-U207</f>
        <v>48</v>
      </c>
      <c r="X207" s="241" t="e">
        <f t="shared" ref="X207:X213" si="69">+J147+T147+AD147+J168+T168+AD168</f>
        <v>#VALUE!</v>
      </c>
      <c r="Z207" s="389"/>
      <c r="AA207" s="821"/>
      <c r="AB207" s="821"/>
      <c r="AC207" s="821"/>
      <c r="AD207" s="821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62"/>
        <v>41.071428571428569</v>
      </c>
      <c r="F208" s="1049"/>
      <c r="G208" s="388"/>
      <c r="H208" s="388"/>
      <c r="I208" s="1052">
        <f t="shared" si="63"/>
        <v>5.1339285714285712</v>
      </c>
      <c r="J208" s="1058"/>
      <c r="K208" s="1059">
        <f t="shared" si="64"/>
        <v>1232.1428571428571</v>
      </c>
      <c r="L208" s="1059"/>
      <c r="M208" s="5"/>
      <c r="N208" s="1020">
        <f t="shared" si="65"/>
        <v>5.989583333333333</v>
      </c>
      <c r="O208" s="1020"/>
      <c r="P208" s="5"/>
      <c r="Q208" s="1056">
        <f t="shared" si="66"/>
        <v>9.7321428571429003E-2</v>
      </c>
      <c r="R208" s="1057"/>
      <c r="U208" s="238">
        <f t="shared" si="67"/>
        <v>0</v>
      </c>
      <c r="V208" s="239">
        <v>48</v>
      </c>
      <c r="W208" s="240">
        <f t="shared" si="68"/>
        <v>48</v>
      </c>
      <c r="X208" s="241" t="e">
        <f t="shared" si="69"/>
        <v>#VALUE!</v>
      </c>
      <c r="Z208" s="389"/>
      <c r="AA208" s="821"/>
      <c r="AB208" s="821"/>
      <c r="AC208" s="821"/>
      <c r="AD208" s="821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62"/>
        <v>41.071428571428569</v>
      </c>
      <c r="F209" s="1049"/>
      <c r="G209" s="388"/>
      <c r="H209" s="388"/>
      <c r="I209" s="1052">
        <f t="shared" si="63"/>
        <v>5.1339285714285712</v>
      </c>
      <c r="J209" s="1058"/>
      <c r="K209" s="1059">
        <f t="shared" si="64"/>
        <v>1232.1428571428571</v>
      </c>
      <c r="L209" s="1059"/>
      <c r="M209" s="5"/>
      <c r="N209" s="1020">
        <f t="shared" si="65"/>
        <v>5.989583333333333</v>
      </c>
      <c r="O209" s="1020"/>
      <c r="P209" s="5"/>
      <c r="Q209" s="1056">
        <f t="shared" si="66"/>
        <v>9.7321428571429003E-2</v>
      </c>
      <c r="R209" s="1057"/>
      <c r="U209" s="238">
        <f t="shared" si="67"/>
        <v>0</v>
      </c>
      <c r="V209" s="239">
        <v>48</v>
      </c>
      <c r="W209" s="240">
        <f t="shared" si="68"/>
        <v>48</v>
      </c>
      <c r="X209" s="241" t="e">
        <f t="shared" si="69"/>
        <v>#VALUE!</v>
      </c>
      <c r="Z209" s="389"/>
      <c r="AA209" s="821"/>
      <c r="AB209" s="821"/>
      <c r="AC209" s="821"/>
      <c r="AD209" s="821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62"/>
        <v>33.33342857142857</v>
      </c>
      <c r="F210" s="1049"/>
      <c r="G210" s="388"/>
      <c r="H210" s="388"/>
      <c r="I210" s="1052">
        <f t="shared" si="63"/>
        <v>4.1666785714285712</v>
      </c>
      <c r="J210" s="1058"/>
      <c r="K210" s="1059">
        <f t="shared" si="64"/>
        <v>1000.0028571428571</v>
      </c>
      <c r="L210" s="1059"/>
      <c r="M210" s="5"/>
      <c r="N210" s="1020">
        <f t="shared" si="65"/>
        <v>4.8611250000000004</v>
      </c>
      <c r="O210" s="1020"/>
      <c r="P210" s="5"/>
      <c r="Q210" s="1056">
        <f t="shared" si="66"/>
        <v>1.0645714285714289</v>
      </c>
      <c r="R210" s="1057"/>
      <c r="S210" s="1066">
        <f>20*30/180*117</f>
        <v>390</v>
      </c>
      <c r="T210" s="1067"/>
      <c r="U210" s="238">
        <f t="shared" si="67"/>
        <v>0</v>
      </c>
      <c r="V210" s="239">
        <v>48</v>
      </c>
      <c r="W210" s="240">
        <f t="shared" si="68"/>
        <v>48</v>
      </c>
      <c r="X210" s="241">
        <f t="shared" si="69"/>
        <v>0</v>
      </c>
      <c r="Z210" s="1045" t="s">
        <v>53</v>
      </c>
      <c r="AA210" s="1045"/>
      <c r="AB210" s="1045"/>
      <c r="AC210" s="1045"/>
      <c r="AD210" s="389" t="s">
        <v>54</v>
      </c>
      <c r="AE210" s="821"/>
      <c r="AF210" s="386"/>
      <c r="AG210" s="820"/>
      <c r="AH210" s="820"/>
      <c r="AI210" s="386"/>
      <c r="AJ210" s="386"/>
      <c r="AK210" s="809"/>
      <c r="AL210" s="809"/>
      <c r="AM210" s="809"/>
      <c r="AN210" s="809"/>
      <c r="AO210" s="809"/>
      <c r="AP210" s="809"/>
      <c r="AQ210" s="809"/>
      <c r="AR210" s="809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62"/>
        <v>41.071428571428569</v>
      </c>
      <c r="F211" s="1049"/>
      <c r="G211" s="388"/>
      <c r="H211" s="388"/>
      <c r="I211" s="1052">
        <f t="shared" si="63"/>
        <v>5.1339285714285712</v>
      </c>
      <c r="J211" s="1058"/>
      <c r="K211" s="1059">
        <f t="shared" si="64"/>
        <v>1232.1428571428571</v>
      </c>
      <c r="L211" s="1059"/>
      <c r="M211" s="5"/>
      <c r="N211" s="1020">
        <f t="shared" si="65"/>
        <v>5.989583333333333</v>
      </c>
      <c r="O211" s="1020"/>
      <c r="P211" s="5"/>
      <c r="Q211" s="1056">
        <f t="shared" si="66"/>
        <v>9.7321428571429003E-2</v>
      </c>
      <c r="R211" s="1057"/>
      <c r="U211" s="238">
        <f t="shared" si="67"/>
        <v>0</v>
      </c>
      <c r="V211" s="239">
        <v>48</v>
      </c>
      <c r="W211" s="240">
        <f t="shared" si="68"/>
        <v>48</v>
      </c>
      <c r="X211" s="241">
        <f t="shared" si="69"/>
        <v>0</v>
      </c>
      <c r="Z211" s="821"/>
      <c r="AA211" s="821"/>
      <c r="AB211" s="821"/>
      <c r="AC211" s="821"/>
      <c r="AD211" s="821"/>
      <c r="AE211" s="386"/>
      <c r="AF211" s="386"/>
      <c r="AG211" s="244"/>
      <c r="AH211" s="244"/>
      <c r="AI211" s="820"/>
      <c r="AJ211" s="820"/>
      <c r="AK211" s="820"/>
      <c r="AL211" s="820"/>
      <c r="AM211" s="820"/>
      <c r="AN211" s="820"/>
      <c r="AO211" s="820"/>
      <c r="AP211" s="820"/>
      <c r="AQ211" s="820"/>
      <c r="AR211" s="820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62"/>
        <v>41.071428571428569</v>
      </c>
      <c r="F212" s="1049"/>
      <c r="G212" s="1068"/>
      <c r="H212" s="1069"/>
      <c r="I212" s="1052">
        <f t="shared" si="63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67"/>
        <v>0</v>
      </c>
      <c r="V212" s="239">
        <v>48</v>
      </c>
      <c r="W212" s="240">
        <f>+V212-U212</f>
        <v>48</v>
      </c>
      <c r="X212" s="241">
        <f t="shared" si="69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820"/>
      <c r="AN212" s="820"/>
      <c r="AO212" s="820"/>
      <c r="AP212" s="820"/>
      <c r="AQ212" s="820"/>
      <c r="AR212" s="820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62"/>
        <v>29.571428571428573</v>
      </c>
      <c r="F213" s="1049"/>
      <c r="G213" s="1062"/>
      <c r="H213" s="1063"/>
      <c r="I213" s="1052">
        <f t="shared" si="63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0">+I213/6*7</f>
        <v>4.3125</v>
      </c>
      <c r="O213" s="1020"/>
      <c r="P213" s="5"/>
      <c r="Q213" s="1056">
        <f t="shared" ref="Q213:Q214" si="71">+$I$69-I213</f>
        <v>1.5348214285714286</v>
      </c>
      <c r="R213" s="1057"/>
      <c r="S213" s="1066">
        <f>20*30/180*117</f>
        <v>390</v>
      </c>
      <c r="T213" s="1067"/>
      <c r="U213" s="238">
        <f t="shared" si="67"/>
        <v>0</v>
      </c>
      <c r="V213" s="239">
        <v>48</v>
      </c>
      <c r="W213" s="240">
        <f t="shared" ref="W213:W214" si="72">+V213-U213</f>
        <v>48</v>
      </c>
      <c r="X213" s="241">
        <f t="shared" si="69"/>
        <v>0</v>
      </c>
      <c r="Y213" s="248"/>
      <c r="Z213" s="821"/>
      <c r="AA213" s="821"/>
      <c r="AB213" s="821"/>
      <c r="AC213" s="821"/>
      <c r="AD213" s="821"/>
      <c r="AE213" s="386"/>
      <c r="AF213" s="386"/>
      <c r="AG213" s="820"/>
      <c r="AH213" s="820"/>
      <c r="AI213" s="393"/>
      <c r="AJ213" s="393"/>
      <c r="AK213" s="393"/>
      <c r="AL213" s="393"/>
      <c r="AM213" s="820"/>
      <c r="AN213" s="820"/>
      <c r="AO213" s="820"/>
      <c r="AP213" s="820"/>
      <c r="AQ213" s="820"/>
      <c r="AR213" s="820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62"/>
        <v>28.333328571428574</v>
      </c>
      <c r="F214" s="1049"/>
      <c r="G214" s="1050">
        <v>25.761900000000001</v>
      </c>
      <c r="H214" s="1051"/>
      <c r="I214" s="1052">
        <f t="shared" si="63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0"/>
        <v>4.1319437500000005</v>
      </c>
      <c r="O214" s="1020"/>
      <c r="P214" s="5"/>
      <c r="Q214" s="1056">
        <f t="shared" si="71"/>
        <v>1.6895839285714285</v>
      </c>
      <c r="R214" s="1057"/>
      <c r="S214" s="823"/>
      <c r="T214" s="823"/>
      <c r="U214" s="238">
        <f>+AE176+U176+K176+AO155+AE155+U155+K155</f>
        <v>0</v>
      </c>
      <c r="V214" s="239">
        <v>48</v>
      </c>
      <c r="W214" s="240">
        <f t="shared" si="72"/>
        <v>48</v>
      </c>
      <c r="X214" s="241">
        <f>+J155+T155+AD155+J176+T176+AD176</f>
        <v>0</v>
      </c>
      <c r="Y214" s="823"/>
      <c r="Z214" s="821"/>
      <c r="AA214" s="821"/>
      <c r="AB214" s="821"/>
      <c r="AC214" s="821"/>
      <c r="AD214" s="821"/>
      <c r="AE214" s="386"/>
      <c r="AF214" s="386"/>
      <c r="AG214" s="820"/>
      <c r="AH214" s="820"/>
      <c r="AI214" s="393"/>
      <c r="AJ214" s="393"/>
      <c r="AK214" s="393"/>
      <c r="AL214" s="393"/>
      <c r="AM214" s="820"/>
      <c r="AN214" s="820"/>
      <c r="AO214" s="820"/>
      <c r="AP214" s="820"/>
      <c r="AQ214" s="820"/>
      <c r="AR214" s="820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73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821"/>
      <c r="AC215" s="821"/>
      <c r="AD215" s="821"/>
      <c r="AE215" s="386"/>
      <c r="AF215" s="386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0"/>
      <c r="AQ215" s="820"/>
      <c r="AR215" s="820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74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821"/>
      <c r="AE216" s="386"/>
      <c r="AF216" s="386"/>
      <c r="AG216" s="244"/>
      <c r="AH216" s="244"/>
      <c r="AI216" s="820"/>
      <c r="AJ216" s="820"/>
      <c r="AK216" s="820"/>
      <c r="AL216" s="820"/>
      <c r="AM216" s="820"/>
      <c r="AN216" s="820"/>
      <c r="AO216" s="820"/>
      <c r="AP216" s="820"/>
      <c r="AQ216" s="820"/>
      <c r="AR216" s="820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74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821"/>
      <c r="AD217" s="821"/>
      <c r="AE217" s="386"/>
      <c r="AF217" s="386"/>
      <c r="AG217" s="820"/>
      <c r="AH217" s="820"/>
      <c r="AI217" s="393"/>
      <c r="AJ217" s="393"/>
      <c r="AK217" s="393"/>
      <c r="AL217" s="393"/>
      <c r="AM217" s="820"/>
      <c r="AN217" s="820"/>
      <c r="AO217" s="820"/>
      <c r="AP217" s="820"/>
      <c r="AQ217" s="820"/>
      <c r="AR217" s="820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74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75">+I218/6*7</f>
        <v>4.1319395833333337</v>
      </c>
      <c r="O218" s="1044"/>
      <c r="P218" s="5"/>
      <c r="Q218" s="1004">
        <f t="shared" ref="Q218" si="76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77">+V218-U218</f>
        <v>48</v>
      </c>
      <c r="X218" s="241">
        <f>+J158+T158+AD158+J179+T179+AD179</f>
        <v>0</v>
      </c>
      <c r="Z218" s="252"/>
      <c r="AA218" s="394"/>
      <c r="AB218" s="389"/>
      <c r="AC218" s="821"/>
      <c r="AD218" s="821"/>
      <c r="AE218" s="386"/>
      <c r="AF218" s="386"/>
      <c r="AG218" s="393"/>
      <c r="AH218" s="393"/>
      <c r="AI218" s="820"/>
      <c r="AJ218" s="820"/>
      <c r="AK218" s="820"/>
      <c r="AL218" s="820"/>
      <c r="AM218" s="820"/>
      <c r="AN218" s="820"/>
      <c r="AO218" s="820"/>
      <c r="AP218" s="820"/>
      <c r="AQ218" s="820"/>
      <c r="AR218" s="820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74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821"/>
      <c r="AC219" s="821"/>
      <c r="AD219" s="821">
        <v>200</v>
      </c>
      <c r="AE219" s="386"/>
      <c r="AF219" s="1023">
        <f>+AD219/6</f>
        <v>33.333333333333336</v>
      </c>
      <c r="AG219" s="1023"/>
      <c r="AH219" s="1023"/>
      <c r="AI219" s="820"/>
      <c r="AJ219" s="820"/>
      <c r="AK219" s="820"/>
      <c r="AL219" s="820"/>
      <c r="AM219" s="820"/>
      <c r="AN219" s="820"/>
      <c r="AO219" s="820"/>
      <c r="AP219" s="820"/>
      <c r="AQ219" s="820"/>
      <c r="AR219" s="820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74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78">+V220-U220</f>
        <v>48</v>
      </c>
      <c r="X220" s="241">
        <f>+J159+T159+AD159+J180+T180+AD180</f>
        <v>0</v>
      </c>
      <c r="Y220" s="248"/>
      <c r="Z220" s="821"/>
      <c r="AA220" s="821"/>
      <c r="AB220" s="821"/>
      <c r="AC220" s="821"/>
      <c r="AG220" s="820"/>
      <c r="AH220" s="820"/>
      <c r="AI220" s="386"/>
      <c r="AJ220" s="386"/>
      <c r="AK220" s="809"/>
      <c r="AL220" s="809"/>
      <c r="AM220" s="809"/>
      <c r="AN220" s="809"/>
      <c r="AO220" s="809"/>
      <c r="AP220" s="809"/>
      <c r="AQ220" s="809"/>
      <c r="AR220" s="809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74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79">+I221/6*7</f>
        <v>11.423610416666666</v>
      </c>
      <c r="O221" s="1020"/>
      <c r="P221" s="5"/>
      <c r="Q221" s="1004">
        <f t="shared" ref="Q221" si="80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78"/>
        <v>48</v>
      </c>
      <c r="X221" s="241">
        <f>+J163+T163+AD163+J184+T184+AD184</f>
        <v>0</v>
      </c>
      <c r="Z221" s="246"/>
      <c r="AA221" s="246"/>
      <c r="AB221" s="821"/>
      <c r="AC221" s="821"/>
      <c r="AD221" s="821"/>
      <c r="AE221" s="386"/>
      <c r="AF221" s="386"/>
      <c r="AG221" s="820"/>
      <c r="AH221" s="820"/>
      <c r="AI221" s="820"/>
      <c r="AJ221" s="820"/>
      <c r="AK221" s="820"/>
      <c r="AL221" s="820"/>
      <c r="AM221" s="820"/>
      <c r="AN221" s="820"/>
      <c r="AO221" s="820"/>
      <c r="AP221" s="820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822"/>
      <c r="E224" s="304"/>
      <c r="F224" s="305"/>
      <c r="G224" s="822"/>
      <c r="H224" s="822"/>
      <c r="I224" s="305"/>
      <c r="J224" s="822"/>
      <c r="K224" s="306"/>
      <c r="L224" s="306"/>
      <c r="M224" s="822"/>
      <c r="N224" s="822"/>
      <c r="O224" s="822"/>
      <c r="P224" s="822"/>
      <c r="Q224" s="822"/>
      <c r="R224" s="822"/>
      <c r="S224" s="822"/>
      <c r="T224" s="822"/>
      <c r="U224" s="822"/>
      <c r="V224" s="822"/>
      <c r="W224" s="822"/>
      <c r="X224" s="822"/>
      <c r="Y224" s="822"/>
      <c r="Z224" s="822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1">+I228+L228+O228</f>
        <v>33.762</v>
      </c>
      <c r="S228" s="1001"/>
      <c r="T228" s="1001"/>
      <c r="U228" s="961">
        <f t="shared" ref="U228:U235" si="82">+I228*7+(L228+O228)*6</f>
        <v>233.334</v>
      </c>
      <c r="V228" s="961"/>
      <c r="W228" s="962"/>
      <c r="X228" s="963">
        <f t="shared" ref="X228:X235" si="83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1"/>
        <v>28.762</v>
      </c>
      <c r="S229" s="998"/>
      <c r="T229" s="998"/>
      <c r="U229" s="953">
        <f t="shared" si="82"/>
        <v>198.334</v>
      </c>
      <c r="V229" s="953"/>
      <c r="W229" s="954"/>
      <c r="X229" s="947">
        <f t="shared" si="83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84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1"/>
        <v>41.5</v>
      </c>
      <c r="S230" s="998"/>
      <c r="T230" s="998"/>
      <c r="U230" s="953">
        <f t="shared" si="82"/>
        <v>287.5</v>
      </c>
      <c r="V230" s="953"/>
      <c r="W230" s="954"/>
      <c r="X230" s="947">
        <f t="shared" si="83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1"/>
        <v>41.5</v>
      </c>
      <c r="S231" s="998"/>
      <c r="T231" s="998"/>
      <c r="U231" s="953">
        <f t="shared" si="82"/>
        <v>287.5</v>
      </c>
      <c r="V231" s="953"/>
      <c r="W231" s="954"/>
      <c r="X231" s="947">
        <f t="shared" si="83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1"/>
        <v>41.5</v>
      </c>
      <c r="S232" s="998"/>
      <c r="T232" s="998"/>
      <c r="U232" s="953">
        <f t="shared" si="82"/>
        <v>287.5</v>
      </c>
      <c r="V232" s="953"/>
      <c r="W232" s="954"/>
      <c r="X232" s="947">
        <f t="shared" si="83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1"/>
        <v>36.799999999999997</v>
      </c>
      <c r="S233" s="998"/>
      <c r="T233" s="998"/>
      <c r="U233" s="953">
        <f t="shared" si="82"/>
        <v>254.59999999999997</v>
      </c>
      <c r="V233" s="953"/>
      <c r="W233" s="954"/>
      <c r="X233" s="947">
        <f t="shared" si="83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1"/>
        <v>41.5</v>
      </c>
      <c r="S234" s="998"/>
      <c r="T234" s="998"/>
      <c r="U234" s="953">
        <f t="shared" si="82"/>
        <v>287.5</v>
      </c>
      <c r="V234" s="953"/>
      <c r="W234" s="954"/>
      <c r="X234" s="947">
        <f t="shared" si="83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1"/>
        <v>37.095199999999998</v>
      </c>
      <c r="S235" s="998"/>
      <c r="T235" s="998"/>
      <c r="U235" s="953">
        <f t="shared" si="82"/>
        <v>256.66639999999995</v>
      </c>
      <c r="V235" s="953"/>
      <c r="W235" s="954"/>
      <c r="X235" s="947">
        <f t="shared" si="83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820"/>
      <c r="AF244" s="820"/>
      <c r="AG244" s="386"/>
      <c r="AH244" s="386"/>
      <c r="AI244" s="386"/>
      <c r="AJ244" s="820"/>
      <c r="AK244" s="820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820"/>
      <c r="AF245" s="820"/>
      <c r="AG245" s="386"/>
      <c r="AH245" s="386"/>
      <c r="AI245" s="386"/>
      <c r="AJ245" s="820"/>
      <c r="AK245" s="820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820"/>
      <c r="AF247" s="820"/>
      <c r="AG247" s="386"/>
      <c r="AH247" s="386"/>
      <c r="AI247" s="386"/>
      <c r="AJ247" s="820"/>
      <c r="AK247" s="820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820"/>
      <c r="AF250" s="820"/>
      <c r="AG250" s="386"/>
      <c r="AH250" s="386"/>
      <c r="AI250" s="386"/>
      <c r="AJ250" s="820"/>
      <c r="AK250" s="820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809"/>
      <c r="AM252" s="820"/>
      <c r="AN252" s="809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822"/>
      <c r="E261" s="304"/>
      <c r="F261" s="305"/>
      <c r="G261" s="822"/>
      <c r="H261" s="822"/>
      <c r="I261" s="305"/>
      <c r="J261" s="822"/>
      <c r="K261" s="306"/>
      <c r="L261" s="306"/>
      <c r="M261" s="822"/>
      <c r="N261" s="822"/>
      <c r="O261" s="822"/>
      <c r="P261" s="822"/>
      <c r="Q261" s="822"/>
      <c r="R261" s="822"/>
      <c r="S261" s="822"/>
      <c r="T261" s="822"/>
      <c r="U261" s="822"/>
      <c r="V261" s="822"/>
      <c r="W261" s="822"/>
      <c r="X261" s="822"/>
      <c r="Y261" s="822"/>
      <c r="Z261" s="822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85">+I265+L265+O265</f>
        <v>41.5</v>
      </c>
      <c r="S265" s="960"/>
      <c r="T265" s="960"/>
      <c r="U265" s="961">
        <f t="shared" ref="U265:U271" si="86">+I265*7+(L265+O265)*6</f>
        <v>287.5</v>
      </c>
      <c r="V265" s="961"/>
      <c r="W265" s="962"/>
      <c r="X265" s="963">
        <f t="shared" ref="X265:X271" si="87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88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5"/>
        <v>41.5</v>
      </c>
      <c r="S266" s="938"/>
      <c r="T266" s="938"/>
      <c r="U266" s="953">
        <f t="shared" si="86"/>
        <v>287.5</v>
      </c>
      <c r="V266" s="953"/>
      <c r="W266" s="954"/>
      <c r="X266" s="947">
        <f t="shared" si="87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88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5"/>
        <v>41.5</v>
      </c>
      <c r="S267" s="938"/>
      <c r="T267" s="938"/>
      <c r="U267" s="953">
        <f t="shared" si="86"/>
        <v>287.5</v>
      </c>
      <c r="V267" s="953"/>
      <c r="W267" s="954"/>
      <c r="X267" s="947">
        <f t="shared" si="87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88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5"/>
        <v>38</v>
      </c>
      <c r="S268" s="938"/>
      <c r="T268" s="938"/>
      <c r="U268" s="953">
        <f t="shared" si="86"/>
        <v>263</v>
      </c>
      <c r="V268" s="953"/>
      <c r="W268" s="954"/>
      <c r="X268" s="947">
        <f t="shared" si="87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88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5"/>
        <v>36.799999999999997</v>
      </c>
      <c r="S269" s="938"/>
      <c r="T269" s="938"/>
      <c r="U269" s="953">
        <f t="shared" si="86"/>
        <v>254.59999999999997</v>
      </c>
      <c r="V269" s="953"/>
      <c r="W269" s="954"/>
      <c r="X269" s="947">
        <f t="shared" si="87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88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5"/>
        <v>36.799999999999997</v>
      </c>
      <c r="S270" s="938"/>
      <c r="T270" s="938"/>
      <c r="U270" s="953">
        <f t="shared" si="86"/>
        <v>254.59999999999997</v>
      </c>
      <c r="V270" s="953"/>
      <c r="W270" s="954"/>
      <c r="X270" s="947">
        <f t="shared" si="87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88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85"/>
        <v>29</v>
      </c>
      <c r="S271" s="938"/>
      <c r="T271" s="938"/>
      <c r="U271" s="953">
        <f t="shared" si="86"/>
        <v>200</v>
      </c>
      <c r="V271" s="953"/>
      <c r="W271" s="954"/>
      <c r="X271" s="947">
        <f t="shared" si="87"/>
        <v>857.14285714285722</v>
      </c>
      <c r="Y271" s="948"/>
      <c r="Z271" s="949"/>
      <c r="AA271" s="935">
        <v>25</v>
      </c>
      <c r="AB271" s="936"/>
      <c r="AC271" s="936"/>
      <c r="AD271" s="937">
        <f t="shared" si="88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</mergeCells>
  <conditionalFormatting sqref="AP200:AP203 AH60 AP60 AP32:AP48 AH32:AH48">
    <cfRule type="cellIs" dxfId="545" priority="21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544" priority="20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543" priority="19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542" priority="18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541" priority="17" stopIfTrue="1" operator="lessThanOrEqual">
      <formula>0</formula>
    </cfRule>
  </conditionalFormatting>
  <conditionalFormatting sqref="K56:L58 AO56:AO57 AE56:AE57 K60:L60 AE60:AF60 U60:V66 AE58:AF58 U56:V58 K46:L48 AE46:AF48 U46:V54 U200:V202 U41:V41 U32:V32 K25:L26 AE25:AF26 K32:L32 U33:U40 AE33:AE40 U25:V26 U42:U45 AE14:AF14 K11:L11 AE11:AE13 U11:V11 K17:L17 V17 K12:K16 AE41:AF41 AO11:AO26 K18:K24 L21:L23 U12:U24 V21:V23 AE15:AE24 K33:K45 L43:L44 AE42:AE45 AF43:AF44 V42:V44 AE32:AF32">
    <cfRule type="cellIs" dxfId="540" priority="16" stopIfTrue="1" operator="lessThanOrEqual">
      <formula>0</formula>
    </cfRule>
  </conditionalFormatting>
  <conditionalFormatting sqref="AA66:AB68 AA71:AB73 W210:X219 Z49:AA53 Z61:AA61 W86:X86 W74:X83 Z200:AA202 W221:X221">
    <cfRule type="cellIs" dxfId="539" priority="15" stopIfTrue="1" operator="lessThan">
      <formula>0</formula>
    </cfRule>
  </conditionalFormatting>
  <conditionalFormatting sqref="X49:X53 X61:X66 U86 U74:U83 X200:X202 U221 U210:U219">
    <cfRule type="cellIs" dxfId="538" priority="14" stopIfTrue="1" operator="greaterThan">
      <formula>48</formula>
    </cfRule>
  </conditionalFormatting>
  <conditionalFormatting sqref="C276:C280 C288:D291 C159:D159 D276:D287 C87:D142 C241:D241 C222:D222">
    <cfRule type="cellIs" dxfId="537" priority="13" stopIfTrue="1" operator="lessThan">
      <formula>$C$71</formula>
    </cfRule>
  </conditionalFormatting>
  <conditionalFormatting sqref="AI60:AO60 AI32:AO48">
    <cfRule type="cellIs" dxfId="536" priority="11" stopIfTrue="1" operator="equal">
      <formula>0</formula>
    </cfRule>
    <cfRule type="cellIs" dxfId="535" priority="12" stopIfTrue="1" operator="lessThan">
      <formula>0</formula>
    </cfRule>
  </conditionalFormatting>
  <conditionalFormatting sqref="AT60 AT32:AT45">
    <cfRule type="cellIs" dxfId="534" priority="9" stopIfTrue="1" operator="greaterThan">
      <formula>0</formula>
    </cfRule>
    <cfRule type="cellIs" dxfId="533" priority="10" stopIfTrue="1" operator="lessThan">
      <formula>1</formula>
    </cfRule>
  </conditionalFormatting>
  <conditionalFormatting sqref="K84:L85 K71:L81 K220:L220 K207:L217">
    <cfRule type="cellIs" dxfId="532" priority="8" stopIfTrue="1" operator="greaterThanOrEqual">
      <formula>$K$69</formula>
    </cfRule>
  </conditionalFormatting>
  <conditionalFormatting sqref="AF56:AF57 L12:L24 AF11:AF24 V12:V24 V32:V45 AF33:AF45 L32:L45">
    <cfRule type="cellIs" dxfId="531" priority="6" stopIfTrue="1" operator="equal">
      <formula>0</formula>
    </cfRule>
    <cfRule type="cellIs" dxfId="530" priority="7" stopIfTrue="1" operator="lessThan">
      <formula>0</formula>
    </cfRule>
  </conditionalFormatting>
  <conditionalFormatting sqref="K84:K85">
    <cfRule type="cellIs" dxfId="529" priority="5" stopIfTrue="1" operator="greaterThanOrEqual">
      <formula>$K$72</formula>
    </cfRule>
  </conditionalFormatting>
  <conditionalFormatting sqref="W84:X85">
    <cfRule type="cellIs" dxfId="528" priority="4" stopIfTrue="1" operator="lessThan">
      <formula>0</formula>
    </cfRule>
  </conditionalFormatting>
  <conditionalFormatting sqref="U84:U85">
    <cfRule type="cellIs" dxfId="527" priority="3" stopIfTrue="1" operator="greaterThan">
      <formula>48</formula>
    </cfRule>
  </conditionalFormatting>
  <conditionalFormatting sqref="AF32">
    <cfRule type="cellIs" dxfId="526" priority="1" stopIfTrue="1" operator="equal">
      <formula>0</formula>
    </cfRule>
    <cfRule type="cellIs" dxfId="525" priority="2" stopIfTrue="1" operator="lessThan">
      <formula>0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20 AE23:AT31 AE21:AF21 AJ21:AT21 AE22:AF22 AJ22:AT22 AE33:AT45 AE32 AG32:AT32" formula="1"/>
  </ignoredError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8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E15" sqref="E15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802" customWidth="1"/>
    <col min="5" max="5" width="4.28515625" style="3" customWidth="1"/>
    <col min="6" max="6" width="4.28515625" style="4" customWidth="1"/>
    <col min="7" max="8" width="4.28515625" style="802" customWidth="1"/>
    <col min="9" max="9" width="4.28515625" style="4" customWidth="1"/>
    <col min="10" max="10" width="4.28515625" style="802" customWidth="1"/>
    <col min="11" max="12" width="4.28515625" style="5" customWidth="1"/>
    <col min="13" max="26" width="4.28515625" style="802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43257</v>
      </c>
      <c r="C1" s="802" t="s">
        <v>0</v>
      </c>
      <c r="AN1" s="7"/>
      <c r="AO1" s="7"/>
      <c r="AR1" s="1340">
        <f>+AR46+AT46</f>
        <v>225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43258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802">
        <v>0</v>
      </c>
    </row>
    <row r="5" spans="1:58" ht="10.9" customHeight="1">
      <c r="B5" s="1244" t="s">
        <v>1</v>
      </c>
      <c r="C5" s="1140">
        <v>43251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43252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43253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43254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43251</v>
      </c>
      <c r="AW7" s="1296">
        <f>+M5</f>
        <v>43252</v>
      </c>
      <c r="AX7" s="1296">
        <f>+W5</f>
        <v>43253</v>
      </c>
      <c r="AY7" s="1309">
        <f>+AG5</f>
        <v>43254</v>
      </c>
      <c r="AZ7" s="1296">
        <f>+C26</f>
        <v>43255</v>
      </c>
      <c r="BA7" s="1296">
        <f>+M26</f>
        <v>43256</v>
      </c>
      <c r="BB7" s="1296">
        <f>+W26</f>
        <v>43257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0" si="0">+B71</f>
        <v>Eduardo Segura D.</v>
      </c>
      <c r="C11" s="334"/>
      <c r="D11" s="335"/>
      <c r="E11" s="16"/>
      <c r="F11" s="17">
        <f t="shared" ref="F11:F20" si="1">+D11-C11-E11</f>
        <v>0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0</v>
      </c>
      <c r="L11" s="20">
        <f t="shared" ref="L11:L24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0" si="5">+N11-M11-O11</f>
        <v>8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0</v>
      </c>
      <c r="W11" s="337">
        <v>7</v>
      </c>
      <c r="X11" s="337">
        <v>16</v>
      </c>
      <c r="Y11" s="23">
        <v>1</v>
      </c>
      <c r="Z11" s="17">
        <f t="shared" ref="Z11:Z20" si="9">+X11-W11-Y11</f>
        <v>8</v>
      </c>
      <c r="AA11" s="337"/>
      <c r="AB11" s="330"/>
      <c r="AC11" s="17">
        <f t="shared" ref="AC11:AC20" si="10">+AB11-AA11</f>
        <v>0</v>
      </c>
      <c r="AD11" s="16"/>
      <c r="AE11" s="19">
        <f t="shared" ref="AE11:AE20" si="11">+AC11+Z11-IF(AE$5&gt;0,AF11/2,AF11)</f>
        <v>8</v>
      </c>
      <c r="AF11" s="20">
        <f>IF(W11&gt;0,IF(AE$5&gt;0,(Z11+AC11)*2,(Z11+AC11-8)),0)*IF(Z11&lt;9,IF(AE$5&gt;0,1,2),1)+IF(Z11&gt;8,AC11,0)</f>
        <v>0</v>
      </c>
      <c r="AG11" s="337"/>
      <c r="AH11" s="337"/>
      <c r="AI11" s="23"/>
      <c r="AJ11" s="24">
        <f t="shared" ref="AJ11:AJ24" si="12">+AH11-AG11-AI11</f>
        <v>0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0</v>
      </c>
      <c r="AP11" s="1297">
        <f t="shared" ref="AP11:AP24" si="15">+L11+V11+AF11+AO11+L32+V32+AF32-AN11</f>
        <v>0</v>
      </c>
      <c r="AQ11" s="1298"/>
      <c r="AR11" s="1299">
        <f t="shared" ref="AR11:AR20" si="16">ROUND(BD11*AP11,1)</f>
        <v>0</v>
      </c>
      <c r="AS11" s="1300"/>
      <c r="AT11" s="338">
        <f t="shared" ref="AT11:AT23" si="17">IF(AT32&gt;0,AT32*$AT$10,0)</f>
        <v>20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0</v>
      </c>
      <c r="AY11" s="27">
        <f t="shared" ref="AY11:AY20" si="21">+AO11</f>
        <v>0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0</v>
      </c>
      <c r="BF11" s="341">
        <f t="shared" ref="BF11:BF20" si="27">+BD11*AY11</f>
        <v>0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24</v>
      </c>
      <c r="E12" s="30">
        <v>2</v>
      </c>
      <c r="F12" s="31">
        <f t="shared" si="1"/>
        <v>15</v>
      </c>
      <c r="G12" s="342">
        <v>0</v>
      </c>
      <c r="H12" s="342">
        <v>7</v>
      </c>
      <c r="I12" s="31">
        <f t="shared" si="2"/>
        <v>7</v>
      </c>
      <c r="J12" s="30">
        <v>8</v>
      </c>
      <c r="K12" s="32">
        <f t="shared" si="3"/>
        <v>8</v>
      </c>
      <c r="L12" s="20">
        <f t="shared" si="4"/>
        <v>14</v>
      </c>
      <c r="M12" s="800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10</v>
      </c>
      <c r="X12" s="342">
        <v>17</v>
      </c>
      <c r="Y12" s="30">
        <v>1</v>
      </c>
      <c r="Z12" s="31">
        <f t="shared" si="9"/>
        <v>6</v>
      </c>
      <c r="AA12" s="344"/>
      <c r="AB12" s="53">
        <v>1</v>
      </c>
      <c r="AC12" s="36">
        <f t="shared" si="10"/>
        <v>1</v>
      </c>
      <c r="AD12" s="30"/>
      <c r="AE12" s="32">
        <f t="shared" si="11"/>
        <v>9</v>
      </c>
      <c r="AF12" s="20">
        <f>IF(W12&gt;0,IF(AE$5&gt;0,(Z12+AC12)*2,(Z12+AC12-8)),0)*IF(Z12&lt;9,IF(AE$5&gt;0,1,2),1)+IF(Z12&gt;8,AC12,0)</f>
        <v>-2</v>
      </c>
      <c r="AG12" s="37">
        <v>8</v>
      </c>
      <c r="AH12" s="342">
        <v>18</v>
      </c>
      <c r="AI12" s="30">
        <v>1</v>
      </c>
      <c r="AJ12" s="38">
        <f>+AH12-AG12-AI12</f>
        <v>9</v>
      </c>
      <c r="AK12" s="342"/>
      <c r="AL12" s="342"/>
      <c r="AM12" s="31">
        <f t="shared" si="13"/>
        <v>0</v>
      </c>
      <c r="AN12" s="39"/>
      <c r="AO12" s="40">
        <f t="shared" si="14"/>
        <v>18</v>
      </c>
      <c r="AP12" s="1282">
        <f t="shared" si="15"/>
        <v>36</v>
      </c>
      <c r="AQ12" s="1283"/>
      <c r="AR12" s="1284">
        <f t="shared" si="16"/>
        <v>184.8</v>
      </c>
      <c r="AS12" s="1285"/>
      <c r="AT12" s="345">
        <f t="shared" si="17"/>
        <v>28</v>
      </c>
      <c r="AV12" s="26">
        <f t="shared" si="18"/>
        <v>14</v>
      </c>
      <c r="AW12" s="26">
        <f t="shared" si="19"/>
        <v>0</v>
      </c>
      <c r="AX12" s="26">
        <f t="shared" si="20"/>
        <v>-2</v>
      </c>
      <c r="AY12" s="27">
        <f t="shared" si="21"/>
        <v>18</v>
      </c>
      <c r="AZ12" s="26">
        <f t="shared" si="22"/>
        <v>1</v>
      </c>
      <c r="BA12" s="26">
        <f t="shared" si="23"/>
        <v>2</v>
      </c>
      <c r="BB12" s="26">
        <f t="shared" si="24"/>
        <v>3</v>
      </c>
      <c r="BC12" s="28"/>
      <c r="BD12" s="339">
        <f t="shared" si="25"/>
        <v>5.1339285714285712</v>
      </c>
      <c r="BE12" s="340">
        <f t="shared" si="26"/>
        <v>184.82142857142856</v>
      </c>
      <c r="BF12" s="341">
        <f t="shared" si="27"/>
        <v>92.410714285714278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12</v>
      </c>
      <c r="E13" s="30">
        <v>0</v>
      </c>
      <c r="F13" s="31">
        <f t="shared" si="1"/>
        <v>5</v>
      </c>
      <c r="G13" s="342"/>
      <c r="H13" s="342">
        <v>3</v>
      </c>
      <c r="I13" s="31">
        <f t="shared" si="2"/>
        <v>3</v>
      </c>
      <c r="J13" s="30"/>
      <c r="K13" s="32">
        <f t="shared" si="3"/>
        <v>8</v>
      </c>
      <c r="L13" s="20">
        <f t="shared" si="4"/>
        <v>0</v>
      </c>
      <c r="M13" s="800">
        <v>7</v>
      </c>
      <c r="N13" s="342">
        <v>19</v>
      </c>
      <c r="O13" s="30">
        <v>1</v>
      </c>
      <c r="P13" s="31">
        <f t="shared" si="5"/>
        <v>11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3</v>
      </c>
      <c r="W13" s="342">
        <v>7</v>
      </c>
      <c r="X13" s="342">
        <v>17</v>
      </c>
      <c r="Y13" s="30">
        <v>1</v>
      </c>
      <c r="Z13" s="31">
        <f t="shared" si="9"/>
        <v>9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1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6</v>
      </c>
      <c r="AQ13" s="1283"/>
      <c r="AR13" s="1284">
        <f t="shared" si="16"/>
        <v>30.8</v>
      </c>
      <c r="AS13" s="1285"/>
      <c r="AT13" s="345">
        <f t="shared" si="17"/>
        <v>24</v>
      </c>
      <c r="AV13" s="26">
        <f t="shared" si="18"/>
        <v>0</v>
      </c>
      <c r="AW13" s="26">
        <f t="shared" si="19"/>
        <v>3</v>
      </c>
      <c r="AX13" s="26">
        <f t="shared" si="20"/>
        <v>1</v>
      </c>
      <c r="AY13" s="27">
        <f t="shared" si="21"/>
        <v>0</v>
      </c>
      <c r="AZ13" s="26">
        <f t="shared" si="22"/>
        <v>0</v>
      </c>
      <c r="BA13" s="26">
        <f t="shared" si="23"/>
        <v>1</v>
      </c>
      <c r="BB13" s="26">
        <f t="shared" si="24"/>
        <v>1</v>
      </c>
      <c r="BC13" s="28"/>
      <c r="BD13" s="339">
        <f t="shared" si="25"/>
        <v>5.1339285714285712</v>
      </c>
      <c r="BE13" s="340">
        <f t="shared" si="26"/>
        <v>30.803571428571427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24</v>
      </c>
      <c r="E14" s="42">
        <v>2</v>
      </c>
      <c r="F14" s="44">
        <f t="shared" si="1"/>
        <v>15</v>
      </c>
      <c r="G14" s="346">
        <v>0</v>
      </c>
      <c r="H14" s="346">
        <v>7</v>
      </c>
      <c r="I14" s="44">
        <f t="shared" si="2"/>
        <v>7</v>
      </c>
      <c r="J14" s="42">
        <v>8</v>
      </c>
      <c r="K14" s="45">
        <f t="shared" si="3"/>
        <v>8</v>
      </c>
      <c r="L14" s="20">
        <f t="shared" si="4"/>
        <v>14</v>
      </c>
      <c r="M14" s="347">
        <v>7</v>
      </c>
      <c r="N14" s="346">
        <v>17</v>
      </c>
      <c r="O14" s="42">
        <v>1</v>
      </c>
      <c r="P14" s="44">
        <f t="shared" si="5"/>
        <v>9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1</v>
      </c>
      <c r="W14" s="347">
        <v>7</v>
      </c>
      <c r="X14" s="346">
        <v>16</v>
      </c>
      <c r="Y14" s="42">
        <v>1</v>
      </c>
      <c r="Z14" s="44">
        <f t="shared" si="9"/>
        <v>8</v>
      </c>
      <c r="AA14" s="344"/>
      <c r="AB14" s="348"/>
      <c r="AC14" s="36">
        <f t="shared" si="10"/>
        <v>0</v>
      </c>
      <c r="AD14" s="42"/>
      <c r="AE14" s="45">
        <f t="shared" si="11"/>
        <v>8</v>
      </c>
      <c r="AF14" s="20">
        <f>IF(W14&gt;0,IF(AE$5&gt;0,(Z14+AC14)*2,(Z14+AC14-8)),0)*IF(Z14&lt;9,IF(AE$5&gt;0,1,2),1)+IF(Z14&gt;8,AC14,0)</f>
        <v>0</v>
      </c>
      <c r="AG14" s="37"/>
      <c r="AH14" s="342"/>
      <c r="AI14" s="30"/>
      <c r="AJ14" s="38">
        <f t="shared" si="12"/>
        <v>0</v>
      </c>
      <c r="AK14" s="342"/>
      <c r="AL14" s="342"/>
      <c r="AM14" s="31">
        <f t="shared" si="13"/>
        <v>0</v>
      </c>
      <c r="AN14" s="47"/>
      <c r="AO14" s="40">
        <f t="shared" si="14"/>
        <v>0</v>
      </c>
      <c r="AP14" s="1282">
        <f t="shared" si="15"/>
        <v>21</v>
      </c>
      <c r="AQ14" s="1283"/>
      <c r="AR14" s="1284">
        <f t="shared" si="16"/>
        <v>87.5</v>
      </c>
      <c r="AS14" s="1285"/>
      <c r="AT14" s="345">
        <f t="shared" si="17"/>
        <v>24</v>
      </c>
      <c r="AV14" s="26">
        <f t="shared" si="18"/>
        <v>14</v>
      </c>
      <c r="AW14" s="26">
        <f t="shared" si="19"/>
        <v>1</v>
      </c>
      <c r="AX14" s="26">
        <f t="shared" si="20"/>
        <v>0</v>
      </c>
      <c r="AY14" s="27">
        <f t="shared" si="21"/>
        <v>0</v>
      </c>
      <c r="AZ14" s="26">
        <f t="shared" si="22"/>
        <v>2</v>
      </c>
      <c r="BA14" s="26">
        <f t="shared" si="23"/>
        <v>2</v>
      </c>
      <c r="BB14" s="26">
        <f t="shared" si="24"/>
        <v>2</v>
      </c>
      <c r="BC14" s="28"/>
      <c r="BD14" s="339">
        <f t="shared" si="25"/>
        <v>4.1666785714285712</v>
      </c>
      <c r="BE14" s="340">
        <f t="shared" si="26"/>
        <v>87.500249999999994</v>
      </c>
      <c r="BF14" s="341">
        <f t="shared" si="27"/>
        <v>0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18</v>
      </c>
      <c r="E15" s="30">
        <v>1</v>
      </c>
      <c r="F15" s="31">
        <f t="shared" si="1"/>
        <v>9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1</v>
      </c>
      <c r="M15" s="800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7</v>
      </c>
      <c r="AQ15" s="1295"/>
      <c r="AR15" s="1284">
        <f t="shared" si="16"/>
        <v>35.9</v>
      </c>
      <c r="AS15" s="1285"/>
      <c r="AT15" s="345">
        <f t="shared" si="17"/>
        <v>24</v>
      </c>
      <c r="AV15" s="26">
        <f t="shared" si="18"/>
        <v>1</v>
      </c>
      <c r="AW15" s="26">
        <f t="shared" si="19"/>
        <v>0</v>
      </c>
      <c r="AX15" s="26">
        <f t="shared" si="20"/>
        <v>0</v>
      </c>
      <c r="AY15" s="27">
        <f t="shared" si="21"/>
        <v>0</v>
      </c>
      <c r="AZ15" s="26">
        <f t="shared" si="22"/>
        <v>2</v>
      </c>
      <c r="BA15" s="26">
        <f t="shared" si="23"/>
        <v>2</v>
      </c>
      <c r="BB15" s="26">
        <f t="shared" si="24"/>
        <v>2</v>
      </c>
      <c r="BC15" s="28"/>
      <c r="BD15" s="339">
        <f t="shared" si="25"/>
        <v>5.1339285714285712</v>
      </c>
      <c r="BE15" s="349">
        <f t="shared" si="26"/>
        <v>35.9375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17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8</v>
      </c>
      <c r="X16" s="346">
        <v>13</v>
      </c>
      <c r="Y16" s="42">
        <v>1</v>
      </c>
      <c r="Z16" s="44">
        <f>+X16-W16-Y16</f>
        <v>4</v>
      </c>
      <c r="AA16" s="47"/>
      <c r="AB16" s="53">
        <v>0.5</v>
      </c>
      <c r="AC16" s="31">
        <f>+AB16-AA16</f>
        <v>0.5</v>
      </c>
      <c r="AD16" s="30"/>
      <c r="AE16" s="32">
        <f>+AC16+Z16-IF(AE$5&gt;0,AF16/2,AF16)</f>
        <v>5.5</v>
      </c>
      <c r="AF16" s="20">
        <f>IF(W16&gt;0,IF(AE$5&gt;0,(Z16+AC16)*2,(Z16+AC16-5)),0)*IF(Z16&lt;6,IF(AE$5&gt;0,1,2),1)+IF(Z16&gt;5,AC16,0)</f>
        <v>-1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-4</v>
      </c>
      <c r="AQ16" s="1283"/>
      <c r="AR16" s="1284">
        <f>ROUND(BD16*AP16,1)</f>
        <v>-20.5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0</v>
      </c>
      <c r="AX16" s="26">
        <f>+AF16</f>
        <v>-1</v>
      </c>
      <c r="AY16" s="27">
        <f>+AO16</f>
        <v>0</v>
      </c>
      <c r="AZ16" s="26">
        <f t="shared" si="22"/>
        <v>-1</v>
      </c>
      <c r="BA16" s="26">
        <f t="shared" si="23"/>
        <v>-1</v>
      </c>
      <c r="BB16" s="26">
        <f t="shared" si="24"/>
        <v>-1</v>
      </c>
      <c r="BC16" s="54"/>
      <c r="BD16" s="339">
        <f t="shared" si="25"/>
        <v>5.1339285714285712</v>
      </c>
      <c r="BE16" s="351">
        <f>+BD16*AP16</f>
        <v>-20.535714285714285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19</v>
      </c>
      <c r="O18" s="30">
        <v>1</v>
      </c>
      <c r="P18" s="31">
        <f>+N18-M18-O18</f>
        <v>11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3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>
        <v>7</v>
      </c>
      <c r="AH18" s="342">
        <v>16</v>
      </c>
      <c r="AI18" s="30">
        <v>1</v>
      </c>
      <c r="AJ18" s="38">
        <f t="shared" si="12"/>
        <v>8</v>
      </c>
      <c r="AK18" s="342"/>
      <c r="AL18" s="342"/>
      <c r="AM18" s="31">
        <f>+AL18-AK18</f>
        <v>0</v>
      </c>
      <c r="AN18" s="30"/>
      <c r="AO18" s="40">
        <f>(AJ18*2+AM18)</f>
        <v>16</v>
      </c>
      <c r="AP18" s="1282">
        <f t="shared" si="15"/>
        <v>29</v>
      </c>
      <c r="AQ18" s="1283"/>
      <c r="AR18" s="1284">
        <f t="shared" si="16"/>
        <v>112.4</v>
      </c>
      <c r="AS18" s="1285"/>
      <c r="AT18" s="345">
        <f t="shared" si="17"/>
        <v>28</v>
      </c>
      <c r="AV18" s="26">
        <f t="shared" si="18"/>
        <v>2</v>
      </c>
      <c r="AW18" s="26">
        <f t="shared" si="19"/>
        <v>3</v>
      </c>
      <c r="AX18" s="26">
        <f t="shared" si="20"/>
        <v>2</v>
      </c>
      <c r="AY18" s="27">
        <f t="shared" si="21"/>
        <v>16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112.37510357142858</v>
      </c>
      <c r="BF18" s="350">
        <f t="shared" si="27"/>
        <v>62.000057142857145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99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55" customFormat="1" ht="14.1" customHeight="1" thickTop="1">
      <c r="A21" s="50">
        <v>10</v>
      </c>
      <c r="B21" s="513" t="str">
        <f>+B82</f>
        <v>Jose Cortez P.</v>
      </c>
      <c r="C21" s="458">
        <v>7</v>
      </c>
      <c r="D21" s="459">
        <v>19</v>
      </c>
      <c r="E21" s="459">
        <v>1</v>
      </c>
      <c r="F21" s="460">
        <f>+D21-C21-E21</f>
        <v>11</v>
      </c>
      <c r="G21" s="459"/>
      <c r="H21" s="459"/>
      <c r="I21" s="460">
        <f>+H21-G21</f>
        <v>0</v>
      </c>
      <c r="J21" s="459"/>
      <c r="K21" s="32">
        <f t="shared" ref="K21:K22" si="29">+I21+F21-L21</f>
        <v>8</v>
      </c>
      <c r="L21" s="461">
        <f>IF(C21&gt;0,(F21+I21)+IF(K$5&gt;0,F21,-8),0)+IF(U$5&gt;0,I21,0)</f>
        <v>3</v>
      </c>
      <c r="M21" s="798">
        <v>7</v>
      </c>
      <c r="N21" s="459">
        <v>19</v>
      </c>
      <c r="O21" s="459">
        <v>1</v>
      </c>
      <c r="P21" s="460">
        <f>+N21-M21-O21</f>
        <v>11</v>
      </c>
      <c r="Q21" s="459"/>
      <c r="R21" s="459"/>
      <c r="S21" s="460">
        <f>+R21-Q21</f>
        <v>0</v>
      </c>
      <c r="T21" s="459"/>
      <c r="U21" s="32">
        <f t="shared" ref="U21:U22" si="30">+S21+P21-V21</f>
        <v>8</v>
      </c>
      <c r="V21" s="461">
        <f>IF(M21&gt;0,(P21+S21)+IF(U$5&gt;0,P21,-8),0)+IF(AE$5&gt;0,S21,0)</f>
        <v>3</v>
      </c>
      <c r="W21" s="459">
        <v>8</v>
      </c>
      <c r="X21" s="459">
        <v>18</v>
      </c>
      <c r="Y21" s="459">
        <v>1</v>
      </c>
      <c r="Z21" s="460">
        <f>+X21-W21-Y21</f>
        <v>9</v>
      </c>
      <c r="AA21" s="459"/>
      <c r="AB21" s="463"/>
      <c r="AC21" s="460">
        <f>+AB21-AA21</f>
        <v>0</v>
      </c>
      <c r="AD21" s="459"/>
      <c r="AE21" s="32">
        <f>+AC21+Z21-IF(AE$5&gt;0,AF21/2,AF21)</f>
        <v>8</v>
      </c>
      <c r="AF21" s="461">
        <f>IF(W21&gt;0,IF(AE$5&gt;0,(Z21+AC21)*2,(Z21+AC21-8)),0)*IF(Z21&lt;9,IF(AE$5&gt;0,1,2),1)+IF(Z21&gt;8,AC21,0)</f>
        <v>1</v>
      </c>
      <c r="AG21" s="459">
        <v>7</v>
      </c>
      <c r="AH21" s="459">
        <v>18</v>
      </c>
      <c r="AI21" s="459">
        <v>1</v>
      </c>
      <c r="AJ21" s="38">
        <f>+AH21-AG21-AI21</f>
        <v>10</v>
      </c>
      <c r="AK21" s="459"/>
      <c r="AL21" s="459"/>
      <c r="AM21" s="460">
        <f>+AL21-AK21</f>
        <v>0</v>
      </c>
      <c r="AN21" s="459"/>
      <c r="AO21" s="465">
        <f>(AJ21*2+AM21)</f>
        <v>20</v>
      </c>
      <c r="AP21" s="1290">
        <f t="shared" si="15"/>
        <v>33</v>
      </c>
      <c r="AQ21" s="1291"/>
      <c r="AR21" s="1292">
        <f>ROUND(BD21*AP21,1)</f>
        <v>127.9</v>
      </c>
      <c r="AS21" s="1293"/>
      <c r="AT21" s="488">
        <f t="shared" si="17"/>
        <v>28</v>
      </c>
      <c r="AV21" s="69">
        <f>+L21</f>
        <v>3</v>
      </c>
      <c r="AW21" s="69">
        <f>+V21</f>
        <v>3</v>
      </c>
      <c r="AX21" s="69">
        <f>+AF21</f>
        <v>1</v>
      </c>
      <c r="AY21" s="70">
        <f>+AO21</f>
        <v>20</v>
      </c>
      <c r="AZ21" s="69">
        <f>+L42</f>
        <v>2</v>
      </c>
      <c r="BA21" s="69">
        <f>+V42</f>
        <v>2</v>
      </c>
      <c r="BB21" s="69">
        <f>+AF42</f>
        <v>2</v>
      </c>
      <c r="BC21" s="28"/>
      <c r="BD21" s="339">
        <f>+I82</f>
        <v>3.875</v>
      </c>
      <c r="BE21" s="351">
        <f>+BD21*AP21</f>
        <v>127.875</v>
      </c>
      <c r="BF21" s="352">
        <f>+BD21*AY21</f>
        <v>77.5</v>
      </c>
    </row>
    <row r="22" spans="1:58" s="55" customFormat="1" ht="14.1" customHeight="1">
      <c r="A22" s="50"/>
      <c r="B22" s="513" t="str">
        <f>+B83</f>
        <v>Rafael Armas R.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si="29"/>
        <v>8</v>
      </c>
      <c r="L22" s="461">
        <f>IF(C22&gt;0,(F22+I22)+IF(K$5&gt;0,F22,-8),0)+IF(U$5&gt;0,I22,0)</f>
        <v>2</v>
      </c>
      <c r="M22" s="798">
        <v>7</v>
      </c>
      <c r="N22" s="459">
        <v>17</v>
      </c>
      <c r="O22" s="459">
        <v>1</v>
      </c>
      <c r="P22" s="460">
        <f>+N22-M22-O22</f>
        <v>9</v>
      </c>
      <c r="Q22" s="459"/>
      <c r="R22" s="459"/>
      <c r="S22" s="460">
        <f>+R22-Q22</f>
        <v>0</v>
      </c>
      <c r="T22" s="459"/>
      <c r="U22" s="32">
        <f t="shared" si="30"/>
        <v>8</v>
      </c>
      <c r="V22" s="461">
        <f>IF(M22&gt;0,(P22+S22)+IF(U$5&gt;0,P22,-8),0)+IF(AE$5&gt;0,S22,0)</f>
        <v>1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>+AC22+Z22-IF(AE$5&gt;0,AF22/2,AF22)</f>
        <v>8</v>
      </c>
      <c r="AF22" s="461">
        <f>IF(W22&gt;0,IF(AE$5&gt;0,(Z22+AC22)*2,(Z22+AC22-8)),0)*IF(Z22&lt;9,IF(AE$5&gt;0,1,2),1)+IF(Z22&gt;8,AC22,0)</f>
        <v>2</v>
      </c>
      <c r="AG22" s="459">
        <v>7</v>
      </c>
      <c r="AH22" s="459">
        <v>18</v>
      </c>
      <c r="AI22" s="459">
        <v>1</v>
      </c>
      <c r="AJ22" s="38">
        <f>+AH22-AG22-AI22</f>
        <v>10</v>
      </c>
      <c r="AK22" s="459"/>
      <c r="AL22" s="459"/>
      <c r="AM22" s="460">
        <f>+AL22-AK22</f>
        <v>0</v>
      </c>
      <c r="AN22" s="725"/>
      <c r="AO22" s="465">
        <f>(AJ22*2+AM22)</f>
        <v>20</v>
      </c>
      <c r="AP22" s="1282">
        <f t="shared" si="15"/>
        <v>31</v>
      </c>
      <c r="AQ22" s="1283"/>
      <c r="AR22" s="1272">
        <f>ROUND(BD22*AP22,1)</f>
        <v>120.1</v>
      </c>
      <c r="AS22" s="1273"/>
      <c r="AT22" s="359">
        <f t="shared" si="17"/>
        <v>28</v>
      </c>
      <c r="AV22" s="69">
        <f>+L22</f>
        <v>2</v>
      </c>
      <c r="AW22" s="69">
        <f>+V22</f>
        <v>1</v>
      </c>
      <c r="AX22" s="69">
        <f>+AF22</f>
        <v>2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54"/>
      <c r="BD22" s="339">
        <f>+I83</f>
        <v>3.875</v>
      </c>
      <c r="BE22" s="351">
        <f>+BD22*AP22</f>
        <v>120.125</v>
      </c>
      <c r="BF22" s="352">
        <f>+BD22*AY22</f>
        <v>77.5</v>
      </c>
    </row>
    <row r="23" spans="1:58" s="81" customFormat="1" ht="14.1" customHeight="1">
      <c r="A23" s="72">
        <v>9</v>
      </c>
      <c r="B23" s="513" t="str">
        <f>+B84</f>
        <v>Jose Ochoa I.</v>
      </c>
      <c r="C23" s="74"/>
      <c r="D23" s="75"/>
      <c r="E23" s="75"/>
      <c r="F23" s="76">
        <f>+D23-C23-E23</f>
        <v>0</v>
      </c>
      <c r="G23" s="75"/>
      <c r="H23" s="75"/>
      <c r="I23" s="76">
        <f>+H23-G23</f>
        <v>0</v>
      </c>
      <c r="J23" s="75"/>
      <c r="K23" s="826">
        <f>+I23+F23-L23</f>
        <v>0</v>
      </c>
      <c r="L23" s="77">
        <f t="shared" si="4"/>
        <v>0</v>
      </c>
      <c r="M23" s="803"/>
      <c r="N23" s="75"/>
      <c r="O23" s="75"/>
      <c r="P23" s="76">
        <f>+N23-M23-O23</f>
        <v>0</v>
      </c>
      <c r="Q23" s="75"/>
      <c r="R23" s="75"/>
      <c r="S23" s="76">
        <f>+R23-Q23</f>
        <v>0</v>
      </c>
      <c r="T23" s="75"/>
      <c r="U23" s="826">
        <f>+S23+P23-V23</f>
        <v>0</v>
      </c>
      <c r="V23" s="77">
        <f>IF(M23&gt;0,(P23+S23)+IF(U$5&gt;0,P23,-8),0)+IF(AE$5&gt;0,S23,0)</f>
        <v>0</v>
      </c>
      <c r="W23" s="75"/>
      <c r="X23" s="75"/>
      <c r="Y23" s="75"/>
      <c r="Z23" s="76">
        <f>+X23-W23-Y23</f>
        <v>0</v>
      </c>
      <c r="AA23" s="75"/>
      <c r="AB23" s="78"/>
      <c r="AC23" s="76">
        <f>+AB23-AA23</f>
        <v>0</v>
      </c>
      <c r="AD23" s="75"/>
      <c r="AE23" s="826">
        <f>+AC23+Z23-IF(AE$5&gt;0,AF23/2,AF23)</f>
        <v>0</v>
      </c>
      <c r="AF23" s="77">
        <f t="shared" si="28"/>
        <v>0</v>
      </c>
      <c r="AG23" s="75"/>
      <c r="AH23" s="75"/>
      <c r="AI23" s="75"/>
      <c r="AJ23" s="827">
        <f t="shared" si="12"/>
        <v>0</v>
      </c>
      <c r="AK23" s="75"/>
      <c r="AL23" s="75"/>
      <c r="AM23" s="76">
        <f>+AL23-AK23</f>
        <v>0</v>
      </c>
      <c r="AN23" s="828"/>
      <c r="AO23" s="80">
        <f>(AJ23*2+AM23)</f>
        <v>0</v>
      </c>
      <c r="AP23" s="1274">
        <f t="shared" si="15"/>
        <v>6</v>
      </c>
      <c r="AQ23" s="1275"/>
      <c r="AR23" s="1276">
        <f>ROUND(BD23*AP23,1)</f>
        <v>23.3</v>
      </c>
      <c r="AS23" s="1277"/>
      <c r="AT23" s="537">
        <f t="shared" si="17"/>
        <v>12</v>
      </c>
      <c r="AU23" s="55"/>
      <c r="AV23" s="538">
        <f>+L23</f>
        <v>0</v>
      </c>
      <c r="AW23" s="538">
        <f>+V23</f>
        <v>0</v>
      </c>
      <c r="AX23" s="538">
        <f>+AF23</f>
        <v>0</v>
      </c>
      <c r="AY23" s="538">
        <f>+AO23</f>
        <v>0</v>
      </c>
      <c r="AZ23" s="538">
        <f>+L44</f>
        <v>2</v>
      </c>
      <c r="BA23" s="538">
        <f>+V44</f>
        <v>2</v>
      </c>
      <c r="BB23" s="538">
        <f>+AF44</f>
        <v>2</v>
      </c>
      <c r="BC23" s="28"/>
      <c r="BD23" s="539">
        <f>+I81</f>
        <v>3.875</v>
      </c>
      <c r="BE23" s="539">
        <f>+BD23*AP23</f>
        <v>23.25</v>
      </c>
      <c r="BF23" s="539">
        <f>+BD23*AY23</f>
        <v>0</v>
      </c>
    </row>
    <row r="24" spans="1:58" ht="14.1" customHeight="1" thickBot="1">
      <c r="B24" s="95" t="str">
        <f>+B85</f>
        <v xml:space="preserve">  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ref="AT24" si="31">IF(AT45&gt;0,AT45*$AT$10,0)</f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3.875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702.15213928571427</v>
      </c>
      <c r="BF25" s="1242">
        <f>SUM(BF11:BF24)</f>
        <v>309.41077142857142</v>
      </c>
    </row>
    <row r="26" spans="1:58" ht="10.9" customHeight="1">
      <c r="B26" s="1244" t="s">
        <v>1</v>
      </c>
      <c r="C26" s="1140">
        <f>1+AG5</f>
        <v>43255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43256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43257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43251</v>
      </c>
      <c r="AJ26" s="1218">
        <f t="shared" ref="AJ26:AO26" si="32">1+AI26</f>
        <v>43252</v>
      </c>
      <c r="AK26" s="1218">
        <f t="shared" si="32"/>
        <v>43253</v>
      </c>
      <c r="AL26" s="1219">
        <f t="shared" si="32"/>
        <v>43254</v>
      </c>
      <c r="AM26" s="1219">
        <f t="shared" si="32"/>
        <v>43255</v>
      </c>
      <c r="AN26" s="1220">
        <f t="shared" si="32"/>
        <v>43256</v>
      </c>
      <c r="AO26" s="1220">
        <f t="shared" si="32"/>
        <v>43257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43254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165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91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4" si="33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4">+D32-C32-E32</f>
        <v>8</v>
      </c>
      <c r="G32" s="33"/>
      <c r="H32" s="47"/>
      <c r="I32" s="31">
        <f t="shared" ref="I32:I45" si="35">+H32-G32</f>
        <v>0</v>
      </c>
      <c r="J32" s="30"/>
      <c r="K32" s="32">
        <f t="shared" ref="K32:K45" si="36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7">+N32-M32-O32</f>
        <v>8</v>
      </c>
      <c r="Q32" s="106"/>
      <c r="R32" s="107"/>
      <c r="S32" s="31">
        <f t="shared" ref="S32:S45" si="38">+R32-Q32</f>
        <v>0</v>
      </c>
      <c r="T32" s="30"/>
      <c r="U32" s="32">
        <f t="shared" ref="U32:U45" si="39">+S32+P32-V32</f>
        <v>8</v>
      </c>
      <c r="V32" s="20">
        <f>IF(M32&gt;0,(P32+S32)+IF(U$26&gt;0,P32,-8),0)+IF(AE$26&gt;0,S32,0)</f>
        <v>0</v>
      </c>
      <c r="W32" s="369">
        <v>7</v>
      </c>
      <c r="X32" s="370">
        <v>16</v>
      </c>
      <c r="Y32" s="108">
        <v>1</v>
      </c>
      <c r="Z32" s="109">
        <f t="shared" ref="Z32:Z45" si="40">+X32-W32-Y32</f>
        <v>8</v>
      </c>
      <c r="AA32" s="370"/>
      <c r="AB32" s="18"/>
      <c r="AC32" s="109">
        <f t="shared" ref="AC32:AC45" si="41">+AB32-AA32</f>
        <v>0</v>
      </c>
      <c r="AD32" s="108"/>
      <c r="AE32" s="110">
        <f t="shared" ref="AE32:AE45" si="42">+AC32+Z32-AF32</f>
        <v>8</v>
      </c>
      <c r="AF32" s="111">
        <f t="shared" ref="AF32:AF45" si="43">IF(W32&gt;0,(Z32+AC32)+IF(AE$26&gt;0,0+Z32,-8),0)</f>
        <v>0</v>
      </c>
      <c r="AG32" s="55"/>
      <c r="AH32" s="112">
        <v>0</v>
      </c>
      <c r="AI32" s="113">
        <f t="shared" ref="AI32:AI44" si="44">+K11+(IF(ISBLANK($K$5),-8,0))</f>
        <v>-8</v>
      </c>
      <c r="AJ32" s="113">
        <f t="shared" ref="AJ32:AJ44" si="45">IF(ISBLANK($U$5),-8,0)+U11</f>
        <v>0</v>
      </c>
      <c r="AK32" s="113">
        <f>IF(ISBLANK($AE$5),-8,0)+AE11</f>
        <v>0</v>
      </c>
      <c r="AL32" s="113">
        <f t="shared" ref="AL32:AL45" si="46">IF(ISBLANK($AO$5),-8,0)+AO11+AW32</f>
        <v>0</v>
      </c>
      <c r="AM32" s="113">
        <f t="shared" ref="AM32:AM45" si="47">IF(ISBLANK($K$26),-8,0)+K32</f>
        <v>0</v>
      </c>
      <c r="AN32" s="113">
        <f t="shared" ref="AN32:AN45" si="48">IF(ISBLANK($U$26),-8,0)+U32</f>
        <v>0</v>
      </c>
      <c r="AO32" s="113">
        <f t="shared" ref="AO32:AO45" si="49">IF(ISBLANK($AE$26),-8,0)+AE32</f>
        <v>0</v>
      </c>
      <c r="AP32" s="114">
        <f t="shared" ref="AP32:AP45" si="50">SUM(AH32:AO32)</f>
        <v>-8</v>
      </c>
      <c r="AQ32" s="55"/>
      <c r="AR32" s="1159">
        <f t="shared" ref="AR32:AR40" si="51">+X71*Q71</f>
        <v>0</v>
      </c>
      <c r="AS32" s="1197"/>
      <c r="AT32" s="117">
        <f t="shared" ref="AT32:AT43" si="52">IF(K11+L11&gt;0,1,0)+IF(U11+V11&gt;0,1,0)+IF(AE11+AF11&gt;0,1,0)+IF(AO11&gt;3,1,0)+IF(K32+L32&gt;0,1,0)+IF(U32+V32&gt;0,1,0)+IF(AE32+AF32&gt;0,1,0)</f>
        <v>5</v>
      </c>
      <c r="AU32" s="55"/>
      <c r="AV32" s="55"/>
      <c r="AW32" s="1134"/>
      <c r="AX32" s="1135"/>
      <c r="BD32" s="115"/>
    </row>
    <row r="33" spans="1:56" ht="14.1" customHeight="1">
      <c r="B33" s="29" t="str">
        <f t="shared" si="33"/>
        <v>Cesar Mendez M.</v>
      </c>
      <c r="C33" s="334">
        <v>7</v>
      </c>
      <c r="D33" s="342">
        <v>17</v>
      </c>
      <c r="E33" s="30">
        <v>1</v>
      </c>
      <c r="F33" s="31">
        <f t="shared" si="34"/>
        <v>9</v>
      </c>
      <c r="G33" s="33"/>
      <c r="H33" s="346"/>
      <c r="I33" s="31">
        <f t="shared" si="35"/>
        <v>0</v>
      </c>
      <c r="J33" s="30"/>
      <c r="K33" s="32">
        <f t="shared" si="36"/>
        <v>8</v>
      </c>
      <c r="L33" s="20">
        <f>IF(C33&gt;0,(F33+I33)+IF(K$26&gt;0,F33,-8),0)+IF(U$26&gt;0,I33,0)</f>
        <v>1</v>
      </c>
      <c r="M33" s="342">
        <v>7</v>
      </c>
      <c r="N33" s="342">
        <v>18</v>
      </c>
      <c r="O33" s="30">
        <v>1</v>
      </c>
      <c r="P33" s="31">
        <f t="shared" si="37"/>
        <v>10</v>
      </c>
      <c r="Q33" s="346"/>
      <c r="R33" s="346"/>
      <c r="S33" s="31">
        <f t="shared" si="38"/>
        <v>0</v>
      </c>
      <c r="T33" s="30"/>
      <c r="U33" s="32">
        <f t="shared" si="39"/>
        <v>8</v>
      </c>
      <c r="V33" s="20">
        <f>IF(M33&gt;0,(P33+S33)+IF(U$26&gt;0,P33,-8),0)+IF(AE$26&gt;0,S33,0)</f>
        <v>2</v>
      </c>
      <c r="W33" s="334">
        <v>7</v>
      </c>
      <c r="X33" s="342">
        <v>19</v>
      </c>
      <c r="Y33" s="30">
        <v>1</v>
      </c>
      <c r="Z33" s="31">
        <f t="shared" si="40"/>
        <v>11</v>
      </c>
      <c r="AA33" s="342"/>
      <c r="AB33" s="346"/>
      <c r="AC33" s="31">
        <f t="shared" si="41"/>
        <v>0</v>
      </c>
      <c r="AD33" s="30"/>
      <c r="AE33" s="32">
        <f t="shared" si="42"/>
        <v>8</v>
      </c>
      <c r="AF33" s="20">
        <f t="shared" si="43"/>
        <v>3</v>
      </c>
      <c r="AG33" s="55"/>
      <c r="AH33" s="112">
        <v>0</v>
      </c>
      <c r="AI33" s="113">
        <f t="shared" si="44"/>
        <v>0</v>
      </c>
      <c r="AJ33" s="113">
        <f t="shared" si="45"/>
        <v>0</v>
      </c>
      <c r="AK33" s="113">
        <f>IF(ISBLANK($AE$5),-8,0)+AE12</f>
        <v>1</v>
      </c>
      <c r="AL33" s="113">
        <f t="shared" si="46"/>
        <v>0</v>
      </c>
      <c r="AM33" s="113">
        <f t="shared" si="47"/>
        <v>0</v>
      </c>
      <c r="AN33" s="113">
        <f t="shared" si="48"/>
        <v>0</v>
      </c>
      <c r="AO33" s="113">
        <f t="shared" si="49"/>
        <v>0</v>
      </c>
      <c r="AP33" s="114">
        <f t="shared" si="50"/>
        <v>1</v>
      </c>
      <c r="AQ33" s="55"/>
      <c r="AR33" s="1159">
        <f t="shared" si="51"/>
        <v>0.77857142857143202</v>
      </c>
      <c r="AS33" s="1160"/>
      <c r="AT33" s="117">
        <f t="shared" si="52"/>
        <v>7</v>
      </c>
      <c r="AU33" s="55"/>
      <c r="AV33" s="55"/>
      <c r="AW33" s="1134">
        <v>-18</v>
      </c>
      <c r="AX33" s="1135"/>
    </row>
    <row r="34" spans="1:56" ht="14.1" customHeight="1">
      <c r="B34" s="29" t="str">
        <f t="shared" si="33"/>
        <v>Miguel Tejada Ll.</v>
      </c>
      <c r="C34" s="334">
        <v>7</v>
      </c>
      <c r="D34" s="342">
        <v>16</v>
      </c>
      <c r="E34" s="30">
        <v>1</v>
      </c>
      <c r="F34" s="31">
        <f t="shared" si="34"/>
        <v>8</v>
      </c>
      <c r="G34" s="346"/>
      <c r="H34" s="346"/>
      <c r="I34" s="31">
        <f t="shared" si="35"/>
        <v>0</v>
      </c>
      <c r="J34" s="30"/>
      <c r="K34" s="32">
        <f t="shared" si="36"/>
        <v>8</v>
      </c>
      <c r="L34" s="20">
        <f t="shared" ref="L34:L45" si="53">IF(C34&gt;0,(F34+I34)+IF(K$26&gt;0,F34,-8),0)+IF(U$26&gt;0,I34,0)</f>
        <v>0</v>
      </c>
      <c r="M34" s="334">
        <v>7</v>
      </c>
      <c r="N34" s="342">
        <v>17</v>
      </c>
      <c r="O34" s="30">
        <v>1</v>
      </c>
      <c r="P34" s="31">
        <f t="shared" si="37"/>
        <v>9</v>
      </c>
      <c r="Q34" s="106"/>
      <c r="R34" s="106"/>
      <c r="S34" s="31">
        <f t="shared" si="38"/>
        <v>0</v>
      </c>
      <c r="T34" s="30"/>
      <c r="U34" s="32">
        <f t="shared" si="39"/>
        <v>8</v>
      </c>
      <c r="V34" s="20">
        <f t="shared" ref="V34:V45" si="54">IF(M34&gt;0,(P34+S34)+IF(U$26&gt;0,P34,-8),0)+IF(AE$26&gt;0,S34,0)</f>
        <v>1</v>
      </c>
      <c r="W34" s="334">
        <v>7</v>
      </c>
      <c r="X34" s="342">
        <v>17</v>
      </c>
      <c r="Y34" s="30">
        <v>1</v>
      </c>
      <c r="Z34" s="31">
        <f t="shared" si="40"/>
        <v>9</v>
      </c>
      <c r="AA34" s="342"/>
      <c r="AB34" s="116"/>
      <c r="AC34" s="31">
        <f t="shared" si="41"/>
        <v>0</v>
      </c>
      <c r="AD34" s="30"/>
      <c r="AE34" s="32">
        <f t="shared" si="42"/>
        <v>8</v>
      </c>
      <c r="AF34" s="20">
        <f t="shared" si="43"/>
        <v>1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IF(ISBLANK($AE$5),-8,0)+AE13</f>
        <v>0</v>
      </c>
      <c r="AL34" s="113">
        <f t="shared" si="46"/>
        <v>0</v>
      </c>
      <c r="AM34" s="113">
        <f t="shared" si="47"/>
        <v>0</v>
      </c>
      <c r="AN34" s="113">
        <f t="shared" si="48"/>
        <v>0</v>
      </c>
      <c r="AO34" s="113">
        <f t="shared" si="49"/>
        <v>0</v>
      </c>
      <c r="AP34" s="114">
        <f t="shared" si="50"/>
        <v>0</v>
      </c>
      <c r="AQ34" s="55"/>
      <c r="AR34" s="1159">
        <f t="shared" si="51"/>
        <v>0</v>
      </c>
      <c r="AS34" s="1160"/>
      <c r="AT34" s="118">
        <f t="shared" si="52"/>
        <v>6</v>
      </c>
      <c r="AU34" s="55"/>
      <c r="AV34" s="55"/>
      <c r="AW34" s="1134"/>
      <c r="AX34" s="1135"/>
    </row>
    <row r="35" spans="1:56" ht="14.1" customHeight="1">
      <c r="B35" s="29" t="str">
        <f t="shared" si="33"/>
        <v>Alejandro Dueñas</v>
      </c>
      <c r="C35" s="372">
        <v>7</v>
      </c>
      <c r="D35" s="348">
        <v>18</v>
      </c>
      <c r="E35" s="119">
        <v>1</v>
      </c>
      <c r="F35" s="120">
        <f t="shared" si="34"/>
        <v>10</v>
      </c>
      <c r="G35" s="346"/>
      <c r="H35" s="346"/>
      <c r="I35" s="120">
        <f t="shared" si="35"/>
        <v>0</v>
      </c>
      <c r="J35" s="119"/>
      <c r="K35" s="121">
        <f t="shared" si="36"/>
        <v>8</v>
      </c>
      <c r="L35" s="20">
        <f t="shared" si="53"/>
        <v>2</v>
      </c>
      <c r="M35" s="342">
        <v>7</v>
      </c>
      <c r="N35" s="342">
        <v>18</v>
      </c>
      <c r="O35" s="30">
        <v>1</v>
      </c>
      <c r="P35" s="31">
        <f t="shared" si="37"/>
        <v>10</v>
      </c>
      <c r="Q35" s="346"/>
      <c r="R35" s="346"/>
      <c r="S35" s="120">
        <f t="shared" si="38"/>
        <v>0</v>
      </c>
      <c r="T35" s="30"/>
      <c r="U35" s="32">
        <f t="shared" si="39"/>
        <v>8</v>
      </c>
      <c r="V35" s="20">
        <f t="shared" si="54"/>
        <v>2</v>
      </c>
      <c r="W35" s="334">
        <v>7</v>
      </c>
      <c r="X35" s="342">
        <v>18</v>
      </c>
      <c r="Y35" s="30">
        <v>1</v>
      </c>
      <c r="Z35" s="31">
        <f t="shared" si="40"/>
        <v>10</v>
      </c>
      <c r="AA35" s="342"/>
      <c r="AB35" s="342"/>
      <c r="AC35" s="31">
        <f t="shared" si="41"/>
        <v>0</v>
      </c>
      <c r="AD35" s="30"/>
      <c r="AE35" s="32">
        <f t="shared" si="42"/>
        <v>8</v>
      </c>
      <c r="AF35" s="20">
        <f t="shared" si="43"/>
        <v>2</v>
      </c>
      <c r="AG35" s="55"/>
      <c r="AH35" s="112">
        <v>0</v>
      </c>
      <c r="AI35" s="113">
        <f t="shared" si="44"/>
        <v>0</v>
      </c>
      <c r="AJ35" s="113">
        <f t="shared" si="45"/>
        <v>0</v>
      </c>
      <c r="AK35" s="113">
        <f>IF(ISBLANK($AE$5),-8,0)+AE14</f>
        <v>0</v>
      </c>
      <c r="AL35" s="113">
        <f t="shared" si="46"/>
        <v>0</v>
      </c>
      <c r="AM35" s="113">
        <f t="shared" si="47"/>
        <v>0</v>
      </c>
      <c r="AN35" s="113">
        <f t="shared" si="48"/>
        <v>0</v>
      </c>
      <c r="AO35" s="113">
        <f t="shared" si="49"/>
        <v>0</v>
      </c>
      <c r="AP35" s="114">
        <f t="shared" si="50"/>
        <v>0</v>
      </c>
      <c r="AQ35" s="55"/>
      <c r="AR35" s="1159">
        <f t="shared" si="51"/>
        <v>8.5165714285714316</v>
      </c>
      <c r="AS35" s="1160"/>
      <c r="AT35" s="118">
        <f t="shared" si="52"/>
        <v>6</v>
      </c>
      <c r="AU35" s="55"/>
      <c r="AV35" s="55"/>
      <c r="AW35" s="1195"/>
      <c r="AX35" s="1196"/>
      <c r="AY35" s="122"/>
      <c r="BD35" s="115"/>
    </row>
    <row r="36" spans="1:56" ht="14.1" customHeight="1">
      <c r="B36" s="48" t="str">
        <f t="shared" si="33"/>
        <v>Juan Manrique V.</v>
      </c>
      <c r="C36" s="334">
        <v>7</v>
      </c>
      <c r="D36" s="342">
        <v>18</v>
      </c>
      <c r="E36" s="30">
        <v>1</v>
      </c>
      <c r="F36" s="31">
        <f t="shared" si="34"/>
        <v>10</v>
      </c>
      <c r="G36" s="33"/>
      <c r="H36" s="47"/>
      <c r="I36" s="31">
        <f t="shared" si="35"/>
        <v>0</v>
      </c>
      <c r="J36" s="30"/>
      <c r="K36" s="32">
        <f t="shared" si="36"/>
        <v>8</v>
      </c>
      <c r="L36" s="20">
        <f t="shared" si="53"/>
        <v>2</v>
      </c>
      <c r="M36" s="342">
        <v>7</v>
      </c>
      <c r="N36" s="342">
        <v>18</v>
      </c>
      <c r="O36" s="30">
        <v>1</v>
      </c>
      <c r="P36" s="31">
        <f t="shared" si="37"/>
        <v>10</v>
      </c>
      <c r="Q36" s="106"/>
      <c r="R36" s="106"/>
      <c r="S36" s="31">
        <f t="shared" si="38"/>
        <v>0</v>
      </c>
      <c r="T36" s="30"/>
      <c r="U36" s="32">
        <f t="shared" si="39"/>
        <v>8</v>
      </c>
      <c r="V36" s="20">
        <f t="shared" si="54"/>
        <v>2</v>
      </c>
      <c r="W36" s="334">
        <v>7</v>
      </c>
      <c r="X36" s="342">
        <v>18</v>
      </c>
      <c r="Y36" s="30">
        <v>1</v>
      </c>
      <c r="Z36" s="31">
        <f t="shared" si="40"/>
        <v>10</v>
      </c>
      <c r="AA36" s="342"/>
      <c r="AB36" s="342"/>
      <c r="AC36" s="31">
        <f t="shared" si="41"/>
        <v>0</v>
      </c>
      <c r="AD36" s="30"/>
      <c r="AE36" s="32">
        <f t="shared" si="42"/>
        <v>8</v>
      </c>
      <c r="AF36" s="20">
        <f t="shared" si="43"/>
        <v>2</v>
      </c>
      <c r="AG36" s="55"/>
      <c r="AH36" s="112">
        <v>0</v>
      </c>
      <c r="AI36" s="113">
        <f t="shared" si="44"/>
        <v>0</v>
      </c>
      <c r="AJ36" s="113">
        <f t="shared" si="45"/>
        <v>0</v>
      </c>
      <c r="AK36" s="113">
        <f>IF(ISBLANK($AE$5),-8,0)+AE15</f>
        <v>0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0</v>
      </c>
      <c r="AQ36" s="55"/>
      <c r="AR36" s="1159">
        <f t="shared" si="51"/>
        <v>0</v>
      </c>
      <c r="AS36" s="1160"/>
      <c r="AT36" s="118">
        <f t="shared" si="52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3"/>
        <v xml:space="preserve"> Irving Huaringa B.</v>
      </c>
      <c r="C37" s="334">
        <v>8</v>
      </c>
      <c r="D37" s="342">
        <v>16</v>
      </c>
      <c r="E37" s="30">
        <v>1</v>
      </c>
      <c r="F37" s="31">
        <f>+D37-C37-E37</f>
        <v>7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3"/>
        <v>-1</v>
      </c>
      <c r="M37" s="342">
        <v>8</v>
      </c>
      <c r="N37" s="342">
        <v>16</v>
      </c>
      <c r="O37" s="30">
        <v>1</v>
      </c>
      <c r="P37" s="31">
        <f>+N37-M37-O37</f>
        <v>7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4"/>
        <v>-1</v>
      </c>
      <c r="W37" s="334">
        <v>8</v>
      </c>
      <c r="X37" s="342">
        <v>16</v>
      </c>
      <c r="Y37" s="30">
        <v>1</v>
      </c>
      <c r="Z37" s="31">
        <f>+X37-W37-Y37</f>
        <v>7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3"/>
        <v>-1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24">
        <f>IF(ISBLANK($AE$5),-5,0)+AE16</f>
        <v>0.5</v>
      </c>
      <c r="AL37" s="113">
        <f t="shared" si="46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0.5</v>
      </c>
      <c r="AQ37" s="55"/>
      <c r="AR37" s="1159">
        <f t="shared" si="51"/>
        <v>0</v>
      </c>
      <c r="AS37" s="1160"/>
      <c r="AT37" s="118">
        <f t="shared" si="52"/>
        <v>6</v>
      </c>
      <c r="AU37" s="55"/>
      <c r="AV37" s="55"/>
      <c r="AW37" s="1134"/>
      <c r="AX37" s="1135"/>
    </row>
    <row r="38" spans="1:56" ht="14.1" customHeight="1">
      <c r="B38" s="48" t="str">
        <f t="shared" si="33"/>
        <v xml:space="preserve">  -  .  -  </v>
      </c>
      <c r="C38" s="334"/>
      <c r="D38" s="342"/>
      <c r="E38" s="30"/>
      <c r="F38" s="31">
        <f t="shared" si="34"/>
        <v>0</v>
      </c>
      <c r="G38" s="33"/>
      <c r="H38" s="346"/>
      <c r="I38" s="31">
        <f t="shared" si="35"/>
        <v>0</v>
      </c>
      <c r="J38" s="30"/>
      <c r="K38" s="32">
        <f t="shared" si="36"/>
        <v>0</v>
      </c>
      <c r="L38" s="20">
        <f t="shared" si="53"/>
        <v>0</v>
      </c>
      <c r="M38" s="342"/>
      <c r="N38" s="342"/>
      <c r="O38" s="30"/>
      <c r="P38" s="31">
        <f t="shared" si="37"/>
        <v>0</v>
      </c>
      <c r="Q38" s="106"/>
      <c r="R38" s="106"/>
      <c r="S38" s="31">
        <f t="shared" si="38"/>
        <v>0</v>
      </c>
      <c r="T38" s="30"/>
      <c r="U38" s="32">
        <f t="shared" si="39"/>
        <v>0</v>
      </c>
      <c r="V38" s="20">
        <f t="shared" si="54"/>
        <v>0</v>
      </c>
      <c r="W38" s="334"/>
      <c r="X38" s="342"/>
      <c r="Y38" s="30"/>
      <c r="Z38" s="31">
        <f t="shared" si="40"/>
        <v>0</v>
      </c>
      <c r="AA38" s="342"/>
      <c r="AB38" s="342"/>
      <c r="AC38" s="31">
        <f>+AB38-AA38</f>
        <v>0</v>
      </c>
      <c r="AD38" s="30"/>
      <c r="AE38" s="32">
        <f t="shared" si="42"/>
        <v>0</v>
      </c>
      <c r="AF38" s="20">
        <f t="shared" si="43"/>
        <v>0</v>
      </c>
      <c r="AG38" s="55"/>
      <c r="AH38" s="112">
        <v>0</v>
      </c>
      <c r="AI38" s="113">
        <f t="shared" si="44"/>
        <v>-8</v>
      </c>
      <c r="AJ38" s="113">
        <f t="shared" si="45"/>
        <v>-8</v>
      </c>
      <c r="AK38" s="113">
        <f t="shared" ref="AK38:AK44" si="55">IF(ISBLANK($AE$5),-8,0)+AE17</f>
        <v>-8</v>
      </c>
      <c r="AL38" s="113">
        <f t="shared" si="46"/>
        <v>0</v>
      </c>
      <c r="AM38" s="113">
        <f t="shared" si="47"/>
        <v>-8</v>
      </c>
      <c r="AN38" s="113">
        <f t="shared" si="48"/>
        <v>-8</v>
      </c>
      <c r="AO38" s="113">
        <f t="shared" si="49"/>
        <v>-8</v>
      </c>
      <c r="AP38" s="114">
        <f t="shared" si="50"/>
        <v>-48</v>
      </c>
      <c r="AQ38" s="55"/>
      <c r="AR38" s="1159">
        <f t="shared" si="51"/>
        <v>0</v>
      </c>
      <c r="AS38" s="1160"/>
      <c r="AT38" s="118">
        <f t="shared" si="52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3"/>
        <v>Pedro Hostos S,</v>
      </c>
      <c r="C39" s="372">
        <v>7</v>
      </c>
      <c r="D39" s="348">
        <v>18</v>
      </c>
      <c r="E39" s="119">
        <v>1</v>
      </c>
      <c r="F39" s="31">
        <f t="shared" si="34"/>
        <v>10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3"/>
        <v>2</v>
      </c>
      <c r="M39" s="342">
        <v>7</v>
      </c>
      <c r="N39" s="342">
        <v>18</v>
      </c>
      <c r="O39" s="30">
        <v>1</v>
      </c>
      <c r="P39" s="31">
        <f t="shared" si="37"/>
        <v>10</v>
      </c>
      <c r="Q39" s="346"/>
      <c r="R39" s="346"/>
      <c r="S39" s="31">
        <f t="shared" si="38"/>
        <v>0</v>
      </c>
      <c r="T39" s="30"/>
      <c r="U39" s="32">
        <f t="shared" si="39"/>
        <v>8</v>
      </c>
      <c r="V39" s="20">
        <f t="shared" si="54"/>
        <v>2</v>
      </c>
      <c r="W39" s="334">
        <v>7</v>
      </c>
      <c r="X39" s="342">
        <v>18</v>
      </c>
      <c r="Y39" s="30">
        <v>1</v>
      </c>
      <c r="Z39" s="31">
        <f t="shared" si="40"/>
        <v>10</v>
      </c>
      <c r="AA39" s="342"/>
      <c r="AB39" s="342"/>
      <c r="AC39" s="31">
        <f t="shared" si="41"/>
        <v>0</v>
      </c>
      <c r="AD39" s="30"/>
      <c r="AE39" s="32">
        <f t="shared" si="42"/>
        <v>8</v>
      </c>
      <c r="AF39" s="20">
        <f t="shared" si="43"/>
        <v>2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si="55"/>
        <v>0</v>
      </c>
      <c r="AL39" s="113">
        <f t="shared" si="46"/>
        <v>0</v>
      </c>
      <c r="AM39" s="125">
        <f t="shared" si="47"/>
        <v>0</v>
      </c>
      <c r="AN39" s="125">
        <f t="shared" si="48"/>
        <v>0</v>
      </c>
      <c r="AO39" s="125">
        <f t="shared" si="49"/>
        <v>0</v>
      </c>
      <c r="AP39" s="114">
        <f t="shared" si="50"/>
        <v>0</v>
      </c>
      <c r="AQ39" s="55"/>
      <c r="AR39" s="1159">
        <f t="shared" si="51"/>
        <v>0</v>
      </c>
      <c r="AS39" s="1160"/>
      <c r="AT39" s="118">
        <f t="shared" si="52"/>
        <v>7</v>
      </c>
      <c r="AU39" s="55"/>
      <c r="AV39" s="55"/>
      <c r="AW39" s="1134">
        <v>-16</v>
      </c>
      <c r="AX39" s="1135"/>
    </row>
    <row r="40" spans="1:56" ht="14.1" customHeight="1">
      <c r="B40" s="58" t="str">
        <f t="shared" si="33"/>
        <v xml:space="preserve">  -  .  -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3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54"/>
        <v>0</v>
      </c>
      <c r="W40" s="334"/>
      <c r="X40" s="342"/>
      <c r="Y40" s="30"/>
      <c r="Z40" s="31">
        <f t="shared" si="40"/>
        <v>0</v>
      </c>
      <c r="AA40" s="342"/>
      <c r="AB40" s="346"/>
      <c r="AC40" s="44">
        <f t="shared" si="41"/>
        <v>0</v>
      </c>
      <c r="AD40" s="30"/>
      <c r="AE40" s="32">
        <f t="shared" si="42"/>
        <v>0</v>
      </c>
      <c r="AF40" s="20">
        <f t="shared" si="43"/>
        <v>0</v>
      </c>
      <c r="AG40" s="126"/>
      <c r="AH40" s="127">
        <v>0</v>
      </c>
      <c r="AI40" s="113">
        <f t="shared" si="44"/>
        <v>-8</v>
      </c>
      <c r="AJ40" s="113">
        <f t="shared" si="45"/>
        <v>-8</v>
      </c>
      <c r="AK40" s="128">
        <f t="shared" si="55"/>
        <v>-8</v>
      </c>
      <c r="AL40" s="113">
        <f t="shared" si="46"/>
        <v>0</v>
      </c>
      <c r="AM40" s="113">
        <f t="shared" si="47"/>
        <v>-8</v>
      </c>
      <c r="AN40" s="113">
        <f t="shared" si="48"/>
        <v>-8</v>
      </c>
      <c r="AO40" s="113">
        <f t="shared" si="49"/>
        <v>-8</v>
      </c>
      <c r="AP40" s="114">
        <f t="shared" si="50"/>
        <v>-48</v>
      </c>
      <c r="AQ40" s="55"/>
      <c r="AR40" s="1159">
        <f t="shared" si="51"/>
        <v>0</v>
      </c>
      <c r="AS40" s="1160"/>
      <c r="AT40" s="118">
        <f t="shared" si="52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3"/>
        <v xml:space="preserve">  -  .  -  </v>
      </c>
      <c r="C41" s="522"/>
      <c r="D41" s="522"/>
      <c r="E41" s="522"/>
      <c r="F41" s="523">
        <f t="shared" si="34"/>
        <v>0</v>
      </c>
      <c r="G41" s="522"/>
      <c r="H41" s="522"/>
      <c r="I41" s="523">
        <f t="shared" si="35"/>
        <v>0</v>
      </c>
      <c r="J41" s="522"/>
      <c r="K41" s="523">
        <f t="shared" si="36"/>
        <v>0</v>
      </c>
      <c r="L41" s="524">
        <f t="shared" si="53"/>
        <v>0</v>
      </c>
      <c r="M41" s="522"/>
      <c r="N41" s="522"/>
      <c r="O41" s="522"/>
      <c r="P41" s="523">
        <f t="shared" si="37"/>
        <v>0</v>
      </c>
      <c r="Q41" s="525"/>
      <c r="R41" s="525"/>
      <c r="S41" s="523">
        <f t="shared" si="38"/>
        <v>0</v>
      </c>
      <c r="T41" s="522"/>
      <c r="U41" s="523">
        <f t="shared" si="39"/>
        <v>0</v>
      </c>
      <c r="V41" s="524">
        <f t="shared" si="54"/>
        <v>0</v>
      </c>
      <c r="W41" s="526"/>
      <c r="X41" s="522"/>
      <c r="Y41" s="522"/>
      <c r="Z41" s="523">
        <f t="shared" si="40"/>
        <v>0</v>
      </c>
      <c r="AA41" s="522"/>
      <c r="AB41" s="522"/>
      <c r="AC41" s="523">
        <f t="shared" si="41"/>
        <v>0</v>
      </c>
      <c r="AD41" s="522"/>
      <c r="AE41" s="523">
        <f t="shared" si="42"/>
        <v>0</v>
      </c>
      <c r="AF41" s="524">
        <f t="shared" si="43"/>
        <v>0</v>
      </c>
      <c r="AG41" s="514"/>
      <c r="AH41" s="529">
        <v>0</v>
      </c>
      <c r="AI41" s="530">
        <f t="shared" si="44"/>
        <v>-8</v>
      </c>
      <c r="AJ41" s="530">
        <f t="shared" si="45"/>
        <v>-8</v>
      </c>
      <c r="AK41" s="530">
        <f t="shared" si="55"/>
        <v>-8</v>
      </c>
      <c r="AL41" s="530">
        <f t="shared" si="46"/>
        <v>0</v>
      </c>
      <c r="AM41" s="530">
        <f t="shared" si="47"/>
        <v>-8</v>
      </c>
      <c r="AN41" s="530">
        <f t="shared" si="48"/>
        <v>-8</v>
      </c>
      <c r="AO41" s="530">
        <f t="shared" si="49"/>
        <v>-8</v>
      </c>
      <c r="AP41" s="531">
        <f t="shared" si="50"/>
        <v>-48</v>
      </c>
      <c r="AQ41" s="55"/>
      <c r="AR41" s="1191"/>
      <c r="AS41" s="1192"/>
      <c r="AT41" s="532">
        <f t="shared" si="52"/>
        <v>0</v>
      </c>
      <c r="AU41" s="55"/>
      <c r="AV41" s="55"/>
      <c r="AW41" s="1193"/>
      <c r="AX41" s="1194"/>
    </row>
    <row r="42" spans="1:56" ht="14.1" customHeight="1" thickTop="1">
      <c r="B42" s="513" t="str">
        <f t="shared" si="33"/>
        <v>Jose Cortez P.</v>
      </c>
      <c r="C42" s="459">
        <v>7</v>
      </c>
      <c r="D42" s="459">
        <v>18</v>
      </c>
      <c r="E42" s="459">
        <v>1</v>
      </c>
      <c r="F42" s="460">
        <f>+D42-C42-E42</f>
        <v>10</v>
      </c>
      <c r="G42" s="459"/>
      <c r="H42" s="459"/>
      <c r="I42" s="460">
        <f>+H42-G42</f>
        <v>0</v>
      </c>
      <c r="J42" s="459"/>
      <c r="K42" s="32">
        <f>+I42+F42-L42</f>
        <v>8</v>
      </c>
      <c r="L42" s="461">
        <f>IF(C42&gt;0,(F42+I42)+IF(K$26&gt;0,F42,-8),0)+IF(U$26&gt;0,I42,0)</f>
        <v>2</v>
      </c>
      <c r="M42" s="459">
        <v>7</v>
      </c>
      <c r="N42" s="459">
        <v>18</v>
      </c>
      <c r="O42" s="459">
        <v>1</v>
      </c>
      <c r="P42" s="460">
        <f>+N42-M42-O42</f>
        <v>10</v>
      </c>
      <c r="Q42" s="489"/>
      <c r="R42" s="489"/>
      <c r="S42" s="460">
        <f>+R42-Q42</f>
        <v>0</v>
      </c>
      <c r="T42" s="459"/>
      <c r="U42" s="32">
        <f>+S42+P42-V42</f>
        <v>8</v>
      </c>
      <c r="V42" s="461">
        <f>IF(M42&gt;0,(P42+S42)+IF(U$26&gt;0,P42,-8),0)+IF(AE$26&gt;0,S42,0)</f>
        <v>2</v>
      </c>
      <c r="W42" s="723">
        <v>7</v>
      </c>
      <c r="X42" s="719">
        <v>18</v>
      </c>
      <c r="Y42" s="719">
        <v>1</v>
      </c>
      <c r="Z42" s="720">
        <f>+X42-W42-Y42</f>
        <v>10</v>
      </c>
      <c r="AA42" s="342"/>
      <c r="AB42" s="342"/>
      <c r="AC42" s="44">
        <f>+AB42-AA42</f>
        <v>0</v>
      </c>
      <c r="AD42" s="30"/>
      <c r="AE42" s="32">
        <f>+AC42+Z42-AF42</f>
        <v>8</v>
      </c>
      <c r="AF42" s="20">
        <f>IF(W42&gt;0,(Z42+AC42)+IF(AE$26&gt;0,0+Z42,-8),0)</f>
        <v>2</v>
      </c>
      <c r="AG42" s="55"/>
      <c r="AH42" s="143">
        <v>0</v>
      </c>
      <c r="AI42" s="144">
        <f t="shared" si="44"/>
        <v>0</v>
      </c>
      <c r="AJ42" s="144">
        <f t="shared" si="45"/>
        <v>0</v>
      </c>
      <c r="AK42" s="144">
        <f t="shared" si="55"/>
        <v>0</v>
      </c>
      <c r="AL42" s="113">
        <f t="shared" si="46"/>
        <v>0</v>
      </c>
      <c r="AM42" s="144">
        <f>IF(ISBLANK($K$26),-8,0)+K42</f>
        <v>0</v>
      </c>
      <c r="AN42" s="144">
        <f>IF(ISBLANK($U$26),-8,0)+U42</f>
        <v>0</v>
      </c>
      <c r="AO42" s="144">
        <f>IF(ISBLANK($AE$26),-8,0)+AE42</f>
        <v>0</v>
      </c>
      <c r="AP42" s="145">
        <f>SUM(AH42:AO42)</f>
        <v>0</v>
      </c>
      <c r="AQ42" s="55"/>
      <c r="AR42" s="1159">
        <f>+X82*Q82</f>
        <v>0</v>
      </c>
      <c r="AS42" s="1160"/>
      <c r="AT42" s="118">
        <f t="shared" si="52"/>
        <v>7</v>
      </c>
      <c r="AU42" s="55"/>
      <c r="AV42" s="55"/>
      <c r="AW42" s="1185">
        <v>-20</v>
      </c>
      <c r="AX42" s="1186"/>
    </row>
    <row r="43" spans="1:56" ht="14.1" customHeight="1">
      <c r="B43" s="513" t="str">
        <f t="shared" si="33"/>
        <v>Rafael Armas R.</v>
      </c>
      <c r="C43" s="716">
        <v>7</v>
      </c>
      <c r="D43" s="716">
        <v>18</v>
      </c>
      <c r="E43" s="716">
        <v>1</v>
      </c>
      <c r="F43" s="717">
        <f>+D43-C43-E43</f>
        <v>10</v>
      </c>
      <c r="G43" s="716"/>
      <c r="H43" s="716"/>
      <c r="I43" s="717">
        <f>+H43-G43</f>
        <v>0</v>
      </c>
      <c r="J43" s="716"/>
      <c r="K43" s="32">
        <f>+I43+F43-L43</f>
        <v>8</v>
      </c>
      <c r="L43" s="718">
        <f>IF(C43&gt;0,(F43+I43)+IF(K$26&gt;0,F43,-8),0)+IF(U$26&gt;0,I43,0)</f>
        <v>2</v>
      </c>
      <c r="M43" s="719">
        <v>7</v>
      </c>
      <c r="N43" s="719">
        <v>18</v>
      </c>
      <c r="O43" s="719">
        <v>1</v>
      </c>
      <c r="P43" s="720">
        <f>+N43-M43-O43</f>
        <v>10</v>
      </c>
      <c r="Q43" s="721"/>
      <c r="R43" s="721"/>
      <c r="S43" s="720">
        <f>+R43-Q43</f>
        <v>0</v>
      </c>
      <c r="T43" s="719"/>
      <c r="U43" s="32">
        <f>+S43+P43-V43</f>
        <v>8</v>
      </c>
      <c r="V43" s="722">
        <f>IF(M43&gt;0,(P43+S43)+IF(U$26&gt;0,P43,-8),0)+IF(AE$26&gt;0,S43,0)</f>
        <v>2</v>
      </c>
      <c r="W43" s="723">
        <v>7</v>
      </c>
      <c r="X43" s="719">
        <v>18</v>
      </c>
      <c r="Y43" s="719">
        <v>1</v>
      </c>
      <c r="Z43" s="720">
        <f>+X43-W43-Y43</f>
        <v>10</v>
      </c>
      <c r="AA43" s="719"/>
      <c r="AB43" s="724"/>
      <c r="AC43" s="720">
        <f>+AB43-AA43</f>
        <v>0</v>
      </c>
      <c r="AD43" s="719"/>
      <c r="AE43" s="32">
        <f>+AC43+Z43-AF43</f>
        <v>8</v>
      </c>
      <c r="AF43" s="722">
        <f>IF(W43&gt;0,(Z43+AC43)+IF(AE$26&gt;0,0+Z43,-8),0)</f>
        <v>2</v>
      </c>
      <c r="AG43" s="55"/>
      <c r="AH43" s="127">
        <v>0</v>
      </c>
      <c r="AI43" s="113">
        <f t="shared" si="44"/>
        <v>0</v>
      </c>
      <c r="AJ43" s="113">
        <f t="shared" si="45"/>
        <v>0</v>
      </c>
      <c r="AK43" s="128">
        <f t="shared" si="55"/>
        <v>0</v>
      </c>
      <c r="AL43" s="113">
        <f t="shared" si="46"/>
        <v>0</v>
      </c>
      <c r="AM43" s="113">
        <f>IF(ISBLANK($K$26),-8,0)+K43</f>
        <v>0</v>
      </c>
      <c r="AN43" s="113">
        <f>IF(ISBLANK($U$26),-8,0)+U43</f>
        <v>0</v>
      </c>
      <c r="AO43" s="113">
        <f>IF(ISBLANK($AE$26),-8,0)+AE43</f>
        <v>0</v>
      </c>
      <c r="AP43" s="114">
        <f>SUM(AH43:AO43)</f>
        <v>0</v>
      </c>
      <c r="AQ43" s="55"/>
      <c r="AR43" s="1159"/>
      <c r="AS43" s="1160"/>
      <c r="AT43" s="118">
        <f t="shared" si="52"/>
        <v>7</v>
      </c>
      <c r="AU43" s="55"/>
      <c r="AV43" s="55"/>
      <c r="AW43" s="1134">
        <v>-20</v>
      </c>
      <c r="AX43" s="1135"/>
    </row>
    <row r="44" spans="1:56" s="81" customFormat="1" ht="14.1" customHeight="1">
      <c r="A44" s="72"/>
      <c r="B44" s="513" t="str">
        <f t="shared" si="33"/>
        <v>Jose Ochoa I.</v>
      </c>
      <c r="C44" s="716">
        <v>7</v>
      </c>
      <c r="D44" s="716">
        <v>18</v>
      </c>
      <c r="E44" s="716">
        <v>1</v>
      </c>
      <c r="F44" s="717">
        <f t="shared" si="34"/>
        <v>10</v>
      </c>
      <c r="G44" s="716"/>
      <c r="H44" s="716"/>
      <c r="I44" s="717">
        <f t="shared" si="35"/>
        <v>0</v>
      </c>
      <c r="J44" s="716"/>
      <c r="K44" s="32">
        <f t="shared" si="36"/>
        <v>8</v>
      </c>
      <c r="L44" s="718">
        <f t="shared" si="53"/>
        <v>2</v>
      </c>
      <c r="M44" s="719">
        <v>7</v>
      </c>
      <c r="N44" s="719">
        <v>18</v>
      </c>
      <c r="O44" s="719">
        <v>1</v>
      </c>
      <c r="P44" s="720">
        <f t="shared" si="37"/>
        <v>10</v>
      </c>
      <c r="Q44" s="721"/>
      <c r="R44" s="721"/>
      <c r="S44" s="720">
        <f t="shared" si="38"/>
        <v>0</v>
      </c>
      <c r="T44" s="719"/>
      <c r="U44" s="32">
        <f t="shared" si="39"/>
        <v>8</v>
      </c>
      <c r="V44" s="722">
        <f t="shared" si="54"/>
        <v>2</v>
      </c>
      <c r="W44" s="723">
        <v>7</v>
      </c>
      <c r="X44" s="719">
        <v>18</v>
      </c>
      <c r="Y44" s="719">
        <v>1</v>
      </c>
      <c r="Z44" s="720">
        <f t="shared" si="40"/>
        <v>10</v>
      </c>
      <c r="AA44" s="719"/>
      <c r="AB44" s="724"/>
      <c r="AC44" s="720">
        <f t="shared" si="41"/>
        <v>0</v>
      </c>
      <c r="AD44" s="719"/>
      <c r="AE44" s="32">
        <f t="shared" si="42"/>
        <v>8</v>
      </c>
      <c r="AF44" s="722">
        <f t="shared" si="43"/>
        <v>2</v>
      </c>
      <c r="AG44" s="55"/>
      <c r="AH44" s="490">
        <v>0</v>
      </c>
      <c r="AI44" s="527">
        <f t="shared" si="44"/>
        <v>-8</v>
      </c>
      <c r="AJ44" s="527">
        <f t="shared" si="45"/>
        <v>-8</v>
      </c>
      <c r="AK44" s="527">
        <f t="shared" si="55"/>
        <v>-8</v>
      </c>
      <c r="AL44" s="527">
        <f t="shared" si="46"/>
        <v>0</v>
      </c>
      <c r="AM44" s="527">
        <f t="shared" si="47"/>
        <v>0</v>
      </c>
      <c r="AN44" s="527">
        <f t="shared" si="48"/>
        <v>0</v>
      </c>
      <c r="AO44" s="527">
        <f t="shared" si="49"/>
        <v>0</v>
      </c>
      <c r="AP44" s="492">
        <f t="shared" si="50"/>
        <v>-24</v>
      </c>
      <c r="AQ44" s="55"/>
      <c r="AR44" s="1187">
        <f>+X81*Q81</f>
        <v>0</v>
      </c>
      <c r="AS44" s="1188"/>
      <c r="AT44" s="528">
        <f>IF(K23+L23&gt;0,1,0)+IF(U23+V23&gt;0,1,0)+IF(AE23+AF23&gt;0,1,0)+IF(AO23&gt;3,1,0)+IF(K44+L44&gt;0,1,0)+IF(U44+V44&gt;0,1,0)+IF(AE44+AF44&gt;0,1,0)+AV44</f>
        <v>3</v>
      </c>
      <c r="AU44" s="55"/>
      <c r="AV44" s="55"/>
      <c r="AW44" s="1189"/>
      <c r="AX44" s="1190"/>
    </row>
    <row r="45" spans="1:56" ht="14.1" customHeight="1" thickBot="1">
      <c r="B45" s="95" t="str">
        <f t="shared" ref="B45" si="56">+B24</f>
        <v xml:space="preserve">   </v>
      </c>
      <c r="C45" s="360"/>
      <c r="D45" s="361"/>
      <c r="E45" s="96"/>
      <c r="F45" s="97">
        <f t="shared" si="34"/>
        <v>0</v>
      </c>
      <c r="G45" s="153"/>
      <c r="H45" s="363"/>
      <c r="I45" s="97">
        <f t="shared" si="35"/>
        <v>0</v>
      </c>
      <c r="J45" s="96"/>
      <c r="K45" s="98">
        <f t="shared" si="36"/>
        <v>0</v>
      </c>
      <c r="L45" s="99">
        <f t="shared" si="53"/>
        <v>0</v>
      </c>
      <c r="M45" s="361"/>
      <c r="N45" s="361"/>
      <c r="O45" s="96"/>
      <c r="P45" s="97">
        <f t="shared" si="37"/>
        <v>0</v>
      </c>
      <c r="Q45" s="154"/>
      <c r="R45" s="154"/>
      <c r="S45" s="97">
        <f t="shared" si="38"/>
        <v>0</v>
      </c>
      <c r="T45" s="96"/>
      <c r="U45" s="98">
        <f t="shared" si="39"/>
        <v>0</v>
      </c>
      <c r="V45" s="99">
        <f t="shared" si="54"/>
        <v>0</v>
      </c>
      <c r="W45" s="360"/>
      <c r="X45" s="361"/>
      <c r="Y45" s="96"/>
      <c r="Z45" s="97">
        <f t="shared" si="40"/>
        <v>0</v>
      </c>
      <c r="AA45" s="361"/>
      <c r="AB45" s="361"/>
      <c r="AC45" s="97">
        <f t="shared" si="41"/>
        <v>0</v>
      </c>
      <c r="AD45" s="96"/>
      <c r="AE45" s="98">
        <f t="shared" si="42"/>
        <v>0</v>
      </c>
      <c r="AF45" s="99">
        <f t="shared" si="43"/>
        <v>0</v>
      </c>
      <c r="AG45" s="55"/>
      <c r="AH45" s="112">
        <v>0</v>
      </c>
      <c r="AI45" s="113">
        <f t="shared" ref="AI45" si="57">+K24+(IF(ISBLANK($K$5),-8,0))</f>
        <v>-8</v>
      </c>
      <c r="AJ45" s="113">
        <f t="shared" ref="AJ45" si="58">IF(ISBLANK($U$5),-8,0)+U24</f>
        <v>-8</v>
      </c>
      <c r="AK45" s="113">
        <f t="shared" ref="AK45" si="59">IF(ISBLANK($AE$5),-8,0)+AE24</f>
        <v>-8</v>
      </c>
      <c r="AL45" s="113">
        <f t="shared" si="46"/>
        <v>0</v>
      </c>
      <c r="AM45" s="113">
        <f t="shared" si="47"/>
        <v>-8</v>
      </c>
      <c r="AN45" s="113">
        <f t="shared" si="48"/>
        <v>-8</v>
      </c>
      <c r="AO45" s="113">
        <f t="shared" si="49"/>
        <v>-8</v>
      </c>
      <c r="AP45" s="114">
        <f t="shared" si="50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165</v>
      </c>
      <c r="AS46" s="1162"/>
      <c r="AT46" s="167">
        <f>SUM(AT32:AT45)</f>
        <v>60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74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43251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43252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43253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43254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+B86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+I86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43255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43256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43257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+X86*Q86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802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60">+C71/7</f>
        <v>36.371428571428567</v>
      </c>
      <c r="F71" s="1049"/>
      <c r="G71" s="388"/>
      <c r="H71" s="388"/>
      <c r="I71" s="1052">
        <f t="shared" ref="I71:I78" si="61">+E71/8</f>
        <v>4.5464285714285708</v>
      </c>
      <c r="J71" s="1058"/>
      <c r="K71" s="1059">
        <f t="shared" ref="K71:K79" si="62">+E71*30</f>
        <v>1091.1428571428569</v>
      </c>
      <c r="L71" s="1059"/>
      <c r="M71" s="5"/>
      <c r="N71" s="1020">
        <f t="shared" ref="N71:N86" si="63">+I71/6*7</f>
        <v>5.3041666666666654</v>
      </c>
      <c r="O71" s="1020"/>
      <c r="P71" s="5"/>
      <c r="Q71" s="1056">
        <f t="shared" ref="Q71:Q86" si="64">+$I$69-I71</f>
        <v>0.68482142857142936</v>
      </c>
      <c r="R71" s="1057"/>
      <c r="U71" s="238">
        <f t="shared" ref="U71:U77" si="65">+AE32+U32+K32+AO11+AE11+U11+K11</f>
        <v>40</v>
      </c>
      <c r="V71" s="239">
        <v>48</v>
      </c>
      <c r="W71" s="240">
        <f t="shared" ref="W71:W86" si="66">+V71-U71</f>
        <v>8</v>
      </c>
      <c r="X71" s="241">
        <f t="shared" ref="X71:X80" si="67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60"/>
        <v>41.071428571428569</v>
      </c>
      <c r="F72" s="1049"/>
      <c r="G72" s="388"/>
      <c r="H72" s="388"/>
      <c r="I72" s="1052">
        <f t="shared" si="61"/>
        <v>5.1339285714285712</v>
      </c>
      <c r="J72" s="1058"/>
      <c r="K72" s="1059">
        <f t="shared" si="62"/>
        <v>1232.1428571428571</v>
      </c>
      <c r="L72" s="1059"/>
      <c r="M72" s="5"/>
      <c r="N72" s="1020">
        <f t="shared" si="63"/>
        <v>5.989583333333333</v>
      </c>
      <c r="O72" s="1020"/>
      <c r="P72" s="5"/>
      <c r="Q72" s="1056">
        <f t="shared" si="64"/>
        <v>9.7321428571429003E-2</v>
      </c>
      <c r="R72" s="1057"/>
      <c r="U72" s="238">
        <f t="shared" si="65"/>
        <v>67</v>
      </c>
      <c r="V72" s="239">
        <v>48</v>
      </c>
      <c r="W72" s="240">
        <f t="shared" si="66"/>
        <v>-19</v>
      </c>
      <c r="X72" s="241">
        <f t="shared" si="67"/>
        <v>8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60"/>
        <v>41.071428571428569</v>
      </c>
      <c r="F73" s="1049"/>
      <c r="G73" s="388"/>
      <c r="H73" s="388"/>
      <c r="I73" s="1052">
        <f t="shared" si="61"/>
        <v>5.1339285714285712</v>
      </c>
      <c r="J73" s="1058"/>
      <c r="K73" s="1059">
        <f t="shared" si="62"/>
        <v>1232.1428571428571</v>
      </c>
      <c r="L73" s="1059"/>
      <c r="M73" s="5"/>
      <c r="N73" s="1020">
        <f t="shared" si="63"/>
        <v>5.989583333333333</v>
      </c>
      <c r="O73" s="1020"/>
      <c r="P73" s="5"/>
      <c r="Q73" s="1056">
        <f t="shared" si="64"/>
        <v>9.7321428571429003E-2</v>
      </c>
      <c r="R73" s="1057"/>
      <c r="U73" s="238">
        <f t="shared" si="65"/>
        <v>48</v>
      </c>
      <c r="V73" s="239">
        <v>48</v>
      </c>
      <c r="W73" s="240">
        <f t="shared" si="66"/>
        <v>0</v>
      </c>
      <c r="X73" s="241">
        <f t="shared" si="67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60"/>
        <v>33.33342857142857</v>
      </c>
      <c r="F74" s="1049"/>
      <c r="G74" s="388"/>
      <c r="H74" s="388"/>
      <c r="I74" s="1052">
        <f t="shared" si="61"/>
        <v>4.1666785714285712</v>
      </c>
      <c r="J74" s="1058"/>
      <c r="K74" s="1059">
        <f t="shared" si="62"/>
        <v>1000.0028571428571</v>
      </c>
      <c r="L74" s="1059"/>
      <c r="M74" s="5"/>
      <c r="N74" s="1020">
        <f t="shared" si="63"/>
        <v>4.8611250000000004</v>
      </c>
      <c r="O74" s="1020"/>
      <c r="P74" s="5"/>
      <c r="Q74" s="1056">
        <f t="shared" si="64"/>
        <v>1.0645714285714289</v>
      </c>
      <c r="R74" s="1057"/>
      <c r="S74" s="1066">
        <f>20*30/180*117</f>
        <v>390</v>
      </c>
      <c r="T74" s="1067"/>
      <c r="U74" s="238">
        <f t="shared" si="65"/>
        <v>48</v>
      </c>
      <c r="V74" s="239">
        <v>48</v>
      </c>
      <c r="W74" s="240">
        <f t="shared" si="66"/>
        <v>0</v>
      </c>
      <c r="X74" s="241">
        <f t="shared" si="67"/>
        <v>8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60"/>
        <v>41.071428571428569</v>
      </c>
      <c r="F75" s="1049"/>
      <c r="G75" s="388"/>
      <c r="H75" s="388"/>
      <c r="I75" s="1052">
        <f t="shared" si="61"/>
        <v>5.1339285714285712</v>
      </c>
      <c r="J75" s="1058"/>
      <c r="K75" s="1059">
        <f t="shared" si="62"/>
        <v>1232.1428571428571</v>
      </c>
      <c r="L75" s="1059"/>
      <c r="M75" s="5"/>
      <c r="N75" s="1020">
        <f t="shared" si="63"/>
        <v>5.989583333333333</v>
      </c>
      <c r="O75" s="1020"/>
      <c r="P75" s="5"/>
      <c r="Q75" s="1056">
        <f t="shared" si="64"/>
        <v>9.7321428571429003E-2</v>
      </c>
      <c r="R75" s="1057"/>
      <c r="U75" s="238">
        <f t="shared" si="65"/>
        <v>48</v>
      </c>
      <c r="V75" s="239">
        <v>48</v>
      </c>
      <c r="W75" s="240">
        <f t="shared" si="66"/>
        <v>0</v>
      </c>
      <c r="X75" s="241">
        <f t="shared" si="67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60"/>
        <v>41.071428571428569</v>
      </c>
      <c r="F76" s="1049"/>
      <c r="G76" s="1068"/>
      <c r="H76" s="1069"/>
      <c r="I76" s="1052">
        <f t="shared" si="61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5"/>
        <v>45.5</v>
      </c>
      <c r="V76" s="239">
        <v>48</v>
      </c>
      <c r="W76" s="240">
        <f>+V76-U76</f>
        <v>2.5</v>
      </c>
      <c r="X76" s="241">
        <f t="shared" si="67"/>
        <v>0</v>
      </c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60"/>
        <v>29.571428571428573</v>
      </c>
      <c r="F77" s="1049"/>
      <c r="G77" s="1062"/>
      <c r="H77" s="1063"/>
      <c r="I77" s="1052">
        <f t="shared" si="61"/>
        <v>3.6964285714285716</v>
      </c>
      <c r="J77" s="1058"/>
      <c r="K77" s="1059">
        <f>+E77*30</f>
        <v>887.14285714285722</v>
      </c>
      <c r="L77" s="1059"/>
      <c r="M77" s="5"/>
      <c r="N77" s="1020">
        <f t="shared" si="63"/>
        <v>4.3125</v>
      </c>
      <c r="O77" s="1020"/>
      <c r="P77" s="5"/>
      <c r="Q77" s="1056">
        <f t="shared" si="64"/>
        <v>1.5348214285714286</v>
      </c>
      <c r="R77" s="1057"/>
      <c r="S77" s="1066">
        <f>20*30/180*117</f>
        <v>390</v>
      </c>
      <c r="T77" s="1067"/>
      <c r="U77" s="238">
        <f t="shared" si="65"/>
        <v>0</v>
      </c>
      <c r="V77" s="239">
        <v>48</v>
      </c>
      <c r="W77" s="240">
        <f t="shared" si="66"/>
        <v>48</v>
      </c>
      <c r="X77" s="241">
        <f t="shared" si="67"/>
        <v>0</v>
      </c>
      <c r="Y77" s="248"/>
      <c r="Z77" s="796"/>
      <c r="AA77" s="796"/>
      <c r="AB77" s="796"/>
      <c r="AC77" s="796"/>
      <c r="AD77" s="796"/>
      <c r="AE77" s="386"/>
      <c r="AF77" s="386"/>
      <c r="AG77" s="797"/>
      <c r="AH77" s="797"/>
      <c r="AI77" s="393"/>
      <c r="AJ77" s="393"/>
      <c r="AK77" s="393"/>
      <c r="AL77" s="393"/>
      <c r="AM77" s="797"/>
      <c r="AN77" s="797"/>
      <c r="AO77" s="797"/>
      <c r="AP77" s="797"/>
      <c r="AQ77" s="797"/>
      <c r="AR77" s="797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60"/>
        <v>31.000028571428572</v>
      </c>
      <c r="F78" s="1049"/>
      <c r="G78" s="1050"/>
      <c r="H78" s="1051"/>
      <c r="I78" s="1052">
        <f t="shared" si="61"/>
        <v>3.8750035714285715</v>
      </c>
      <c r="J78" s="1058"/>
      <c r="K78" s="1059">
        <f>+E78*30</f>
        <v>930.00085714285717</v>
      </c>
      <c r="L78" s="1059"/>
      <c r="M78" s="5"/>
      <c r="N78" s="1020">
        <f t="shared" si="63"/>
        <v>4.5208375000000007</v>
      </c>
      <c r="O78" s="1020"/>
      <c r="P78" s="5"/>
      <c r="Q78" s="1056">
        <f t="shared" si="64"/>
        <v>1.3562464285714286</v>
      </c>
      <c r="R78" s="1057"/>
      <c r="S78" s="802"/>
      <c r="T78" s="802"/>
      <c r="U78" s="238">
        <f>+AE40+U40+K40+AO19+AE19+U19+K19</f>
        <v>0</v>
      </c>
      <c r="V78" s="239">
        <v>48</v>
      </c>
      <c r="W78" s="240">
        <f t="shared" si="66"/>
        <v>48</v>
      </c>
      <c r="X78" s="241">
        <f t="shared" si="67"/>
        <v>0</v>
      </c>
      <c r="Y78" s="802"/>
      <c r="Z78" s="796"/>
      <c r="AA78" s="796"/>
      <c r="AB78" s="796"/>
      <c r="AC78" s="796"/>
      <c r="AD78" s="796"/>
      <c r="AE78" s="386"/>
      <c r="AF78" s="386"/>
      <c r="AG78" s="797"/>
      <c r="AH78" s="797"/>
      <c r="AI78" s="393"/>
      <c r="AJ78" s="393"/>
      <c r="AK78" s="393"/>
      <c r="AL78" s="393"/>
      <c r="AM78" s="797"/>
      <c r="AN78" s="797"/>
      <c r="AO78" s="797"/>
      <c r="AP78" s="797"/>
      <c r="AQ78" s="797"/>
      <c r="AR78" s="797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62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+AE43+U43+K43+AO22+AE22+U22+K22</f>
        <v>68</v>
      </c>
      <c r="V79" s="239">
        <v>48</v>
      </c>
      <c r="W79" s="240">
        <f>+V79-U79</f>
        <v>-20</v>
      </c>
      <c r="X79" s="241">
        <f t="shared" si="67"/>
        <v>0</v>
      </c>
      <c r="Z79" s="246"/>
      <c r="AA79" s="246"/>
      <c r="AB79" s="796"/>
      <c r="AC79" s="796"/>
      <c r="AD79" s="796"/>
      <c r="AE79" s="386"/>
      <c r="AF79" s="386"/>
      <c r="AG79" s="797"/>
      <c r="AH79" s="797"/>
      <c r="AI79" s="797"/>
      <c r="AJ79" s="797"/>
      <c r="AK79" s="797"/>
      <c r="AL79" s="797"/>
      <c r="AM79" s="797"/>
      <c r="AN79" s="797"/>
      <c r="AO79" s="797"/>
      <c r="AP79" s="797"/>
      <c r="AQ79" s="797"/>
      <c r="AR79" s="797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6" si="68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7"/>
        <v>0</v>
      </c>
      <c r="Z80" s="246"/>
      <c r="AA80" s="246"/>
      <c r="AB80" s="796"/>
      <c r="AC80" s="796"/>
      <c r="AD80" s="796"/>
      <c r="AE80" s="386"/>
      <c r="AF80" s="386"/>
      <c r="AG80" s="797"/>
      <c r="AH80" s="797"/>
      <c r="AI80" s="797"/>
      <c r="AJ80" s="797"/>
      <c r="AK80" s="797"/>
      <c r="AL80" s="797"/>
      <c r="AM80" s="797"/>
      <c r="AN80" s="797"/>
      <c r="AO80" s="797"/>
      <c r="AP80" s="797"/>
      <c r="AQ80" s="797"/>
      <c r="AR80" s="797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8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+AE44+U44+K44+AO23+AE23+U23+K23</f>
        <v>24</v>
      </c>
      <c r="V81" s="239">
        <v>48</v>
      </c>
      <c r="W81" s="240">
        <f>+V81-U81</f>
        <v>24</v>
      </c>
      <c r="X81" s="241">
        <f>+J23+T23+AD23+J44+T44+AD44</f>
        <v>0</v>
      </c>
      <c r="Z81" s="246"/>
      <c r="AA81" s="246"/>
      <c r="AB81" s="796"/>
      <c r="AC81" s="796"/>
      <c r="AD81" s="796"/>
      <c r="AE81" s="386"/>
      <c r="AF81" s="386"/>
      <c r="AG81" s="797"/>
      <c r="AH81" s="797"/>
      <c r="AI81" s="797"/>
      <c r="AJ81" s="797"/>
      <c r="AK81" s="393"/>
      <c r="AL81" s="393"/>
      <c r="AM81" s="797"/>
      <c r="AN81" s="797"/>
      <c r="AO81" s="797"/>
      <c r="AP81" s="797"/>
      <c r="AQ81" s="797"/>
      <c r="AR81" s="797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8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63"/>
        <v>4.5208333333333339</v>
      </c>
      <c r="O82" s="1044"/>
      <c r="P82" s="5"/>
      <c r="Q82" s="1004">
        <f t="shared" si="64"/>
        <v>1.3562500000000002</v>
      </c>
      <c r="R82" s="1005"/>
      <c r="U82" s="238">
        <f>+AE43+U43+K43+AO22+AE22+U22+K22</f>
        <v>68</v>
      </c>
      <c r="V82" s="239">
        <v>48</v>
      </c>
      <c r="W82" s="240">
        <f t="shared" si="66"/>
        <v>-20</v>
      </c>
      <c r="X82" s="241">
        <f>+J21+T21+AD21+J42+T42+AD42</f>
        <v>0</v>
      </c>
      <c r="Z82" s="246"/>
      <c r="AA82" s="246"/>
      <c r="AB82" s="796"/>
      <c r="AC82" s="796"/>
      <c r="AD82" s="796"/>
      <c r="AE82" s="386"/>
      <c r="AF82" s="386"/>
      <c r="AG82" s="797"/>
      <c r="AH82" s="797"/>
      <c r="AI82" s="797"/>
      <c r="AJ82" s="797"/>
      <c r="AK82" s="797"/>
      <c r="AL82" s="797"/>
      <c r="AM82" s="797"/>
      <c r="AN82" s="797"/>
      <c r="AO82" s="797"/>
      <c r="AP82" s="797"/>
      <c r="AQ82" s="797"/>
      <c r="AR82" s="797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8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>+J22+T22+AD22+J43+T43+AD43</f>
        <v>0</v>
      </c>
      <c r="Z83" s="246"/>
      <c r="AA83" s="246"/>
      <c r="AB83" s="796"/>
      <c r="AC83" s="796"/>
      <c r="AD83" s="796"/>
      <c r="AE83" s="386"/>
      <c r="AF83" s="386"/>
      <c r="AG83" s="797"/>
      <c r="AH83" s="797"/>
      <c r="AI83" s="797"/>
      <c r="AJ83" s="797"/>
      <c r="AK83" s="797"/>
      <c r="AL83" s="797"/>
      <c r="AM83" s="797"/>
      <c r="AN83" s="797"/>
      <c r="AO83" s="797"/>
      <c r="AP83" s="797"/>
      <c r="AQ83" s="797"/>
      <c r="AR83" s="797"/>
      <c r="AS83" s="386"/>
      <c r="AT83" s="386"/>
    </row>
    <row r="84" spans="1:46" ht="16.5">
      <c r="A84" s="247"/>
      <c r="B84" s="250" t="s">
        <v>146</v>
      </c>
      <c r="C84" s="1035">
        <f>+G84*6</f>
        <v>186</v>
      </c>
      <c r="D84" s="1036"/>
      <c r="E84" s="1037">
        <f t="shared" ref="E84" si="69">+C84/7</f>
        <v>26.571428571428573</v>
      </c>
      <c r="F84" s="1038"/>
      <c r="G84" s="1039">
        <v>31</v>
      </c>
      <c r="H84" s="1040"/>
      <c r="I84" s="1037">
        <f>+G84/8</f>
        <v>3.875</v>
      </c>
      <c r="J84" s="1038"/>
      <c r="K84" s="1041">
        <f>+G84*30</f>
        <v>930</v>
      </c>
      <c r="L84" s="1042"/>
      <c r="M84" s="5"/>
      <c r="N84" s="1043">
        <f>+I84/6*7</f>
        <v>4.5208333333333339</v>
      </c>
      <c r="O84" s="1044"/>
      <c r="P84" s="5"/>
      <c r="Q84" s="1004">
        <f>+$I$69-I84</f>
        <v>1.3562500000000002</v>
      </c>
      <c r="R84" s="1005"/>
      <c r="U84" s="238">
        <f>+AE46+U46+K46+AO25+AE25+U25+K25</f>
        <v>0</v>
      </c>
      <c r="V84" s="239">
        <v>48</v>
      </c>
      <c r="W84" s="240">
        <f>+V84-U84</f>
        <v>48</v>
      </c>
      <c r="X84" s="241">
        <f>+J23+T23+AD23+J44+T44+AD44</f>
        <v>0</v>
      </c>
      <c r="Z84" s="246"/>
      <c r="AA84" s="246"/>
      <c r="AB84" s="796"/>
      <c r="AC84" s="796"/>
      <c r="AD84" s="796"/>
      <c r="AE84" s="386"/>
      <c r="AF84" s="386"/>
      <c r="AG84" s="797"/>
      <c r="AH84" s="797"/>
      <c r="AI84" s="797"/>
      <c r="AJ84" s="797"/>
      <c r="AK84" s="785"/>
      <c r="AL84" s="785"/>
      <c r="AM84" s="785"/>
      <c r="AN84" s="785"/>
      <c r="AO84" s="785"/>
      <c r="AP84" s="785"/>
      <c r="AQ84" s="785"/>
      <c r="AR84" s="785"/>
      <c r="AS84" s="386"/>
      <c r="AT84" s="386"/>
    </row>
    <row r="85" spans="1:46" ht="16.5">
      <c r="A85" s="247"/>
      <c r="B85" s="250" t="s">
        <v>147</v>
      </c>
      <c r="C85" s="788"/>
      <c r="D85" s="789"/>
      <c r="E85" s="790"/>
      <c r="F85" s="791"/>
      <c r="G85" s="792"/>
      <c r="H85" s="793"/>
      <c r="I85" s="790"/>
      <c r="J85" s="791"/>
      <c r="K85" s="804"/>
      <c r="L85" s="805"/>
      <c r="M85" s="5"/>
      <c r="N85" s="794"/>
      <c r="O85" s="795"/>
      <c r="P85" s="5"/>
      <c r="Q85" s="786"/>
      <c r="R85" s="787"/>
      <c r="U85" s="238"/>
      <c r="V85" s="239"/>
      <c r="W85" s="240"/>
      <c r="X85" s="241"/>
      <c r="Z85" s="246"/>
      <c r="AA85" s="246"/>
      <c r="AB85" s="796"/>
      <c r="AC85" s="796"/>
      <c r="AD85" s="796"/>
      <c r="AE85" s="386"/>
      <c r="AF85" s="386"/>
      <c r="AG85" s="797"/>
      <c r="AH85" s="797"/>
      <c r="AI85" s="797"/>
      <c r="AJ85" s="797"/>
      <c r="AK85" s="785"/>
      <c r="AL85" s="785"/>
      <c r="AM85" s="785"/>
      <c r="AN85" s="785"/>
      <c r="AO85" s="785"/>
      <c r="AP85" s="785"/>
      <c r="AQ85" s="785"/>
      <c r="AR85" s="785"/>
      <c r="AS85" s="386"/>
      <c r="AT85" s="386"/>
    </row>
    <row r="86" spans="1:46" ht="16.5">
      <c r="B86" s="253" t="s">
        <v>63</v>
      </c>
      <c r="C86" s="1010">
        <f>6*3+7*(G86)</f>
        <v>548.33330000000001</v>
      </c>
      <c r="D86" s="1011"/>
      <c r="E86" s="1012">
        <f t="shared" si="68"/>
        <v>78.333328571428567</v>
      </c>
      <c r="F86" s="1013"/>
      <c r="G86" s="1014">
        <v>75.761899999999997</v>
      </c>
      <c r="H86" s="1015"/>
      <c r="I86" s="1016">
        <f>+E86/8</f>
        <v>9.7916660714285708</v>
      </c>
      <c r="J86" s="1017"/>
      <c r="K86" s="1018">
        <f>+E86*30</f>
        <v>2349.9998571428569</v>
      </c>
      <c r="L86" s="1019"/>
      <c r="M86" s="5"/>
      <c r="N86" s="1020">
        <f t="shared" si="63"/>
        <v>11.423610416666666</v>
      </c>
      <c r="O86" s="1020"/>
      <c r="P86" s="5"/>
      <c r="Q86" s="1004">
        <f t="shared" si="64"/>
        <v>-4.5604160714285706</v>
      </c>
      <c r="R86" s="1005"/>
      <c r="U86" s="238">
        <f>+AE48+U48+K48+AO27+AE27+U27+K27</f>
        <v>0</v>
      </c>
      <c r="V86" s="239">
        <v>48</v>
      </c>
      <c r="W86" s="240">
        <f t="shared" si="66"/>
        <v>48</v>
      </c>
      <c r="X86" s="241">
        <f>+J27+T27+AD27+J48+T48+AD48</f>
        <v>0</v>
      </c>
      <c r="Z86" s="246"/>
      <c r="AA86" s="246"/>
      <c r="AB86" s="796"/>
      <c r="AC86" s="796"/>
      <c r="AD86" s="796"/>
      <c r="AE86" s="386"/>
      <c r="AF86" s="386"/>
      <c r="AG86" s="797"/>
      <c r="AH86" s="797"/>
      <c r="AI86" s="797"/>
      <c r="AJ86" s="797"/>
      <c r="AK86" s="797"/>
      <c r="AL86" s="797"/>
      <c r="AM86" s="797"/>
      <c r="AN86" s="797"/>
      <c r="AO86" s="797"/>
      <c r="AP86" s="797"/>
      <c r="AQ86" s="386"/>
      <c r="AR86" s="386"/>
      <c r="AS86" s="386"/>
      <c r="AT86" s="386"/>
    </row>
    <row r="87" spans="1:46">
      <c r="AE87" s="255"/>
      <c r="AF87" s="255"/>
      <c r="AJ87" s="255"/>
      <c r="AK87" s="255"/>
    </row>
    <row r="88" spans="1:46" ht="26.25" thickBot="1">
      <c r="B88" s="256" t="s">
        <v>118</v>
      </c>
      <c r="H88" s="1124">
        <v>43191</v>
      </c>
      <c r="I88" s="1124"/>
      <c r="J88" s="1124"/>
      <c r="K88" s="1124"/>
      <c r="L88" s="1124"/>
      <c r="M88" s="1124"/>
      <c r="N88" s="1124"/>
      <c r="AD88" s="257"/>
      <c r="AE88" s="257"/>
      <c r="AF88" s="257"/>
      <c r="AG88" s="104"/>
      <c r="AH88" s="104"/>
      <c r="AI88" s="104"/>
      <c r="AJ88" s="255"/>
      <c r="AK88" s="255"/>
    </row>
    <row r="89" spans="1:46" ht="16.5" thickBot="1">
      <c r="B89" s="395">
        <v>1100</v>
      </c>
      <c r="C89" s="156" t="s">
        <v>66</v>
      </c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 ht="15.75">
      <c r="B90" s="365">
        <f>+B89/30*7</f>
        <v>256.66666666666663</v>
      </c>
      <c r="C90" s="156" t="s">
        <v>67</v>
      </c>
      <c r="D90" s="258"/>
      <c r="O90" s="1093" t="s">
        <v>68</v>
      </c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093"/>
      <c r="AD90" s="386"/>
      <c r="AE90" s="797"/>
      <c r="AF90" s="797"/>
      <c r="AG90" s="386"/>
      <c r="AH90" s="386"/>
      <c r="AI90" s="386"/>
      <c r="AJ90" s="797"/>
      <c r="AK90" s="797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65">
        <f>+B90-18</f>
        <v>238.66666666666663</v>
      </c>
      <c r="C91" s="156" t="s">
        <v>69</v>
      </c>
      <c r="O91" s="1093">
        <f>+B89</f>
        <v>1100</v>
      </c>
      <c r="P91" s="1093"/>
      <c r="Q91" s="1093" t="s">
        <v>70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6" t="s">
        <v>71</v>
      </c>
      <c r="AD91" s="386"/>
      <c r="AE91" s="797"/>
      <c r="AF91" s="797"/>
      <c r="AG91" s="386"/>
      <c r="AH91" s="386"/>
      <c r="AI91" s="386"/>
      <c r="AJ91" s="797"/>
      <c r="AK91" s="797"/>
      <c r="AL91" s="386"/>
      <c r="AM91" s="386"/>
      <c r="AN91" s="386"/>
      <c r="AO91" s="386"/>
      <c r="AP91" s="173"/>
      <c r="AQ91" s="173"/>
      <c r="AR91" s="173"/>
      <c r="AS91" s="173"/>
      <c r="AT91" s="173"/>
    </row>
    <row r="92" spans="1:46">
      <c r="B92" s="396">
        <f>+B91/7+0</f>
        <v>34.095238095238088</v>
      </c>
      <c r="C92" s="259" t="s">
        <v>72</v>
      </c>
      <c r="D92" s="260"/>
      <c r="O92" s="1093">
        <f>+O91/30*7</f>
        <v>256.66666666666663</v>
      </c>
      <c r="P92" s="1093"/>
      <c r="Q92" s="1093" t="s">
        <v>73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A92" s="1092">
        <f>+O92*0.87</f>
        <v>223.29999999999995</v>
      </c>
      <c r="AB92" s="1092"/>
      <c r="AD92" s="386"/>
      <c r="AE92" s="261"/>
      <c r="AF92" s="261"/>
      <c r="AG92" s="386"/>
      <c r="AH92" s="386"/>
      <c r="AI92" s="386"/>
      <c r="AJ92" s="261"/>
      <c r="AK92" s="261"/>
      <c r="AL92" s="397"/>
      <c r="AM92" s="397"/>
      <c r="AN92" s="397"/>
      <c r="AO92" s="397"/>
      <c r="AP92" s="398"/>
      <c r="AQ92" s="398"/>
      <c r="AR92" s="173"/>
      <c r="AS92" s="173"/>
      <c r="AT92" s="173"/>
    </row>
    <row r="93" spans="1:46">
      <c r="O93" s="1093">
        <f>+O92/7</f>
        <v>36.666666666666664</v>
      </c>
      <c r="P93" s="1093"/>
      <c r="Q93" s="1093" t="s">
        <v>74</v>
      </c>
      <c r="R93" s="1093"/>
      <c r="S93" s="1093"/>
      <c r="T93" s="1093"/>
      <c r="U93" s="1093"/>
      <c r="V93" s="1093"/>
      <c r="W93" s="1093"/>
      <c r="X93" s="1093"/>
      <c r="Y93" s="1093"/>
      <c r="Z93" s="1093"/>
      <c r="AD93" s="386"/>
      <c r="AE93" s="797"/>
      <c r="AF93" s="797"/>
      <c r="AG93" s="386"/>
      <c r="AH93" s="386"/>
      <c r="AI93" s="386"/>
      <c r="AJ93" s="797"/>
      <c r="AK93" s="797"/>
      <c r="AL93" s="399"/>
      <c r="AM93" s="399"/>
      <c r="AN93" s="397"/>
      <c r="AO93" s="397"/>
      <c r="AP93" s="398"/>
      <c r="AQ93" s="398"/>
      <c r="AR93" s="173"/>
      <c r="AS93" s="173"/>
      <c r="AT93" s="173"/>
    </row>
    <row r="94" spans="1:46" ht="15.75">
      <c r="B94" s="499">
        <f>+B92</f>
        <v>34.095238095238088</v>
      </c>
      <c r="C94" s="262" t="s">
        <v>75</v>
      </c>
      <c r="D94" s="263"/>
      <c r="E94" s="263"/>
      <c r="F94" s="263"/>
      <c r="O94" s="1094">
        <f>(O92-18)/7</f>
        <v>34.095238095238088</v>
      </c>
      <c r="P94" s="1094"/>
      <c r="Q94" s="1094" t="s">
        <v>76</v>
      </c>
      <c r="R94" s="1094"/>
      <c r="S94" s="1094"/>
      <c r="T94" s="1094"/>
      <c r="U94" s="1094"/>
      <c r="V94" s="1094"/>
      <c r="W94" s="1094"/>
      <c r="X94" s="1094"/>
      <c r="Y94" s="1094"/>
      <c r="Z94" s="1094"/>
      <c r="AD94" s="386"/>
      <c r="AE94" s="264"/>
      <c r="AF94" s="264"/>
      <c r="AG94" s="265"/>
      <c r="AH94" s="265"/>
      <c r="AI94" s="265"/>
      <c r="AJ94" s="264"/>
      <c r="AK94" s="264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65">
        <v>3</v>
      </c>
      <c r="C95" s="156" t="s">
        <v>77</v>
      </c>
      <c r="O95" s="1093">
        <v>3</v>
      </c>
      <c r="P95" s="1093"/>
      <c r="Q95" s="1093" t="s">
        <v>78</v>
      </c>
      <c r="R95" s="1093"/>
      <c r="S95" s="1093"/>
      <c r="T95" s="1093"/>
      <c r="U95" s="1093"/>
      <c r="V95" s="1093"/>
      <c r="W95" s="1093"/>
      <c r="X95" s="1093"/>
      <c r="Y95" s="1093"/>
      <c r="Z95" s="1093"/>
      <c r="AD95" s="386"/>
      <c r="AE95" s="386"/>
      <c r="AF95" s="264"/>
      <c r="AG95" s="265"/>
      <c r="AH95" s="265"/>
      <c r="AI95" s="265"/>
      <c r="AJ95" s="264"/>
      <c r="AK95" s="386"/>
      <c r="AL95" s="397"/>
      <c r="AM95" s="397"/>
      <c r="AN95" s="397"/>
      <c r="AO95" s="397"/>
      <c r="AP95" s="398"/>
      <c r="AQ95" s="398"/>
      <c r="AR95" s="173"/>
      <c r="AS95" s="173"/>
      <c r="AT95" s="173"/>
    </row>
    <row r="96" spans="1:46">
      <c r="B96" s="396">
        <f>+B95+B94</f>
        <v>37.095238095238088</v>
      </c>
      <c r="C96" s="259" t="s">
        <v>79</v>
      </c>
      <c r="D96" s="266"/>
      <c r="E96" s="267"/>
      <c r="F96" s="268"/>
      <c r="G96" s="266"/>
      <c r="H96" s="266"/>
      <c r="I96" s="268"/>
      <c r="J96" s="266"/>
      <c r="K96" s="269"/>
      <c r="L96" s="269"/>
      <c r="M96" s="260"/>
      <c r="O96" s="1093">
        <f>+O95+O94</f>
        <v>37.095238095238088</v>
      </c>
      <c r="P96" s="1093"/>
      <c r="AD96" s="386"/>
      <c r="AE96" s="797"/>
      <c r="AF96" s="797"/>
      <c r="AG96" s="386"/>
      <c r="AH96" s="386"/>
      <c r="AI96" s="386"/>
      <c r="AJ96" s="797"/>
      <c r="AK96" s="797"/>
      <c r="AL96" s="399"/>
      <c r="AM96" s="399"/>
      <c r="AN96" s="399"/>
      <c r="AO96" s="399"/>
      <c r="AP96" s="401"/>
      <c r="AQ96" s="173"/>
      <c r="AR96" s="173"/>
      <c r="AS96" s="173"/>
      <c r="AT96" s="173"/>
    </row>
    <row r="97" spans="2:46">
      <c r="B97" s="365"/>
      <c r="AD97" s="386"/>
      <c r="AE97" s="402"/>
      <c r="AF97" s="402"/>
      <c r="AG97" s="402"/>
      <c r="AH97" s="386"/>
      <c r="AI97" s="386"/>
      <c r="AJ97" s="402"/>
      <c r="AK97" s="402"/>
      <c r="AL97" s="397"/>
      <c r="AM97" s="386"/>
      <c r="AN97" s="386"/>
      <c r="AO97" s="386"/>
      <c r="AP97" s="173"/>
      <c r="AQ97" s="173"/>
      <c r="AR97" s="173"/>
      <c r="AS97" s="173"/>
      <c r="AT97" s="173"/>
    </row>
    <row r="98" spans="2:46">
      <c r="B98" s="365">
        <f>+B96*6</f>
        <v>222.57142857142853</v>
      </c>
      <c r="C98" s="156" t="s">
        <v>80</v>
      </c>
      <c r="O98" s="1093" t="s">
        <v>81</v>
      </c>
      <c r="P98" s="1093"/>
      <c r="Q98" s="1093"/>
      <c r="R98" s="1093"/>
      <c r="S98" s="1093"/>
      <c r="T98" s="1093"/>
      <c r="U98" s="1093"/>
      <c r="V98" s="1093"/>
      <c r="W98" s="1093"/>
      <c r="X98" s="1093"/>
      <c r="Y98" s="1093"/>
      <c r="Z98" s="1093"/>
      <c r="AD98" s="386"/>
      <c r="AE98" s="386"/>
      <c r="AF98" s="386"/>
      <c r="AG98" s="386"/>
      <c r="AH98" s="386"/>
      <c r="AI98" s="397"/>
      <c r="AJ98" s="397"/>
      <c r="AK98" s="399"/>
      <c r="AL98" s="785"/>
      <c r="AM98" s="797"/>
      <c r="AN98" s="785"/>
      <c r="AO98" s="386"/>
      <c r="AP98" s="173"/>
      <c r="AQ98" s="173"/>
      <c r="AR98" s="173"/>
      <c r="AS98" s="173"/>
      <c r="AT98" s="173"/>
    </row>
    <row r="99" spans="2:46">
      <c r="B99" s="403">
        <f>+B94</f>
        <v>34.095238095238088</v>
      </c>
      <c r="C99" s="270" t="s">
        <v>82</v>
      </c>
      <c r="D99" s="271"/>
      <c r="E99" s="272"/>
      <c r="F99" s="273"/>
      <c r="G99" s="271"/>
      <c r="H99" s="271"/>
      <c r="I99" s="273"/>
      <c r="J99" s="271"/>
      <c r="K99" s="274"/>
      <c r="L99" s="275"/>
      <c r="O99" s="1093">
        <f>+O91*1.1</f>
        <v>1210</v>
      </c>
      <c r="P99" s="1093"/>
      <c r="Q99" s="1093" t="s">
        <v>70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6" t="s">
        <v>83</v>
      </c>
      <c r="AG99" s="173"/>
      <c r="AH99" s="173"/>
      <c r="AI99" s="398"/>
      <c r="AJ99" s="398"/>
      <c r="AK99" s="398"/>
      <c r="AL99" s="173"/>
      <c r="AM99" s="173"/>
      <c r="AN99" s="173"/>
      <c r="AO99" s="173"/>
    </row>
    <row r="100" spans="2:46">
      <c r="B100" s="396">
        <f>+B99+B98</f>
        <v>256.66666666666663</v>
      </c>
      <c r="C100" s="259" t="s">
        <v>84</v>
      </c>
      <c r="D100" s="266"/>
      <c r="E100" s="267"/>
      <c r="F100" s="268"/>
      <c r="G100" s="266"/>
      <c r="H100" s="266"/>
      <c r="I100" s="268"/>
      <c r="J100" s="266"/>
      <c r="K100" s="276"/>
      <c r="L100" s="275"/>
      <c r="O100" s="1093">
        <f>+O99/30*7</f>
        <v>282.33333333333337</v>
      </c>
      <c r="P100" s="1093"/>
      <c r="Q100" s="1093" t="s">
        <v>73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2">
        <f>+O100*0.87</f>
        <v>245.63000000000002</v>
      </c>
      <c r="AB100" s="1092"/>
      <c r="AG100" s="173"/>
      <c r="AH100" s="173"/>
      <c r="AI100" s="398"/>
      <c r="AJ100" s="398"/>
      <c r="AK100" s="277"/>
      <c r="AL100" s="173"/>
      <c r="AM100" s="173"/>
      <c r="AN100" s="173"/>
      <c r="AO100" s="173"/>
    </row>
    <row r="101" spans="2:46">
      <c r="B101" s="404"/>
      <c r="C101" s="278"/>
      <c r="D101" s="226"/>
      <c r="E101" s="279"/>
      <c r="F101" s="280"/>
      <c r="G101" s="226"/>
      <c r="H101" s="226"/>
      <c r="I101" s="280"/>
      <c r="J101" s="226"/>
      <c r="K101" s="275"/>
      <c r="L101" s="275"/>
      <c r="O101" s="1093">
        <f>+O100/7</f>
        <v>40.333333333333336</v>
      </c>
      <c r="P101" s="1093"/>
      <c r="Q101" s="1093" t="s">
        <v>74</v>
      </c>
      <c r="R101" s="1093"/>
      <c r="S101" s="1093"/>
      <c r="T101" s="1093"/>
      <c r="U101" s="1093"/>
      <c r="V101" s="1093"/>
      <c r="W101" s="1093"/>
      <c r="X101" s="1093"/>
      <c r="Y101" s="1093"/>
      <c r="Z101" s="1093"/>
      <c r="AG101" s="173"/>
      <c r="AH101" s="173"/>
      <c r="AI101" s="281"/>
      <c r="AJ101" s="282"/>
      <c r="AK101" s="277"/>
      <c r="AL101" s="173"/>
      <c r="AM101" s="173"/>
      <c r="AN101" s="173"/>
      <c r="AO101" s="173"/>
    </row>
    <row r="102" spans="2:46" ht="15.75">
      <c r="B102" s="500">
        <f>+B100/7</f>
        <v>36.666666666666664</v>
      </c>
      <c r="C102" s="283" t="s">
        <v>85</v>
      </c>
      <c r="D102" s="284"/>
      <c r="E102" s="285"/>
      <c r="F102" s="286"/>
      <c r="G102" s="287"/>
      <c r="H102" s="287"/>
      <c r="I102" s="280"/>
      <c r="J102" s="226"/>
      <c r="K102" s="275"/>
      <c r="L102" s="275"/>
      <c r="O102" s="1094">
        <f>(O100-18)/7</f>
        <v>37.761904761904766</v>
      </c>
      <c r="P102" s="1094"/>
      <c r="Q102" s="1094" t="s">
        <v>76</v>
      </c>
      <c r="R102" s="1094"/>
      <c r="S102" s="1094"/>
      <c r="T102" s="1094"/>
      <c r="U102" s="1094"/>
      <c r="V102" s="1094"/>
      <c r="W102" s="1094"/>
      <c r="X102" s="1094"/>
      <c r="Y102" s="1094"/>
      <c r="Z102" s="1094"/>
      <c r="AG102" s="173"/>
      <c r="AH102" s="173"/>
      <c r="AI102" s="173"/>
      <c r="AJ102" s="173"/>
      <c r="AK102" s="277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v>3</v>
      </c>
      <c r="P103" s="1093"/>
      <c r="Q103" s="1093" t="s">
        <v>78</v>
      </c>
      <c r="R103" s="1093"/>
      <c r="S103" s="1093"/>
      <c r="T103" s="1093"/>
      <c r="U103" s="1093"/>
      <c r="V103" s="1093"/>
      <c r="W103" s="1093"/>
      <c r="X103" s="1093"/>
      <c r="Y103" s="1093"/>
      <c r="Z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B104" s="404"/>
      <c r="C104" s="278"/>
      <c r="D104" s="226"/>
      <c r="E104" s="279"/>
      <c r="F104" s="280"/>
      <c r="G104" s="226"/>
      <c r="H104" s="226"/>
      <c r="I104" s="280"/>
      <c r="J104" s="226"/>
      <c r="K104" s="275"/>
      <c r="L104" s="275"/>
      <c r="O104" s="1093">
        <f>+O103+O102</f>
        <v>40.761904761904766</v>
      </c>
      <c r="P104" s="109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26.25" thickBot="1">
      <c r="B106" s="256" t="s">
        <v>117</v>
      </c>
      <c r="H106" s="1124">
        <v>43167</v>
      </c>
      <c r="I106" s="1124"/>
      <c r="J106" s="1124"/>
      <c r="K106" s="1124"/>
      <c r="L106" s="1124"/>
      <c r="M106" s="1124"/>
      <c r="N106" s="1124"/>
      <c r="O106" s="496" t="s">
        <v>120</v>
      </c>
      <c r="P106" s="497"/>
      <c r="Q106" s="498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2:46" ht="16.5" thickBot="1">
      <c r="B107" s="395">
        <v>850</v>
      </c>
      <c r="C107" s="156" t="s">
        <v>66</v>
      </c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 ht="15.75">
      <c r="B108" s="501">
        <f>+B107/30*7</f>
        <v>198.33333333333331</v>
      </c>
      <c r="C108" s="156" t="s">
        <v>67</v>
      </c>
      <c r="D108" s="258"/>
      <c r="O108" s="1093" t="s">
        <v>68</v>
      </c>
      <c r="P108" s="1093"/>
      <c r="Q108" s="1093"/>
      <c r="R108" s="1093"/>
      <c r="S108" s="1093"/>
      <c r="T108" s="1093"/>
      <c r="U108" s="1093"/>
      <c r="V108" s="1093"/>
      <c r="W108" s="1093"/>
      <c r="X108" s="1093"/>
      <c r="Y108" s="1093"/>
      <c r="Z108" s="1093"/>
      <c r="AD108" s="386"/>
      <c r="AE108" s="797"/>
      <c r="AF108" s="797"/>
      <c r="AG108" s="386"/>
      <c r="AH108" s="386"/>
      <c r="AI108" s="386"/>
      <c r="AJ108" s="797"/>
      <c r="AK108" s="797"/>
      <c r="AL108" s="386"/>
      <c r="AM108" s="386"/>
      <c r="AN108" s="386"/>
      <c r="AO108" s="386"/>
      <c r="AP108" s="173"/>
      <c r="AQ108" s="173"/>
      <c r="AR108" s="173"/>
      <c r="AS108" s="173"/>
      <c r="AT108" s="173"/>
    </row>
    <row r="109" spans="2:46">
      <c r="B109" s="501">
        <f>+B108-18</f>
        <v>180.33333333333331</v>
      </c>
      <c r="C109" s="156" t="s">
        <v>69</v>
      </c>
      <c r="O109" s="1093">
        <f>+B107</f>
        <v>850</v>
      </c>
      <c r="P109" s="1093"/>
      <c r="Q109" s="1093" t="s">
        <v>70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6" t="s">
        <v>71</v>
      </c>
      <c r="AD109" s="386"/>
      <c r="AE109" s="991">
        <v>198.32</v>
      </c>
      <c r="AF109" s="991"/>
      <c r="AG109" s="991"/>
      <c r="AH109" s="386"/>
      <c r="AI109" s="991"/>
      <c r="AJ109" s="991"/>
      <c r="AK109" s="991"/>
      <c r="AL109" s="1129">
        <f>+AL110+AL111</f>
        <v>192.18149689334777</v>
      </c>
      <c r="AM109" s="1129"/>
      <c r="AN109" s="1129"/>
      <c r="AO109" s="1129">
        <f>+AL109-18</f>
        <v>174.18149689334777</v>
      </c>
      <c r="AP109" s="1129"/>
      <c r="AQ109" s="1129"/>
      <c r="AR109" s="173"/>
      <c r="AS109" s="173"/>
      <c r="AT109" s="173"/>
    </row>
    <row r="110" spans="2:46">
      <c r="B110" s="502">
        <f>+B109/7</f>
        <v>25.761904761904759</v>
      </c>
      <c r="C110" s="259" t="s">
        <v>72</v>
      </c>
      <c r="D110" s="260"/>
      <c r="O110" s="1093">
        <f>+O109/30*7</f>
        <v>198.33333333333331</v>
      </c>
      <c r="P110" s="1093"/>
      <c r="Q110" s="1093" t="s">
        <v>73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A110" s="1092">
        <f>+O110*0.87</f>
        <v>172.54999999999998</v>
      </c>
      <c r="AB110" s="1092"/>
      <c r="AD110" s="386"/>
      <c r="AE110" s="991">
        <v>22.89</v>
      </c>
      <c r="AF110" s="991"/>
      <c r="AG110" s="991"/>
      <c r="AH110" s="386"/>
      <c r="AI110" s="1130">
        <f>+AE110/AE109</f>
        <v>0.11541952400161357</v>
      </c>
      <c r="AJ110" s="1130"/>
      <c r="AK110" s="1130"/>
      <c r="AL110" s="1129">
        <f>+AI110*AL111/AI111</f>
        <v>22.181496893347781</v>
      </c>
      <c r="AM110" s="1129"/>
      <c r="AN110" s="1129"/>
      <c r="AO110" s="1131">
        <f>+AO109/7</f>
        <v>24.883070984763968</v>
      </c>
      <c r="AP110" s="1132"/>
      <c r="AQ110" s="1133"/>
      <c r="AR110" s="173"/>
      <c r="AS110" s="173"/>
      <c r="AT110" s="173"/>
    </row>
    <row r="111" spans="2:46">
      <c r="O111" s="1093">
        <f>+O110/7</f>
        <v>28.333333333333332</v>
      </c>
      <c r="P111" s="1093"/>
      <c r="Q111" s="1093" t="s">
        <v>74</v>
      </c>
      <c r="R111" s="1093"/>
      <c r="S111" s="1093"/>
      <c r="T111" s="1093"/>
      <c r="U111" s="1093"/>
      <c r="V111" s="1093"/>
      <c r="W111" s="1093"/>
      <c r="X111" s="1093"/>
      <c r="Y111" s="1093"/>
      <c r="Z111" s="1093"/>
      <c r="AD111" s="386"/>
      <c r="AE111" s="991">
        <v>175.43</v>
      </c>
      <c r="AF111" s="991"/>
      <c r="AG111" s="991"/>
      <c r="AH111" s="386"/>
      <c r="AI111" s="1128">
        <f>1-AI110</f>
        <v>0.88458047599838641</v>
      </c>
      <c r="AJ111" s="1127"/>
      <c r="AK111" s="1127"/>
      <c r="AL111" s="1129">
        <v>170</v>
      </c>
      <c r="AM111" s="1129"/>
      <c r="AN111" s="1129"/>
      <c r="AO111" s="991"/>
      <c r="AP111" s="991"/>
      <c r="AQ111" s="991"/>
      <c r="AR111" s="173"/>
      <c r="AS111" s="173"/>
      <c r="AT111" s="173"/>
    </row>
    <row r="112" spans="2:46" ht="15.75">
      <c r="B112" s="499">
        <f>+B110</f>
        <v>25.761904761904759</v>
      </c>
      <c r="C112" s="262" t="s">
        <v>75</v>
      </c>
      <c r="D112" s="263"/>
      <c r="E112" s="263"/>
      <c r="F112" s="263"/>
      <c r="O112" s="1094">
        <f>(O110-18)/7</f>
        <v>25.761904761904759</v>
      </c>
      <c r="P112" s="1094"/>
      <c r="Q112" s="1094" t="s">
        <v>76</v>
      </c>
      <c r="R112" s="1094"/>
      <c r="S112" s="1094"/>
      <c r="T112" s="1094"/>
      <c r="U112" s="1094"/>
      <c r="V112" s="1094"/>
      <c r="W112" s="1094"/>
      <c r="X112" s="1094"/>
      <c r="Y112" s="1094"/>
      <c r="Z112" s="1094"/>
      <c r="AD112" s="386"/>
      <c r="AE112" s="991"/>
      <c r="AF112" s="991"/>
      <c r="AG112" s="991"/>
      <c r="AH112" s="386"/>
      <c r="AI112" s="1127"/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65">
        <v>3</v>
      </c>
      <c r="C113" s="156" t="s">
        <v>77</v>
      </c>
      <c r="O113" s="1093">
        <v>3</v>
      </c>
      <c r="P113" s="1093"/>
      <c r="Q113" s="1093" t="s">
        <v>78</v>
      </c>
      <c r="R113" s="1093"/>
      <c r="S113" s="1093"/>
      <c r="T113" s="1093"/>
      <c r="U113" s="1093"/>
      <c r="V113" s="1093"/>
      <c r="W113" s="1093"/>
      <c r="X113" s="1093"/>
      <c r="Y113" s="1093"/>
      <c r="Z113" s="1093"/>
      <c r="AD113" s="386"/>
      <c r="AE113" s="991">
        <v>198.39</v>
      </c>
      <c r="AF113" s="991"/>
      <c r="AG113" s="991"/>
      <c r="AH113" s="386"/>
      <c r="AI113" s="1127">
        <v>198.32</v>
      </c>
      <c r="AJ113" s="1127"/>
      <c r="AK113" s="1127"/>
      <c r="AL113" s="386"/>
      <c r="AM113" s="397"/>
      <c r="AN113" s="397"/>
      <c r="AO113" s="397"/>
      <c r="AP113" s="398"/>
      <c r="AQ113" s="398"/>
      <c r="AR113" s="173"/>
      <c r="AS113" s="173"/>
      <c r="AT113" s="173"/>
    </row>
    <row r="114" spans="2:46">
      <c r="B114" s="396">
        <f>+B113+B112</f>
        <v>28.761904761904759</v>
      </c>
      <c r="C114" s="259" t="s">
        <v>79</v>
      </c>
      <c r="D114" s="266"/>
      <c r="E114" s="267"/>
      <c r="F114" s="268"/>
      <c r="G114" s="266"/>
      <c r="H114" s="266"/>
      <c r="I114" s="268"/>
      <c r="J114" s="266"/>
      <c r="K114" s="269"/>
      <c r="L114" s="269"/>
      <c r="M114" s="260"/>
      <c r="O114" s="1093">
        <f>+O113+O112</f>
        <v>28.761904761904759</v>
      </c>
      <c r="P114" s="1093"/>
      <c r="AD114" s="386"/>
      <c r="AE114" s="1125">
        <f>+AE113/7*30</f>
        <v>850.24285714285702</v>
      </c>
      <c r="AF114" s="1125"/>
      <c r="AG114" s="1125"/>
      <c r="AH114" s="386"/>
      <c r="AI114" s="1126">
        <f>+AI113/7*30</f>
        <v>849.94285714285718</v>
      </c>
      <c r="AJ114" s="1126"/>
      <c r="AK114" s="1126"/>
      <c r="AL114" s="386"/>
      <c r="AM114" s="399"/>
      <c r="AN114" s="399"/>
      <c r="AO114" s="399"/>
      <c r="AP114" s="401"/>
      <c r="AQ114" s="173"/>
      <c r="AR114" s="173"/>
      <c r="AS114" s="173"/>
      <c r="AT114" s="173"/>
    </row>
    <row r="115" spans="2:46">
      <c r="B115" s="365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  <c r="AP115" s="173"/>
      <c r="AQ115" s="173"/>
      <c r="AR115" s="173"/>
      <c r="AS115" s="173"/>
      <c r="AT115" s="173"/>
    </row>
    <row r="116" spans="2:46">
      <c r="B116" s="365">
        <f>+B114*6</f>
        <v>172.57142857142856</v>
      </c>
      <c r="C116" s="156" t="s">
        <v>80</v>
      </c>
      <c r="O116" s="1093" t="s">
        <v>81</v>
      </c>
      <c r="P116" s="1093"/>
      <c r="Q116" s="1093"/>
      <c r="R116" s="1093"/>
      <c r="S116" s="1093"/>
      <c r="T116" s="1093"/>
      <c r="U116" s="1093"/>
      <c r="V116" s="1093"/>
      <c r="W116" s="1093"/>
      <c r="X116" s="1093"/>
      <c r="Y116" s="1093"/>
      <c r="Z116" s="1093"/>
      <c r="AD116" s="386"/>
      <c r="AE116" s="386"/>
      <c r="AF116" s="386"/>
      <c r="AG116" s="386"/>
      <c r="AH116" s="386"/>
      <c r="AI116" s="397"/>
      <c r="AJ116" s="397"/>
      <c r="AK116" s="399"/>
      <c r="AL116" s="785"/>
      <c r="AM116" s="797"/>
      <c r="AN116" s="785"/>
      <c r="AO116" s="386"/>
      <c r="AP116" s="173"/>
      <c r="AQ116" s="173"/>
      <c r="AR116" s="173"/>
      <c r="AS116" s="173"/>
      <c r="AT116" s="173"/>
    </row>
    <row r="117" spans="2:46">
      <c r="B117" s="403">
        <f>+B112</f>
        <v>25.761904761904759</v>
      </c>
      <c r="C117" s="270" t="s">
        <v>82</v>
      </c>
      <c r="D117" s="271"/>
      <c r="E117" s="272"/>
      <c r="F117" s="273"/>
      <c r="G117" s="271"/>
      <c r="H117" s="271"/>
      <c r="I117" s="273"/>
      <c r="J117" s="271"/>
      <c r="K117" s="274"/>
      <c r="L117" s="275"/>
      <c r="O117" s="1093">
        <f>+O109*1.1</f>
        <v>935.00000000000011</v>
      </c>
      <c r="P117" s="1093"/>
      <c r="Q117" s="1093" t="s">
        <v>70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6" t="s">
        <v>83</v>
      </c>
      <c r="AG117" s="173"/>
      <c r="AH117" s="173"/>
      <c r="AI117" s="398"/>
      <c r="AJ117" s="398"/>
      <c r="AK117" s="398"/>
      <c r="AL117" s="173"/>
      <c r="AM117" s="173"/>
      <c r="AN117" s="173"/>
      <c r="AO117" s="173"/>
    </row>
    <row r="118" spans="2:46">
      <c r="B118" s="396">
        <f>+B117+B116</f>
        <v>198.33333333333331</v>
      </c>
      <c r="C118" s="259" t="s">
        <v>84</v>
      </c>
      <c r="D118" s="266"/>
      <c r="E118" s="267"/>
      <c r="F118" s="268"/>
      <c r="G118" s="266"/>
      <c r="H118" s="266"/>
      <c r="I118" s="268"/>
      <c r="J118" s="266"/>
      <c r="K118" s="276"/>
      <c r="L118" s="275"/>
      <c r="O118" s="1093">
        <f>+O117/30*7</f>
        <v>218.16666666666669</v>
      </c>
      <c r="P118" s="1093"/>
      <c r="Q118" s="1093" t="s">
        <v>73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2">
        <f>+O118*0.87</f>
        <v>189.80500000000001</v>
      </c>
      <c r="AB118" s="1092"/>
      <c r="AG118" s="173"/>
      <c r="AH118" s="173"/>
      <c r="AI118" s="398"/>
      <c r="AJ118" s="398"/>
      <c r="AK118" s="277"/>
      <c r="AL118" s="173"/>
      <c r="AM118" s="173"/>
      <c r="AN118" s="173"/>
      <c r="AO118" s="173"/>
    </row>
    <row r="119" spans="2:46">
      <c r="B119" s="404"/>
      <c r="C119" s="278"/>
      <c r="D119" s="226"/>
      <c r="E119" s="279"/>
      <c r="F119" s="280"/>
      <c r="G119" s="226"/>
      <c r="H119" s="226"/>
      <c r="I119" s="280"/>
      <c r="J119" s="226"/>
      <c r="K119" s="275"/>
      <c r="L119" s="275"/>
      <c r="O119" s="1093">
        <f>+O118/7</f>
        <v>31.166666666666668</v>
      </c>
      <c r="P119" s="1093"/>
      <c r="Q119" s="1093" t="s">
        <v>74</v>
      </c>
      <c r="R119" s="1093"/>
      <c r="S119" s="1093"/>
      <c r="T119" s="1093"/>
      <c r="U119" s="1093"/>
      <c r="V119" s="1093"/>
      <c r="W119" s="1093"/>
      <c r="X119" s="1093"/>
      <c r="Y119" s="1093"/>
      <c r="Z119" s="1093"/>
      <c r="AG119" s="173"/>
      <c r="AH119" s="173"/>
      <c r="AI119" s="281"/>
      <c r="AJ119" s="282"/>
      <c r="AK119" s="277"/>
      <c r="AL119" s="173"/>
      <c r="AM119" s="173"/>
      <c r="AN119" s="173"/>
      <c r="AO119" s="173"/>
    </row>
    <row r="120" spans="2:46" ht="15.75">
      <c r="B120" s="405">
        <f>+B118/7</f>
        <v>28.333333333333332</v>
      </c>
      <c r="C120" s="283" t="s">
        <v>85</v>
      </c>
      <c r="D120" s="284"/>
      <c r="E120" s="285"/>
      <c r="F120" s="280"/>
      <c r="G120" s="226"/>
      <c r="H120" s="226"/>
      <c r="I120" s="280"/>
      <c r="J120" s="226"/>
      <c r="K120" s="275"/>
      <c r="L120" s="275"/>
      <c r="O120" s="1094">
        <f>(O118-18)/7</f>
        <v>28.595238095238098</v>
      </c>
      <c r="P120" s="1094"/>
      <c r="Q120" s="1094" t="s">
        <v>76</v>
      </c>
      <c r="R120" s="1094"/>
      <c r="S120" s="1094"/>
      <c r="T120" s="1094"/>
      <c r="U120" s="1094"/>
      <c r="V120" s="1094"/>
      <c r="W120" s="1094"/>
      <c r="X120" s="1094"/>
      <c r="Y120" s="1094"/>
      <c r="Z120" s="1094"/>
      <c r="AG120" s="173"/>
      <c r="AH120" s="173"/>
      <c r="AI120" s="173"/>
      <c r="AJ120" s="173"/>
      <c r="AK120" s="277"/>
      <c r="AL120" s="173"/>
      <c r="AM120" s="173"/>
      <c r="AN120" s="173"/>
      <c r="AO120" s="173"/>
    </row>
    <row r="121" spans="2:46">
      <c r="B121" s="404"/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v>3</v>
      </c>
      <c r="P121" s="1093"/>
      <c r="Q121" s="1093" t="s">
        <v>78</v>
      </c>
      <c r="R121" s="1093"/>
      <c r="S121" s="1093"/>
      <c r="T121" s="1093"/>
      <c r="U121" s="1093"/>
      <c r="V121" s="1093"/>
      <c r="W121" s="1093"/>
      <c r="X121" s="1093"/>
      <c r="Y121" s="1093"/>
      <c r="Z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404">
        <v>28.333333333333332</v>
      </c>
      <c r="C122" s="278"/>
      <c r="D122" s="226"/>
      <c r="E122" s="279"/>
      <c r="F122" s="280"/>
      <c r="G122" s="226"/>
      <c r="H122" s="226"/>
      <c r="I122" s="280"/>
      <c r="J122" s="226"/>
      <c r="K122" s="275"/>
      <c r="L122" s="275"/>
      <c r="O122" s="1093">
        <f>+O121+O120</f>
        <v>31.595238095238098</v>
      </c>
      <c r="P122" s="109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>
      <c r="B124" s="365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2:46" ht="26.25" thickBot="1">
      <c r="B125" s="256" t="s">
        <v>59</v>
      </c>
      <c r="H125" s="1124">
        <v>42922</v>
      </c>
      <c r="I125" s="1124"/>
      <c r="J125" s="1124"/>
      <c r="K125" s="1124"/>
      <c r="L125" s="1124"/>
      <c r="M125" s="1124"/>
      <c r="N125" s="1124"/>
      <c r="AD125" s="257"/>
      <c r="AE125" s="257"/>
      <c r="AF125" s="257"/>
      <c r="AG125" s="104"/>
      <c r="AH125" s="104"/>
      <c r="AI125" s="104"/>
      <c r="AJ125" s="255"/>
      <c r="AK125" s="255"/>
    </row>
    <row r="126" spans="2:46" ht="16.5" thickBot="1">
      <c r="B126" s="395">
        <v>1231.53</v>
      </c>
      <c r="C126" s="156" t="s">
        <v>66</v>
      </c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 ht="15.75">
      <c r="B127" s="365">
        <f>+B126/30*7</f>
        <v>287.35700000000003</v>
      </c>
      <c r="C127" s="156" t="s">
        <v>67</v>
      </c>
      <c r="D127" s="258"/>
      <c r="O127" s="1093" t="s">
        <v>68</v>
      </c>
      <c r="P127" s="1093"/>
      <c r="Q127" s="1093"/>
      <c r="R127" s="1093"/>
      <c r="S127" s="1093"/>
      <c r="T127" s="1093"/>
      <c r="U127" s="1093"/>
      <c r="V127" s="1093"/>
      <c r="W127" s="1093"/>
      <c r="X127" s="1093"/>
      <c r="Y127" s="1093"/>
      <c r="Z127" s="1093"/>
      <c r="AD127" s="386"/>
      <c r="AE127" s="797"/>
      <c r="AF127" s="797"/>
      <c r="AG127" s="386"/>
      <c r="AH127" s="386"/>
      <c r="AI127" s="386"/>
      <c r="AJ127" s="797"/>
      <c r="AK127" s="797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65">
        <f>+B127-18</f>
        <v>269.35700000000003</v>
      </c>
      <c r="C128" s="156" t="s">
        <v>69</v>
      </c>
      <c r="O128" s="1093">
        <f>+B126</f>
        <v>1231.53</v>
      </c>
      <c r="P128" s="1093"/>
      <c r="Q128" s="1093" t="s">
        <v>70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6" t="s">
        <v>71</v>
      </c>
      <c r="AD128" s="386"/>
      <c r="AE128" s="797"/>
      <c r="AF128" s="797"/>
      <c r="AG128" s="386"/>
      <c r="AH128" s="386"/>
      <c r="AI128" s="386"/>
      <c r="AJ128" s="797"/>
      <c r="AK128" s="797"/>
      <c r="AL128" s="386"/>
      <c r="AM128" s="386"/>
      <c r="AN128" s="386"/>
      <c r="AO128" s="386"/>
      <c r="AP128" s="173"/>
      <c r="AQ128" s="173"/>
      <c r="AR128" s="173"/>
      <c r="AS128" s="173"/>
      <c r="AT128" s="173"/>
    </row>
    <row r="129" spans="2:46">
      <c r="B129" s="396">
        <f>+B128/7+0</f>
        <v>38.479571428571433</v>
      </c>
      <c r="C129" s="259" t="s">
        <v>72</v>
      </c>
      <c r="D129" s="260"/>
      <c r="O129" s="1093">
        <f>+O128/30*7</f>
        <v>287.35700000000003</v>
      </c>
      <c r="P129" s="1093"/>
      <c r="Q129" s="1093" t="s">
        <v>73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A129" s="1092">
        <f>+O129*0.87</f>
        <v>250.00059000000002</v>
      </c>
      <c r="AB129" s="1092"/>
      <c r="AD129" s="386"/>
      <c r="AE129" s="261"/>
      <c r="AF129" s="261"/>
      <c r="AG129" s="386"/>
      <c r="AH129" s="386"/>
      <c r="AI129" s="386"/>
      <c r="AJ129" s="261"/>
      <c r="AK129" s="261"/>
      <c r="AL129" s="397"/>
      <c r="AM129" s="397"/>
      <c r="AN129" s="397"/>
      <c r="AO129" s="397"/>
      <c r="AP129" s="398"/>
      <c r="AQ129" s="398"/>
      <c r="AR129" s="173"/>
      <c r="AS129" s="173"/>
      <c r="AT129" s="173"/>
    </row>
    <row r="130" spans="2:46">
      <c r="O130" s="1093">
        <f>+O129/7</f>
        <v>41.051000000000002</v>
      </c>
      <c r="P130" s="1093"/>
      <c r="Q130" s="1093" t="s">
        <v>74</v>
      </c>
      <c r="R130" s="1093"/>
      <c r="S130" s="1093"/>
      <c r="T130" s="1093"/>
      <c r="U130" s="1093"/>
      <c r="V130" s="1093"/>
      <c r="W130" s="1093"/>
      <c r="X130" s="1093"/>
      <c r="Y130" s="1093"/>
      <c r="Z130" s="1093"/>
      <c r="AD130" s="386"/>
      <c r="AE130" s="797"/>
      <c r="AF130" s="797"/>
      <c r="AG130" s="386"/>
      <c r="AH130" s="386"/>
      <c r="AI130" s="386"/>
      <c r="AJ130" s="797"/>
      <c r="AK130" s="797"/>
      <c r="AL130" s="399"/>
      <c r="AM130" s="399"/>
      <c r="AN130" s="397"/>
      <c r="AO130" s="397"/>
      <c r="AP130" s="398"/>
      <c r="AQ130" s="398"/>
      <c r="AR130" s="173"/>
      <c r="AS130" s="173"/>
      <c r="AT130" s="173"/>
    </row>
    <row r="131" spans="2:46" ht="15.75">
      <c r="B131" s="400">
        <f>+B129</f>
        <v>38.479571428571433</v>
      </c>
      <c r="C131" s="262" t="s">
        <v>75</v>
      </c>
      <c r="D131" s="263"/>
      <c r="E131" s="263"/>
      <c r="F131" s="263"/>
      <c r="O131" s="1094">
        <f>(O129-18)/7</f>
        <v>38.479571428571433</v>
      </c>
      <c r="P131" s="1094"/>
      <c r="Q131" s="1094" t="s">
        <v>76</v>
      </c>
      <c r="R131" s="1094"/>
      <c r="S131" s="1094"/>
      <c r="T131" s="1094"/>
      <c r="U131" s="1094"/>
      <c r="V131" s="1094"/>
      <c r="W131" s="1094"/>
      <c r="X131" s="1094"/>
      <c r="Y131" s="1094"/>
      <c r="Z131" s="1094"/>
      <c r="AD131" s="386"/>
      <c r="AE131" s="264"/>
      <c r="AF131" s="264"/>
      <c r="AG131" s="265"/>
      <c r="AH131" s="265"/>
      <c r="AI131" s="265"/>
      <c r="AJ131" s="264"/>
      <c r="AK131" s="264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65">
        <v>3</v>
      </c>
      <c r="C132" s="156" t="s">
        <v>77</v>
      </c>
      <c r="O132" s="1093">
        <v>3</v>
      </c>
      <c r="P132" s="1093"/>
      <c r="Q132" s="1093" t="s">
        <v>78</v>
      </c>
      <c r="R132" s="1093"/>
      <c r="S132" s="1093"/>
      <c r="T132" s="1093"/>
      <c r="U132" s="1093"/>
      <c r="V132" s="1093"/>
      <c r="W132" s="1093"/>
      <c r="X132" s="1093"/>
      <c r="Y132" s="1093"/>
      <c r="Z132" s="1093"/>
      <c r="AD132" s="386"/>
      <c r="AE132" s="386"/>
      <c r="AF132" s="264"/>
      <c r="AG132" s="265"/>
      <c r="AH132" s="265"/>
      <c r="AI132" s="265"/>
      <c r="AJ132" s="264"/>
      <c r="AK132" s="386"/>
      <c r="AL132" s="397"/>
      <c r="AM132" s="397"/>
      <c r="AN132" s="397"/>
      <c r="AO132" s="397"/>
      <c r="AP132" s="398"/>
      <c r="AQ132" s="398"/>
      <c r="AR132" s="173"/>
      <c r="AS132" s="173"/>
      <c r="AT132" s="173"/>
    </row>
    <row r="133" spans="2:46">
      <c r="B133" s="396">
        <f>+B132+B131</f>
        <v>41.479571428571433</v>
      </c>
      <c r="C133" s="259" t="s">
        <v>79</v>
      </c>
      <c r="D133" s="266"/>
      <c r="E133" s="267"/>
      <c r="F133" s="268"/>
      <c r="G133" s="266"/>
      <c r="H133" s="266"/>
      <c r="I133" s="268"/>
      <c r="J133" s="266"/>
      <c r="K133" s="269"/>
      <c r="L133" s="269"/>
      <c r="M133" s="260"/>
      <c r="O133" s="1093">
        <f>+O132+O131</f>
        <v>41.479571428571433</v>
      </c>
      <c r="P133" s="1093"/>
      <c r="AD133" s="386"/>
      <c r="AE133" s="797"/>
      <c r="AF133" s="797"/>
      <c r="AG133" s="386"/>
      <c r="AH133" s="386"/>
      <c r="AI133" s="386"/>
      <c r="AJ133" s="797"/>
      <c r="AK133" s="797"/>
      <c r="AL133" s="399"/>
      <c r="AM133" s="399"/>
      <c r="AN133" s="399"/>
      <c r="AO133" s="399"/>
      <c r="AP133" s="401"/>
      <c r="AQ133" s="173"/>
      <c r="AR133" s="173"/>
      <c r="AS133" s="173"/>
      <c r="AT133" s="173"/>
    </row>
    <row r="134" spans="2:46">
      <c r="B134" s="365"/>
      <c r="AD134" s="386"/>
      <c r="AE134" s="402"/>
      <c r="AF134" s="402"/>
      <c r="AG134" s="402"/>
      <c r="AH134" s="386"/>
      <c r="AI134" s="386"/>
      <c r="AJ134" s="402"/>
      <c r="AK134" s="402"/>
      <c r="AL134" s="397"/>
      <c r="AM134" s="386"/>
      <c r="AN134" s="386"/>
      <c r="AO134" s="386"/>
      <c r="AP134" s="173"/>
      <c r="AQ134" s="173"/>
      <c r="AR134" s="173"/>
      <c r="AS134" s="173"/>
      <c r="AT134" s="173"/>
    </row>
    <row r="135" spans="2:46">
      <c r="B135" s="365">
        <f>+B133*6</f>
        <v>248.8774285714286</v>
      </c>
      <c r="C135" s="156" t="s">
        <v>80</v>
      </c>
      <c r="O135" s="1093" t="s">
        <v>81</v>
      </c>
      <c r="P135" s="1093"/>
      <c r="Q135" s="1093"/>
      <c r="R135" s="1093"/>
      <c r="S135" s="1093"/>
      <c r="T135" s="1093"/>
      <c r="U135" s="1093"/>
      <c r="V135" s="1093"/>
      <c r="W135" s="1093"/>
      <c r="X135" s="1093"/>
      <c r="Y135" s="1093"/>
      <c r="Z135" s="1093"/>
      <c r="AD135" s="386"/>
      <c r="AE135" s="386"/>
      <c r="AF135" s="386"/>
      <c r="AG135" s="386"/>
      <c r="AH135" s="386"/>
      <c r="AI135" s="397"/>
      <c r="AJ135" s="397"/>
      <c r="AK135" s="399"/>
      <c r="AL135" s="785"/>
      <c r="AM135" s="797"/>
      <c r="AN135" s="785"/>
      <c r="AO135" s="386"/>
      <c r="AP135" s="173"/>
      <c r="AQ135" s="173"/>
      <c r="AR135" s="173"/>
      <c r="AS135" s="173"/>
      <c r="AT135" s="173"/>
    </row>
    <row r="136" spans="2:46">
      <c r="B136" s="403">
        <f>+B131</f>
        <v>38.479571428571433</v>
      </c>
      <c r="C136" s="270" t="s">
        <v>82</v>
      </c>
      <c r="D136" s="271"/>
      <c r="E136" s="272"/>
      <c r="F136" s="273"/>
      <c r="G136" s="271"/>
      <c r="H136" s="271"/>
      <c r="I136" s="273"/>
      <c r="J136" s="271"/>
      <c r="K136" s="274"/>
      <c r="L136" s="275"/>
      <c r="O136" s="1093">
        <f>+O128*1.1</f>
        <v>1354.683</v>
      </c>
      <c r="P136" s="1093"/>
      <c r="Q136" s="1093" t="s">
        <v>70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6" t="s">
        <v>83</v>
      </c>
      <c r="AG136" s="173"/>
      <c r="AH136" s="173"/>
      <c r="AI136" s="398"/>
      <c r="AJ136" s="398"/>
      <c r="AK136" s="398"/>
      <c r="AL136" s="173"/>
      <c r="AM136" s="173"/>
      <c r="AN136" s="173"/>
      <c r="AO136" s="173"/>
    </row>
    <row r="137" spans="2:46">
      <c r="B137" s="396">
        <f>+B136+B135</f>
        <v>287.35700000000003</v>
      </c>
      <c r="C137" s="259" t="s">
        <v>84</v>
      </c>
      <c r="D137" s="266"/>
      <c r="E137" s="267"/>
      <c r="F137" s="268"/>
      <c r="G137" s="266"/>
      <c r="H137" s="266"/>
      <c r="I137" s="268"/>
      <c r="J137" s="266"/>
      <c r="K137" s="276"/>
      <c r="L137" s="275"/>
      <c r="O137" s="1093">
        <f>+O136/30*7</f>
        <v>316.09270000000004</v>
      </c>
      <c r="P137" s="1093"/>
      <c r="Q137" s="1093" t="s">
        <v>73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A137" s="1092">
        <f>+O137*0.87</f>
        <v>275.00064900000001</v>
      </c>
      <c r="AB137" s="1092"/>
      <c r="AG137" s="173"/>
      <c r="AH137" s="173"/>
      <c r="AI137" s="398"/>
      <c r="AJ137" s="398"/>
      <c r="AK137" s="277"/>
      <c r="AL137" s="173"/>
      <c r="AM137" s="173"/>
      <c r="AN137" s="173"/>
      <c r="AO137" s="173"/>
    </row>
    <row r="138" spans="2:46">
      <c r="B138" s="404"/>
      <c r="C138" s="278"/>
      <c r="D138" s="226"/>
      <c r="E138" s="279"/>
      <c r="F138" s="280"/>
      <c r="G138" s="226"/>
      <c r="H138" s="226"/>
      <c r="I138" s="280"/>
      <c r="J138" s="226"/>
      <c r="K138" s="275"/>
      <c r="L138" s="275"/>
      <c r="O138" s="1093">
        <f>+O137/7</f>
        <v>45.156100000000002</v>
      </c>
      <c r="P138" s="1093"/>
      <c r="Q138" s="1093" t="s">
        <v>74</v>
      </c>
      <c r="R138" s="1093"/>
      <c r="S138" s="1093"/>
      <c r="T138" s="1093"/>
      <c r="U138" s="1093"/>
      <c r="V138" s="1093"/>
      <c r="W138" s="1093"/>
      <c r="X138" s="1093"/>
      <c r="Y138" s="1093"/>
      <c r="Z138" s="1093"/>
      <c r="AG138" s="173"/>
      <c r="AH138" s="173"/>
      <c r="AI138" s="281"/>
      <c r="AJ138" s="282"/>
      <c r="AK138" s="277"/>
      <c r="AL138" s="173"/>
      <c r="AM138" s="173"/>
      <c r="AN138" s="173"/>
      <c r="AO138" s="173"/>
    </row>
    <row r="139" spans="2:46" ht="15.75">
      <c r="B139" s="405">
        <f>+B137/7</f>
        <v>41.051000000000002</v>
      </c>
      <c r="C139" s="283" t="s">
        <v>85</v>
      </c>
      <c r="D139" s="284"/>
      <c r="E139" s="285"/>
      <c r="F139" s="286"/>
      <c r="G139" s="287"/>
      <c r="H139" s="287"/>
      <c r="I139" s="280"/>
      <c r="J139" s="226"/>
      <c r="K139" s="275"/>
      <c r="L139" s="275"/>
      <c r="O139" s="1094">
        <f>(O137-18)/7</f>
        <v>42.584671428571433</v>
      </c>
      <c r="P139" s="1094"/>
      <c r="Q139" s="1094" t="s">
        <v>76</v>
      </c>
      <c r="R139" s="1094"/>
      <c r="S139" s="1094"/>
      <c r="T139" s="1094"/>
      <c r="U139" s="1094"/>
      <c r="V139" s="1094"/>
      <c r="W139" s="1094"/>
      <c r="X139" s="1094"/>
      <c r="Y139" s="1094"/>
      <c r="Z139" s="1094"/>
      <c r="AG139" s="173"/>
      <c r="AH139" s="173"/>
      <c r="AI139" s="173"/>
      <c r="AJ139" s="173"/>
      <c r="AK139" s="277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v>3</v>
      </c>
      <c r="P140" s="1093"/>
      <c r="Q140" s="1093" t="s">
        <v>78</v>
      </c>
      <c r="R140" s="1093"/>
      <c r="S140" s="1093"/>
      <c r="T140" s="1093"/>
      <c r="U140" s="1093"/>
      <c r="V140" s="1093"/>
      <c r="W140" s="1093"/>
      <c r="X140" s="1093"/>
      <c r="Y140" s="1093"/>
      <c r="Z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404"/>
      <c r="C141" s="278"/>
      <c r="D141" s="226"/>
      <c r="E141" s="279"/>
      <c r="F141" s="280"/>
      <c r="G141" s="226"/>
      <c r="H141" s="226"/>
      <c r="I141" s="280"/>
      <c r="J141" s="226"/>
      <c r="K141" s="275"/>
      <c r="L141" s="275"/>
      <c r="O141" s="1093">
        <f>+O140+O139</f>
        <v>45.584671428571433</v>
      </c>
      <c r="P141" s="109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>
      <c r="B142" s="365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2:46" ht="26.25" thickBot="1">
      <c r="B143" s="256" t="s">
        <v>56</v>
      </c>
      <c r="H143" s="1124">
        <v>42744</v>
      </c>
      <c r="I143" s="1124"/>
      <c r="J143" s="1124"/>
      <c r="K143" s="1124"/>
      <c r="L143" s="1124"/>
      <c r="M143" s="1124"/>
      <c r="N143" s="1124"/>
      <c r="AD143" s="257"/>
      <c r="AE143" s="257"/>
      <c r="AF143" s="257"/>
      <c r="AG143" s="104"/>
      <c r="AH143" s="104"/>
      <c r="AI143" s="104"/>
      <c r="AJ143" s="255"/>
      <c r="AK143" s="255"/>
    </row>
    <row r="144" spans="2:46" ht="16.5" thickBot="1">
      <c r="B144" s="395">
        <v>1232.1400000000001</v>
      </c>
      <c r="C144" s="156" t="s">
        <v>66</v>
      </c>
      <c r="AD144" s="386"/>
      <c r="AE144" s="386"/>
      <c r="AF144" s="386"/>
      <c r="AG144" s="386"/>
      <c r="AH144" s="386"/>
      <c r="AI144" s="386"/>
      <c r="AJ144" s="386"/>
      <c r="AK144" s="386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 ht="15.75">
      <c r="B145" s="365">
        <f>+B144/30*7</f>
        <v>287.49933333333337</v>
      </c>
      <c r="C145" s="156" t="s">
        <v>67</v>
      </c>
      <c r="D145" s="258"/>
      <c r="O145" s="1093" t="s">
        <v>68</v>
      </c>
      <c r="P145" s="1093"/>
      <c r="Q145" s="1093"/>
      <c r="R145" s="1093"/>
      <c r="S145" s="1093"/>
      <c r="T145" s="1093"/>
      <c r="U145" s="1093"/>
      <c r="V145" s="1093"/>
      <c r="W145" s="1093"/>
      <c r="X145" s="1093"/>
      <c r="Y145" s="1093"/>
      <c r="Z145" s="1093"/>
      <c r="AD145" s="386"/>
      <c r="AE145" s="797"/>
      <c r="AF145" s="797"/>
      <c r="AG145" s="386"/>
      <c r="AH145" s="386"/>
      <c r="AI145" s="386"/>
      <c r="AJ145" s="797"/>
      <c r="AK145" s="797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65">
        <f>+B145-18</f>
        <v>269.49933333333337</v>
      </c>
      <c r="C146" s="156" t="s">
        <v>69</v>
      </c>
      <c r="O146" s="1093">
        <f>+B144</f>
        <v>1232.1400000000001</v>
      </c>
      <c r="P146" s="1093"/>
      <c r="Q146" s="1093" t="s">
        <v>70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6" t="s">
        <v>71</v>
      </c>
      <c r="AD146" s="386"/>
      <c r="AE146" s="797"/>
      <c r="AF146" s="797"/>
      <c r="AG146" s="386"/>
      <c r="AH146" s="386"/>
      <c r="AI146" s="386"/>
      <c r="AJ146" s="797"/>
      <c r="AK146" s="797"/>
      <c r="AL146" s="386"/>
      <c r="AM146" s="386"/>
      <c r="AN146" s="386"/>
      <c r="AO146" s="386"/>
      <c r="AP146" s="173"/>
      <c r="AQ146" s="173"/>
      <c r="AR146" s="173"/>
      <c r="AS146" s="173"/>
      <c r="AT146" s="173"/>
    </row>
    <row r="147" spans="2:46">
      <c r="B147" s="396">
        <f>+B146/7+0</f>
        <v>38.499904761904766</v>
      </c>
      <c r="C147" s="259" t="s">
        <v>72</v>
      </c>
      <c r="D147" s="260"/>
      <c r="O147" s="1093">
        <f>+O146/30*7</f>
        <v>287.49933333333337</v>
      </c>
      <c r="P147" s="1093"/>
      <c r="Q147" s="1093" t="s">
        <v>73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A147" s="1092">
        <f>+O147*0.87</f>
        <v>250.12442000000001</v>
      </c>
      <c r="AB147" s="1092"/>
      <c r="AD147" s="386"/>
      <c r="AE147" s="261"/>
      <c r="AF147" s="261"/>
      <c r="AG147" s="386"/>
      <c r="AH147" s="386"/>
      <c r="AI147" s="386"/>
      <c r="AJ147" s="261"/>
      <c r="AK147" s="261"/>
      <c r="AL147" s="397"/>
      <c r="AM147" s="397"/>
      <c r="AN147" s="397"/>
      <c r="AO147" s="397"/>
      <c r="AP147" s="398"/>
      <c r="AQ147" s="398"/>
      <c r="AR147" s="173"/>
      <c r="AS147" s="173"/>
      <c r="AT147" s="173"/>
    </row>
    <row r="148" spans="2:46">
      <c r="O148" s="1093">
        <f>+O147/7</f>
        <v>41.071333333333335</v>
      </c>
      <c r="P148" s="1093"/>
      <c r="Q148" s="1093" t="s">
        <v>74</v>
      </c>
      <c r="R148" s="1093"/>
      <c r="S148" s="1093"/>
      <c r="T148" s="1093"/>
      <c r="U148" s="1093"/>
      <c r="V148" s="1093"/>
      <c r="W148" s="1093"/>
      <c r="X148" s="1093"/>
      <c r="Y148" s="1093"/>
      <c r="Z148" s="1093"/>
      <c r="AD148" s="386"/>
      <c r="AE148" s="797"/>
      <c r="AF148" s="797"/>
      <c r="AG148" s="386"/>
      <c r="AH148" s="386"/>
      <c r="AI148" s="386"/>
      <c r="AJ148" s="797"/>
      <c r="AK148" s="797"/>
      <c r="AL148" s="399"/>
      <c r="AM148" s="399"/>
      <c r="AN148" s="397"/>
      <c r="AO148" s="397"/>
      <c r="AP148" s="398"/>
      <c r="AQ148" s="398"/>
      <c r="AR148" s="173"/>
      <c r="AS148" s="173"/>
      <c r="AT148" s="173"/>
    </row>
    <row r="149" spans="2:46" ht="15.75">
      <c r="B149" s="400">
        <f>+B147</f>
        <v>38.499904761904766</v>
      </c>
      <c r="C149" s="262" t="s">
        <v>75</v>
      </c>
      <c r="D149" s="263"/>
      <c r="E149" s="263"/>
      <c r="F149" s="263"/>
      <c r="O149" s="1094">
        <f>(O147-18)/7</f>
        <v>38.499904761904766</v>
      </c>
      <c r="P149" s="1094"/>
      <c r="Q149" s="1094" t="s">
        <v>76</v>
      </c>
      <c r="R149" s="1094"/>
      <c r="S149" s="1094"/>
      <c r="T149" s="1094"/>
      <c r="U149" s="1094"/>
      <c r="V149" s="1094"/>
      <c r="W149" s="1094"/>
      <c r="X149" s="1094"/>
      <c r="Y149" s="1094"/>
      <c r="Z149" s="1094"/>
      <c r="AD149" s="386"/>
      <c r="AE149" s="264"/>
      <c r="AF149" s="264"/>
      <c r="AG149" s="265"/>
      <c r="AH149" s="265"/>
      <c r="AI149" s="265"/>
      <c r="AJ149" s="264"/>
      <c r="AK149" s="264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65">
        <v>3</v>
      </c>
      <c r="C150" s="156" t="s">
        <v>77</v>
      </c>
      <c r="O150" s="1093">
        <v>3</v>
      </c>
      <c r="P150" s="1093"/>
      <c r="Q150" s="1093" t="s">
        <v>78</v>
      </c>
      <c r="R150" s="1093"/>
      <c r="S150" s="1093"/>
      <c r="T150" s="1093"/>
      <c r="U150" s="1093"/>
      <c r="V150" s="1093"/>
      <c r="W150" s="1093"/>
      <c r="X150" s="1093"/>
      <c r="Y150" s="1093"/>
      <c r="Z150" s="1093"/>
      <c r="AD150" s="386"/>
      <c r="AE150" s="386"/>
      <c r="AF150" s="991">
        <v>993814365</v>
      </c>
      <c r="AG150" s="991"/>
      <c r="AH150" s="991"/>
      <c r="AI150" s="991"/>
      <c r="AJ150" s="991"/>
      <c r="AK150" s="386"/>
      <c r="AL150" s="397"/>
      <c r="AM150" s="397"/>
      <c r="AN150" s="397"/>
      <c r="AO150" s="397"/>
      <c r="AP150" s="398"/>
      <c r="AQ150" s="398"/>
      <c r="AR150" s="173"/>
      <c r="AS150" s="173"/>
      <c r="AT150" s="173"/>
    </row>
    <row r="151" spans="2:46">
      <c r="B151" s="396">
        <f>+B150+B149</f>
        <v>41.499904761904766</v>
      </c>
      <c r="C151" s="259" t="s">
        <v>79</v>
      </c>
      <c r="D151" s="266"/>
      <c r="E151" s="267"/>
      <c r="F151" s="268"/>
      <c r="G151" s="266"/>
      <c r="H151" s="266"/>
      <c r="I151" s="268"/>
      <c r="J151" s="266"/>
      <c r="K151" s="269"/>
      <c r="L151" s="269"/>
      <c r="M151" s="260"/>
      <c r="O151" s="1093">
        <f>+O150+O149</f>
        <v>41.499904761904766</v>
      </c>
      <c r="P151" s="1093"/>
      <c r="AD151" s="386"/>
      <c r="AE151" s="797"/>
      <c r="AF151" s="797"/>
      <c r="AG151" s="386"/>
      <c r="AH151" s="386"/>
      <c r="AI151" s="386"/>
      <c r="AJ151" s="797"/>
      <c r="AK151" s="797"/>
      <c r="AL151" s="399"/>
      <c r="AM151" s="399"/>
      <c r="AN151" s="399"/>
      <c r="AO151" s="399"/>
      <c r="AP151" s="401"/>
      <c r="AQ151" s="173"/>
      <c r="AR151" s="173"/>
      <c r="AS151" s="173"/>
      <c r="AT151" s="173"/>
    </row>
    <row r="152" spans="2:46">
      <c r="B152" s="365"/>
      <c r="AD152" s="386"/>
      <c r="AE152" s="402"/>
      <c r="AF152" s="402"/>
      <c r="AG152" s="402"/>
      <c r="AH152" s="386"/>
      <c r="AI152" s="386"/>
      <c r="AJ152" s="402"/>
      <c r="AK152" s="402"/>
      <c r="AL152" s="397"/>
      <c r="AM152" s="386"/>
      <c r="AN152" s="386"/>
      <c r="AO152" s="386"/>
      <c r="AP152" s="173"/>
      <c r="AQ152" s="173"/>
      <c r="AR152" s="173"/>
      <c r="AS152" s="173"/>
      <c r="AT152" s="173"/>
    </row>
    <row r="153" spans="2:46">
      <c r="B153" s="365">
        <f>+B151*6</f>
        <v>248.99942857142861</v>
      </c>
      <c r="C153" s="156" t="s">
        <v>80</v>
      </c>
      <c r="O153" s="1093" t="s">
        <v>81</v>
      </c>
      <c r="P153" s="1093"/>
      <c r="Q153" s="1093"/>
      <c r="R153" s="1093"/>
      <c r="S153" s="1093"/>
      <c r="T153" s="1093"/>
      <c r="U153" s="1093"/>
      <c r="V153" s="1093"/>
      <c r="W153" s="1093"/>
      <c r="X153" s="1093"/>
      <c r="Y153" s="1093"/>
      <c r="Z153" s="1093"/>
      <c r="AD153" s="386"/>
      <c r="AE153" s="386"/>
      <c r="AF153" s="386"/>
      <c r="AG153" s="386"/>
      <c r="AH153" s="386"/>
      <c r="AI153" s="397"/>
      <c r="AJ153" s="397"/>
      <c r="AK153" s="399"/>
      <c r="AL153" s="785"/>
      <c r="AM153" s="797"/>
      <c r="AN153" s="785"/>
      <c r="AO153" s="386"/>
      <c r="AP153" s="173"/>
      <c r="AQ153" s="173"/>
      <c r="AR153" s="173"/>
      <c r="AS153" s="173"/>
      <c r="AT153" s="173"/>
    </row>
    <row r="154" spans="2:46">
      <c r="B154" s="403">
        <f>+B149</f>
        <v>38.499904761904766</v>
      </c>
      <c r="C154" s="270" t="s">
        <v>82</v>
      </c>
      <c r="D154" s="271"/>
      <c r="E154" s="272"/>
      <c r="F154" s="273"/>
      <c r="G154" s="271"/>
      <c r="H154" s="271"/>
      <c r="I154" s="273"/>
      <c r="J154" s="271"/>
      <c r="K154" s="274"/>
      <c r="L154" s="275"/>
      <c r="O154" s="1093">
        <f>+O146*1.1</f>
        <v>1355.3540000000003</v>
      </c>
      <c r="P154" s="1093"/>
      <c r="Q154" s="1093" t="s">
        <v>70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6" t="s">
        <v>83</v>
      </c>
      <c r="AG154" s="173"/>
      <c r="AH154" s="173"/>
      <c r="AI154" s="398"/>
      <c r="AJ154" s="398"/>
      <c r="AK154" s="398"/>
      <c r="AL154" s="173"/>
      <c r="AM154" s="173"/>
      <c r="AN154" s="173"/>
      <c r="AO154" s="173"/>
    </row>
    <row r="155" spans="2:46">
      <c r="B155" s="396">
        <f>+B154+B153</f>
        <v>287.49933333333337</v>
      </c>
      <c r="C155" s="259" t="s">
        <v>84</v>
      </c>
      <c r="D155" s="266"/>
      <c r="E155" s="267"/>
      <c r="F155" s="268"/>
      <c r="G155" s="266"/>
      <c r="H155" s="266"/>
      <c r="I155" s="268"/>
      <c r="J155" s="266"/>
      <c r="K155" s="276"/>
      <c r="L155" s="275"/>
      <c r="O155" s="1093">
        <f>+O154/30*7</f>
        <v>316.2492666666667</v>
      </c>
      <c r="P155" s="1093"/>
      <c r="Q155" s="1093" t="s">
        <v>73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A155" s="1092">
        <f>+O155*0.87</f>
        <v>275.13686200000001</v>
      </c>
      <c r="AB155" s="1092"/>
      <c r="AG155" s="173"/>
      <c r="AH155" s="173"/>
      <c r="AI155" s="398"/>
      <c r="AJ155" s="398"/>
      <c r="AK155" s="277"/>
      <c r="AL155" s="173"/>
      <c r="AM155" s="173"/>
      <c r="AN155" s="173"/>
      <c r="AO155" s="173"/>
    </row>
    <row r="156" spans="2:46">
      <c r="B156" s="404"/>
      <c r="C156" s="278"/>
      <c r="D156" s="226"/>
      <c r="E156" s="279"/>
      <c r="F156" s="280"/>
      <c r="G156" s="226"/>
      <c r="H156" s="226"/>
      <c r="I156" s="280"/>
      <c r="J156" s="226"/>
      <c r="K156" s="275"/>
      <c r="L156" s="275"/>
      <c r="O156" s="1093">
        <f>+O155/7</f>
        <v>45.178466666666672</v>
      </c>
      <c r="P156" s="1093"/>
      <c r="Q156" s="1093" t="s">
        <v>74</v>
      </c>
      <c r="R156" s="1093"/>
      <c r="S156" s="1093"/>
      <c r="T156" s="1093"/>
      <c r="U156" s="1093"/>
      <c r="V156" s="1093"/>
      <c r="W156" s="1093"/>
      <c r="X156" s="1093"/>
      <c r="Y156" s="1093"/>
      <c r="Z156" s="1093"/>
      <c r="AG156" s="173"/>
      <c r="AH156" s="173"/>
      <c r="AI156" s="281"/>
      <c r="AJ156" s="282"/>
      <c r="AK156" s="277"/>
      <c r="AL156" s="173"/>
      <c r="AM156" s="173"/>
      <c r="AN156" s="173"/>
      <c r="AO156" s="173"/>
    </row>
    <row r="157" spans="2:46" ht="15.75">
      <c r="B157" s="405">
        <f>+B155/7</f>
        <v>41.071333333333335</v>
      </c>
      <c r="C157" s="283" t="s">
        <v>85</v>
      </c>
      <c r="D157" s="284"/>
      <c r="E157" s="285"/>
      <c r="F157" s="286"/>
      <c r="G157" s="287"/>
      <c r="H157" s="287"/>
      <c r="I157" s="280"/>
      <c r="J157" s="226"/>
      <c r="K157" s="275"/>
      <c r="L157" s="275"/>
      <c r="O157" s="1094">
        <f>(O155-18)/7</f>
        <v>42.607038095238103</v>
      </c>
      <c r="P157" s="1094"/>
      <c r="Q157" s="1094" t="s">
        <v>76</v>
      </c>
      <c r="R157" s="1094"/>
      <c r="S157" s="1094"/>
      <c r="T157" s="1094"/>
      <c r="U157" s="1094"/>
      <c r="V157" s="1094"/>
      <c r="W157" s="1094"/>
      <c r="X157" s="1094"/>
      <c r="Y157" s="1094"/>
      <c r="Z157" s="1094"/>
      <c r="AG157" s="173"/>
      <c r="AH157" s="173"/>
      <c r="AI157" s="173"/>
      <c r="AJ157" s="173"/>
      <c r="AK157" s="277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v>3</v>
      </c>
      <c r="P158" s="1093"/>
      <c r="Q158" s="1093" t="s">
        <v>78</v>
      </c>
      <c r="R158" s="1093"/>
      <c r="S158" s="1093"/>
      <c r="T158" s="1093"/>
      <c r="U158" s="1093"/>
      <c r="V158" s="1093"/>
      <c r="W158" s="1093"/>
      <c r="X158" s="1093"/>
      <c r="Y158" s="1093"/>
      <c r="Z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404"/>
      <c r="C159" s="278"/>
      <c r="D159" s="226"/>
      <c r="E159" s="279"/>
      <c r="F159" s="280"/>
      <c r="G159" s="226"/>
      <c r="H159" s="226"/>
      <c r="I159" s="280"/>
      <c r="J159" s="226"/>
      <c r="K159" s="275"/>
      <c r="L159" s="275"/>
      <c r="O159" s="1093">
        <f>+O158+O157</f>
        <v>45.607038095238103</v>
      </c>
      <c r="P159" s="109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B160" s="365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26.25" thickBot="1">
      <c r="B163" s="256" t="s">
        <v>86</v>
      </c>
      <c r="H163" s="1124">
        <v>42736</v>
      </c>
      <c r="I163" s="1124"/>
      <c r="J163" s="1124"/>
      <c r="K163" s="1124"/>
      <c r="L163" s="1124"/>
      <c r="M163" s="1124"/>
      <c r="N163" s="1124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2:46" ht="16.5" thickBot="1">
      <c r="B164" s="395">
        <v>850</v>
      </c>
      <c r="C164" s="156" t="s">
        <v>66</v>
      </c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 ht="15.75">
      <c r="B165" s="365">
        <f>+B164/30*7</f>
        <v>198.33333333333331</v>
      </c>
      <c r="C165" s="156" t="s">
        <v>67</v>
      </c>
      <c r="D165" s="258"/>
      <c r="O165" s="1093" t="s">
        <v>68</v>
      </c>
      <c r="P165" s="1093"/>
      <c r="Q165" s="1093"/>
      <c r="R165" s="1093"/>
      <c r="S165" s="1093"/>
      <c r="T165" s="1093"/>
      <c r="U165" s="1093"/>
      <c r="V165" s="1093"/>
      <c r="W165" s="1093"/>
      <c r="X165" s="1093"/>
      <c r="Y165" s="1093"/>
      <c r="Z165" s="1093"/>
      <c r="AD165" s="386"/>
      <c r="AE165" s="797"/>
      <c r="AF165" s="797"/>
      <c r="AG165" s="386"/>
      <c r="AH165" s="386"/>
      <c r="AI165" s="386"/>
      <c r="AJ165" s="797"/>
      <c r="AK165" s="797"/>
      <c r="AL165" s="386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65">
        <f>+B165-18</f>
        <v>180.33333333333331</v>
      </c>
      <c r="C166" s="156" t="s">
        <v>69</v>
      </c>
      <c r="O166" s="1093">
        <f>+B164</f>
        <v>850</v>
      </c>
      <c r="P166" s="1093"/>
      <c r="Q166" s="1093" t="s">
        <v>70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6" t="s">
        <v>71</v>
      </c>
      <c r="AD166" s="406" t="s">
        <v>87</v>
      </c>
      <c r="AE166" s="288"/>
      <c r="AF166" s="288"/>
      <c r="AG166" s="1122">
        <v>233.32</v>
      </c>
      <c r="AH166" s="1122"/>
      <c r="AI166" s="289"/>
      <c r="AJ166" s="1123">
        <f>233.32-AG166</f>
        <v>0</v>
      </c>
      <c r="AK166" s="1123"/>
      <c r="AL166" s="290"/>
      <c r="AM166" s="386"/>
      <c r="AN166" s="386"/>
      <c r="AO166" s="386"/>
      <c r="AP166" s="173"/>
      <c r="AQ166" s="173"/>
      <c r="AR166" s="173"/>
      <c r="AS166" s="173"/>
      <c r="AT166" s="173"/>
    </row>
    <row r="167" spans="2:46">
      <c r="B167" s="396">
        <f>+B166/7</f>
        <v>25.761904761904759</v>
      </c>
      <c r="C167" s="259" t="s">
        <v>72</v>
      </c>
      <c r="D167" s="260"/>
      <c r="O167" s="1093">
        <f>+O166/30*7</f>
        <v>198.33333333333331</v>
      </c>
      <c r="P167" s="1093"/>
      <c r="Q167" s="1093" t="s">
        <v>73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A167" s="1092">
        <f>+O167*0.87</f>
        <v>172.54999999999998</v>
      </c>
      <c r="AB167" s="1092"/>
      <c r="AD167" s="407" t="s">
        <v>88</v>
      </c>
      <c r="AE167" s="291"/>
      <c r="AF167" s="291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8"/>
      <c r="AM167" s="397"/>
      <c r="AN167" s="397"/>
      <c r="AO167" s="397"/>
      <c r="AP167" s="398"/>
      <c r="AQ167" s="398"/>
      <c r="AR167" s="173"/>
      <c r="AS167" s="173"/>
      <c r="AT167" s="173"/>
    </row>
    <row r="168" spans="2:46">
      <c r="O168" s="1093">
        <f>+O167/7</f>
        <v>28.333333333333332</v>
      </c>
      <c r="P168" s="1093"/>
      <c r="Q168" s="1093" t="s">
        <v>74</v>
      </c>
      <c r="R168" s="1093"/>
      <c r="S168" s="1093"/>
      <c r="T168" s="1093"/>
      <c r="U168" s="1093"/>
      <c r="V168" s="1093"/>
      <c r="W168" s="1093"/>
      <c r="X168" s="1093"/>
      <c r="Y168" s="1093"/>
      <c r="Z168" s="1093"/>
      <c r="AD168" s="407" t="s">
        <v>89</v>
      </c>
      <c r="AE168" s="293"/>
      <c r="AF168" s="293"/>
      <c r="AG168" s="1118">
        <f>218.15-19.83</f>
        <v>198.32</v>
      </c>
      <c r="AH168" s="1118"/>
      <c r="AI168" s="292"/>
      <c r="AJ168" s="1119">
        <f>233.32-AG168</f>
        <v>35</v>
      </c>
      <c r="AK168" s="1119"/>
      <c r="AL168" s="409"/>
      <c r="AM168" s="399"/>
      <c r="AN168" s="397"/>
      <c r="AO168" s="397"/>
      <c r="AP168" s="398"/>
      <c r="AQ168" s="398"/>
      <c r="AR168" s="173"/>
      <c r="AS168" s="173"/>
      <c r="AT168" s="173"/>
    </row>
    <row r="169" spans="2:46" ht="15.75">
      <c r="B169" s="400">
        <f>+B167</f>
        <v>25.761904761904759</v>
      </c>
      <c r="C169" s="262" t="s">
        <v>75</v>
      </c>
      <c r="D169" s="263"/>
      <c r="E169" s="263"/>
      <c r="F169" s="263"/>
      <c r="O169" s="1094">
        <f>(O167-18)/7</f>
        <v>25.761904761904759</v>
      </c>
      <c r="P169" s="1094"/>
      <c r="Q169" s="1094" t="s">
        <v>76</v>
      </c>
      <c r="R169" s="1094"/>
      <c r="S169" s="1094"/>
      <c r="T169" s="1094"/>
      <c r="U169" s="1094"/>
      <c r="V169" s="1094"/>
      <c r="W169" s="1094"/>
      <c r="X169" s="1094"/>
      <c r="Y169" s="1094"/>
      <c r="Z169" s="1094"/>
      <c r="AD169" s="407" t="s">
        <v>90</v>
      </c>
      <c r="AE169" s="294"/>
      <c r="AF169" s="294"/>
      <c r="AG169" s="1118">
        <f>228.07-29.75</f>
        <v>198.32</v>
      </c>
      <c r="AH169" s="1118"/>
      <c r="AI169" s="295"/>
      <c r="AJ169" s="1119">
        <f>233.32-AG169</f>
        <v>35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65">
        <v>3</v>
      </c>
      <c r="C170" s="156" t="s">
        <v>77</v>
      </c>
      <c r="O170" s="1093">
        <v>3</v>
      </c>
      <c r="P170" s="1093"/>
      <c r="Q170" s="1093" t="s">
        <v>78</v>
      </c>
      <c r="R170" s="1093"/>
      <c r="S170" s="1093"/>
      <c r="T170" s="1093"/>
      <c r="U170" s="1093"/>
      <c r="V170" s="1093"/>
      <c r="W170" s="1093"/>
      <c r="X170" s="1093"/>
      <c r="Y170" s="1093"/>
      <c r="Z170" s="1093"/>
      <c r="AD170" s="407" t="s">
        <v>91</v>
      </c>
      <c r="AE170" s="292"/>
      <c r="AF170" s="294"/>
      <c r="AG170" s="1118">
        <f>208.24-9.92</f>
        <v>198.32000000000002</v>
      </c>
      <c r="AH170" s="1118"/>
      <c r="AI170" s="295"/>
      <c r="AJ170" s="1119">
        <f>233.32-AG170</f>
        <v>34.999999999999972</v>
      </c>
      <c r="AK170" s="1119"/>
      <c r="AL170" s="408"/>
      <c r="AM170" s="397"/>
      <c r="AN170" s="397"/>
      <c r="AO170" s="397"/>
      <c r="AP170" s="398"/>
      <c r="AQ170" s="398"/>
      <c r="AR170" s="173"/>
      <c r="AS170" s="173"/>
      <c r="AT170" s="173"/>
    </row>
    <row r="171" spans="2:46">
      <c r="B171" s="396">
        <f>+B170+B169</f>
        <v>28.761904761904759</v>
      </c>
      <c r="C171" s="259" t="s">
        <v>79</v>
      </c>
      <c r="D171" s="266"/>
      <c r="E171" s="267"/>
      <c r="F171" s="268"/>
      <c r="G171" s="266"/>
      <c r="H171" s="266"/>
      <c r="I171" s="268"/>
      <c r="J171" s="266"/>
      <c r="K171" s="269"/>
      <c r="L171" s="269"/>
      <c r="M171" s="260"/>
      <c r="O171" s="1093">
        <f>+O170+O169</f>
        <v>28.761904761904759</v>
      </c>
      <c r="P171" s="1093"/>
      <c r="AD171" s="296"/>
      <c r="AE171" s="293"/>
      <c r="AF171" s="293"/>
      <c r="AG171" s="297" t="s">
        <v>92</v>
      </c>
      <c r="AH171" s="298"/>
      <c r="AI171" s="292"/>
      <c r="AJ171" s="293"/>
      <c r="AK171" s="1120">
        <f>SUM(AJ166:AK170)</f>
        <v>139.99999999999997</v>
      </c>
      <c r="AL171" s="1121"/>
      <c r="AM171" s="399"/>
      <c r="AN171" s="399"/>
      <c r="AO171" s="399"/>
      <c r="AP171" s="401"/>
      <c r="AQ171" s="173"/>
      <c r="AR171" s="173"/>
      <c r="AS171" s="173"/>
      <c r="AT171" s="173"/>
    </row>
    <row r="172" spans="2:46">
      <c r="B172" s="365"/>
      <c r="AD172" s="299"/>
      <c r="AE172" s="410"/>
      <c r="AF172" s="410"/>
      <c r="AG172" s="300"/>
      <c r="AH172" s="301"/>
      <c r="AI172" s="411" t="s">
        <v>93</v>
      </c>
      <c r="AJ172" s="410"/>
      <c r="AK172" s="410"/>
      <c r="AL172" s="412"/>
      <c r="AM172" s="386"/>
      <c r="AN172" s="386"/>
      <c r="AO172" s="386"/>
      <c r="AP172" s="173"/>
      <c r="AQ172" s="173"/>
      <c r="AR172" s="173"/>
      <c r="AS172" s="173"/>
      <c r="AT172" s="173"/>
    </row>
    <row r="173" spans="2:46">
      <c r="B173" s="365">
        <f>+B171*6</f>
        <v>172.57142857142856</v>
      </c>
      <c r="C173" s="156" t="s">
        <v>80</v>
      </c>
      <c r="O173" s="1093" t="s">
        <v>81</v>
      </c>
      <c r="P173" s="1093"/>
      <c r="Q173" s="1093"/>
      <c r="R173" s="1093"/>
      <c r="S173" s="1093"/>
      <c r="T173" s="1093"/>
      <c r="U173" s="1093"/>
      <c r="V173" s="1093"/>
      <c r="W173" s="1093"/>
      <c r="X173" s="1093"/>
      <c r="Y173" s="1093"/>
      <c r="Z173" s="1093"/>
      <c r="AD173" s="386"/>
      <c r="AE173" s="386"/>
      <c r="AF173" s="386"/>
      <c r="AG173" s="386"/>
      <c r="AH173" s="386"/>
      <c r="AI173" s="397"/>
      <c r="AJ173" s="397"/>
      <c r="AK173" s="399"/>
      <c r="AL173" s="785"/>
      <c r="AM173" s="797"/>
      <c r="AN173" s="785"/>
      <c r="AO173" s="386"/>
      <c r="AP173" s="173"/>
      <c r="AQ173" s="173"/>
      <c r="AR173" s="173"/>
      <c r="AS173" s="173"/>
      <c r="AT173" s="173"/>
    </row>
    <row r="174" spans="2:46">
      <c r="B174" s="403">
        <f>+B169</f>
        <v>25.761904761904759</v>
      </c>
      <c r="C174" s="270" t="s">
        <v>82</v>
      </c>
      <c r="D174" s="271"/>
      <c r="E174" s="272"/>
      <c r="F174" s="273"/>
      <c r="G174" s="271"/>
      <c r="H174" s="271"/>
      <c r="I174" s="273"/>
      <c r="J174" s="271"/>
      <c r="K174" s="274"/>
      <c r="L174" s="275"/>
      <c r="O174" s="1093">
        <f>+O166*1.1</f>
        <v>935.00000000000011</v>
      </c>
      <c r="P174" s="1093"/>
      <c r="Q174" s="1093" t="s">
        <v>70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6" t="s">
        <v>83</v>
      </c>
      <c r="AG174" s="173"/>
      <c r="AH174" s="173"/>
      <c r="AI174" s="398"/>
      <c r="AJ174" s="398"/>
      <c r="AK174" s="398"/>
      <c r="AL174" s="173"/>
      <c r="AM174" s="173"/>
      <c r="AN174" s="173"/>
      <c r="AO174" s="173"/>
    </row>
    <row r="175" spans="2:46">
      <c r="B175" s="396">
        <f>+B174+B173</f>
        <v>198.33333333333331</v>
      </c>
      <c r="C175" s="259" t="s">
        <v>84</v>
      </c>
      <c r="D175" s="266"/>
      <c r="E175" s="267"/>
      <c r="F175" s="268"/>
      <c r="G175" s="266"/>
      <c r="H175" s="266"/>
      <c r="I175" s="268"/>
      <c r="J175" s="266"/>
      <c r="K175" s="276"/>
      <c r="L175" s="275"/>
      <c r="O175" s="1093">
        <f>+O174/30*7</f>
        <v>218.16666666666669</v>
      </c>
      <c r="P175" s="1093"/>
      <c r="Q175" s="1093" t="s">
        <v>73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A175" s="1092">
        <f>+O175*0.87</f>
        <v>189.80500000000001</v>
      </c>
      <c r="AB175" s="1092"/>
      <c r="AG175" s="173"/>
      <c r="AH175" s="173"/>
      <c r="AI175" s="398"/>
      <c r="AJ175" s="398"/>
      <c r="AK175" s="277"/>
      <c r="AL175" s="173"/>
      <c r="AM175" s="173"/>
      <c r="AN175" s="173"/>
      <c r="AO175" s="173"/>
    </row>
    <row r="176" spans="2:46">
      <c r="B176" s="404"/>
      <c r="C176" s="278"/>
      <c r="D176" s="226"/>
      <c r="E176" s="279"/>
      <c r="F176" s="280"/>
      <c r="G176" s="226"/>
      <c r="H176" s="226"/>
      <c r="I176" s="280"/>
      <c r="J176" s="226"/>
      <c r="K176" s="275"/>
      <c r="L176" s="275"/>
      <c r="O176" s="1093">
        <f>+O175/7</f>
        <v>31.166666666666668</v>
      </c>
      <c r="P176" s="1093"/>
      <c r="Q176" s="1093" t="s">
        <v>74</v>
      </c>
      <c r="R176" s="1093"/>
      <c r="S176" s="1093"/>
      <c r="T176" s="1093"/>
      <c r="U176" s="1093"/>
      <c r="V176" s="1093"/>
      <c r="W176" s="1093"/>
      <c r="X176" s="1093"/>
      <c r="Y176" s="1093"/>
      <c r="Z176" s="1093"/>
      <c r="AG176" s="173"/>
      <c r="AH176" s="173"/>
      <c r="AI176" s="281"/>
      <c r="AJ176" s="282"/>
      <c r="AK176" s="277"/>
      <c r="AL176" s="173"/>
      <c r="AM176" s="173"/>
      <c r="AN176" s="173"/>
      <c r="AO176" s="173"/>
    </row>
    <row r="177" spans="2:46">
      <c r="B177" s="413">
        <f>+B175/7</f>
        <v>28.333333333333332</v>
      </c>
      <c r="C177" s="302" t="s">
        <v>85</v>
      </c>
      <c r="F177" s="280"/>
      <c r="G177" s="226"/>
      <c r="H177" s="226"/>
      <c r="I177" s="280"/>
      <c r="J177" s="226"/>
      <c r="K177" s="275"/>
      <c r="L177" s="275"/>
      <c r="O177" s="1094">
        <f>(O175-18)/7</f>
        <v>28.595238095238098</v>
      </c>
      <c r="P177" s="1094"/>
      <c r="Q177" s="1094" t="s">
        <v>76</v>
      </c>
      <c r="R177" s="1094"/>
      <c r="S177" s="1094"/>
      <c r="T177" s="1094"/>
      <c r="U177" s="1094"/>
      <c r="V177" s="1094"/>
      <c r="W177" s="1094"/>
      <c r="X177" s="1094"/>
      <c r="Y177" s="1094"/>
      <c r="Z177" s="1094"/>
      <c r="AG177" s="173"/>
      <c r="AH177" s="173"/>
      <c r="AI177" s="173"/>
      <c r="AJ177" s="173"/>
      <c r="AK177" s="277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v>3</v>
      </c>
      <c r="P178" s="1093"/>
      <c r="Q178" s="1093" t="s">
        <v>78</v>
      </c>
      <c r="R178" s="1093"/>
      <c r="S178" s="1093"/>
      <c r="T178" s="1093"/>
      <c r="U178" s="1093"/>
      <c r="V178" s="1093"/>
      <c r="W178" s="1093"/>
      <c r="X178" s="1093"/>
      <c r="Y178" s="1093"/>
      <c r="Z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404"/>
      <c r="C179" s="278"/>
      <c r="D179" s="226"/>
      <c r="E179" s="279"/>
      <c r="F179" s="280"/>
      <c r="G179" s="226"/>
      <c r="H179" s="226"/>
      <c r="I179" s="280"/>
      <c r="J179" s="226"/>
      <c r="K179" s="275"/>
      <c r="L179" s="275"/>
      <c r="O179" s="1093">
        <f>+O178+O177</f>
        <v>31.595238095238098</v>
      </c>
      <c r="P179" s="109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B180" s="365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5.75" thickBot="1"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2:46" ht="17.25" thickTop="1" thickBot="1">
      <c r="B183" s="628">
        <f>850+80</f>
        <v>930</v>
      </c>
      <c r="C183" s="629" t="s">
        <v>66</v>
      </c>
      <c r="D183" s="630"/>
      <c r="E183" s="631" t="s">
        <v>129</v>
      </c>
      <c r="F183" s="632"/>
      <c r="G183" s="630"/>
      <c r="H183" s="630"/>
      <c r="I183" s="632"/>
      <c r="J183" s="630"/>
      <c r="K183" s="633"/>
      <c r="L183" s="633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4"/>
      <c r="AB183" s="634"/>
      <c r="AC183" s="635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 ht="15.75">
      <c r="B184" s="636">
        <f>+B183/30*7</f>
        <v>217</v>
      </c>
      <c r="C184" s="278" t="s">
        <v>67</v>
      </c>
      <c r="D184" s="309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 t="s">
        <v>68</v>
      </c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/>
      <c r="AB184" s="104"/>
      <c r="AC184" s="637"/>
      <c r="AD184" s="386"/>
      <c r="AE184" s="797"/>
      <c r="AF184" s="797"/>
      <c r="AG184" s="386"/>
      <c r="AH184" s="386"/>
      <c r="AI184" s="386"/>
      <c r="AJ184" s="797"/>
      <c r="AK184" s="797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6">
        <f>+B184-18</f>
        <v>199</v>
      </c>
      <c r="C185" s="278" t="s">
        <v>69</v>
      </c>
      <c r="D185" s="226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+B183</f>
        <v>930</v>
      </c>
      <c r="P185" s="1093"/>
      <c r="Q185" s="1093" t="s">
        <v>70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4" t="s">
        <v>71</v>
      </c>
      <c r="AB185" s="104"/>
      <c r="AC185" s="637"/>
      <c r="AD185" s="386"/>
      <c r="AE185" s="797"/>
      <c r="AF185" s="797"/>
      <c r="AG185" s="386"/>
      <c r="AH185" s="386"/>
      <c r="AI185" s="386"/>
      <c r="AJ185" s="797"/>
      <c r="AK185" s="797"/>
      <c r="AL185" s="386"/>
      <c r="AM185" s="386"/>
      <c r="AN185" s="386"/>
      <c r="AO185" s="386"/>
      <c r="AP185" s="173"/>
      <c r="AQ185" s="173"/>
      <c r="AR185" s="173"/>
      <c r="AS185" s="173"/>
      <c r="AT185" s="173"/>
    </row>
    <row r="186" spans="2:46">
      <c r="B186" s="638">
        <f>+B185/7</f>
        <v>28.428571428571427</v>
      </c>
      <c r="C186" s="259" t="s">
        <v>72</v>
      </c>
      <c r="D186" s="260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+O185/30*7</f>
        <v>217</v>
      </c>
      <c r="P186" s="1093"/>
      <c r="Q186" s="1093" t="s">
        <v>73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2">
        <f>+O186*0.87</f>
        <v>188.79</v>
      </c>
      <c r="AB186" s="1092"/>
      <c r="AC186" s="637"/>
      <c r="AD186" s="386"/>
      <c r="AE186" s="261"/>
      <c r="AF186" s="261"/>
      <c r="AG186" s="386"/>
      <c r="AH186" s="386"/>
      <c r="AI186" s="386"/>
      <c r="AJ186" s="261"/>
      <c r="AK186" s="261"/>
      <c r="AL186" s="397"/>
      <c r="AM186" s="397"/>
      <c r="AN186" s="397"/>
      <c r="AO186" s="397"/>
      <c r="AP186" s="398"/>
      <c r="AQ186" s="398"/>
      <c r="AR186" s="173"/>
      <c r="AS186" s="173"/>
      <c r="AT186" s="173"/>
    </row>
    <row r="187" spans="2:46">
      <c r="B187" s="639"/>
      <c r="C187" s="226"/>
      <c r="D187" s="226"/>
      <c r="E187" s="279"/>
      <c r="F187" s="280"/>
      <c r="G187" s="226"/>
      <c r="H187" s="226"/>
      <c r="I187" s="280"/>
      <c r="J187" s="226"/>
      <c r="K187" s="275"/>
      <c r="L187" s="275"/>
      <c r="M187" s="226"/>
      <c r="N187" s="226"/>
      <c r="O187" s="1093">
        <f>+O186/7</f>
        <v>31</v>
      </c>
      <c r="P187" s="1093"/>
      <c r="Q187" s="1093" t="s">
        <v>74</v>
      </c>
      <c r="R187" s="1093"/>
      <c r="S187" s="1093"/>
      <c r="T187" s="1093"/>
      <c r="U187" s="1093"/>
      <c r="V187" s="1093"/>
      <c r="W187" s="1093"/>
      <c r="X187" s="1093"/>
      <c r="Y187" s="1093"/>
      <c r="Z187" s="1093"/>
      <c r="AA187" s="104"/>
      <c r="AB187" s="104"/>
      <c r="AC187" s="637"/>
      <c r="AD187" s="386"/>
      <c r="AE187" s="797"/>
      <c r="AF187" s="797"/>
      <c r="AG187" s="386"/>
      <c r="AH187" s="386"/>
      <c r="AI187" s="386"/>
      <c r="AJ187" s="797"/>
      <c r="AK187" s="797"/>
      <c r="AL187" s="399"/>
      <c r="AM187" s="399"/>
      <c r="AN187" s="397"/>
      <c r="AO187" s="397"/>
      <c r="AP187" s="398"/>
      <c r="AQ187" s="398"/>
      <c r="AR187" s="173"/>
      <c r="AS187" s="173"/>
      <c r="AT187" s="173"/>
    </row>
    <row r="188" spans="2:46" ht="15.75">
      <c r="B188" s="756">
        <f>+B186</f>
        <v>28.428571428571427</v>
      </c>
      <c r="C188" s="312" t="s">
        <v>75</v>
      </c>
      <c r="D188" s="286"/>
      <c r="E188" s="286"/>
      <c r="F188" s="286"/>
      <c r="G188" s="226"/>
      <c r="H188" s="226"/>
      <c r="I188" s="280"/>
      <c r="J188" s="226"/>
      <c r="K188" s="275"/>
      <c r="L188" s="275"/>
      <c r="M188" s="226"/>
      <c r="N188" s="226"/>
      <c r="O188" s="1094">
        <f>(O186-18)/7</f>
        <v>28.428571428571427</v>
      </c>
      <c r="P188" s="1094"/>
      <c r="Q188" s="1094" t="s">
        <v>76</v>
      </c>
      <c r="R188" s="1094"/>
      <c r="S188" s="1094"/>
      <c r="T188" s="1094"/>
      <c r="U188" s="1094"/>
      <c r="V188" s="1094"/>
      <c r="W188" s="1094"/>
      <c r="X188" s="1094"/>
      <c r="Y188" s="1094"/>
      <c r="Z188" s="1094"/>
      <c r="AA188" s="104"/>
      <c r="AB188" s="104"/>
      <c r="AC188" s="637"/>
      <c r="AD188" s="386"/>
      <c r="AE188" s="264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6">
        <v>3</v>
      </c>
      <c r="C189" s="278" t="s">
        <v>77</v>
      </c>
      <c r="D189" s="226"/>
      <c r="E189" s="279"/>
      <c r="F189" s="280"/>
      <c r="G189" s="226"/>
      <c r="H189" s="226"/>
      <c r="I189" s="280"/>
      <c r="J189" s="226"/>
      <c r="K189" s="275"/>
      <c r="L189" s="275"/>
      <c r="M189" s="226"/>
      <c r="N189" s="226"/>
      <c r="O189" s="1093">
        <v>3</v>
      </c>
      <c r="P189" s="1093"/>
      <c r="Q189" s="1093" t="s">
        <v>78</v>
      </c>
      <c r="R189" s="1093"/>
      <c r="S189" s="1093"/>
      <c r="T189" s="1093"/>
      <c r="U189" s="1093"/>
      <c r="V189" s="1093"/>
      <c r="W189" s="1093"/>
      <c r="X189" s="1093"/>
      <c r="Y189" s="1093"/>
      <c r="Z189" s="1093"/>
      <c r="AA189" s="104"/>
      <c r="AB189" s="104"/>
      <c r="AC189" s="637"/>
      <c r="AD189" s="386"/>
      <c r="AE189" s="386"/>
      <c r="AF189" s="264"/>
      <c r="AG189" s="265"/>
      <c r="AH189" s="265"/>
      <c r="AI189" s="265"/>
      <c r="AJ189" s="264"/>
      <c r="AK189" s="264"/>
      <c r="AL189" s="397"/>
      <c r="AM189" s="397"/>
      <c r="AN189" s="397"/>
      <c r="AO189" s="397"/>
      <c r="AP189" s="398"/>
      <c r="AQ189" s="398"/>
      <c r="AR189" s="173"/>
      <c r="AS189" s="173"/>
      <c r="AT189" s="173"/>
    </row>
    <row r="190" spans="2:46">
      <c r="B190" s="638">
        <f>+B189+B188</f>
        <v>31.428571428571427</v>
      </c>
      <c r="C190" s="259" t="s">
        <v>79</v>
      </c>
      <c r="D190" s="266"/>
      <c r="E190" s="267"/>
      <c r="F190" s="268"/>
      <c r="G190" s="266"/>
      <c r="H190" s="266"/>
      <c r="I190" s="268"/>
      <c r="J190" s="266"/>
      <c r="K190" s="269"/>
      <c r="L190" s="269"/>
      <c r="M190" s="260"/>
      <c r="N190" s="226"/>
      <c r="O190" s="1093">
        <f>+O189+O188</f>
        <v>31.428571428571427</v>
      </c>
      <c r="P190" s="1093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797"/>
      <c r="AF190" s="797"/>
      <c r="AG190" s="386"/>
      <c r="AH190" s="386"/>
      <c r="AI190" s="386"/>
      <c r="AJ190" s="797"/>
      <c r="AK190" s="797"/>
      <c r="AL190" s="399"/>
      <c r="AM190" s="399"/>
      <c r="AN190" s="399"/>
      <c r="AO190" s="399"/>
      <c r="AP190" s="401"/>
      <c r="AQ190" s="173"/>
      <c r="AR190" s="173"/>
      <c r="AS190" s="173"/>
      <c r="AT190" s="173"/>
    </row>
    <row r="191" spans="2:46">
      <c r="B191" s="636"/>
      <c r="C191" s="226"/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104"/>
      <c r="AB191" s="104"/>
      <c r="AC191" s="637"/>
      <c r="AD191" s="386"/>
      <c r="AE191" s="402"/>
      <c r="AF191" s="402"/>
      <c r="AG191" s="402"/>
      <c r="AH191" s="386"/>
      <c r="AI191" s="386"/>
      <c r="AJ191" s="402"/>
      <c r="AK191" s="402"/>
      <c r="AL191" s="397"/>
      <c r="AM191" s="386"/>
      <c r="AN191" s="386"/>
      <c r="AO191" s="386"/>
      <c r="AP191" s="173"/>
      <c r="AQ191" s="173"/>
      <c r="AR191" s="173"/>
      <c r="AS191" s="173"/>
      <c r="AT191" s="173"/>
    </row>
    <row r="192" spans="2:46">
      <c r="B192" s="636">
        <f>+B190*6</f>
        <v>188.57142857142856</v>
      </c>
      <c r="C192" s="278" t="s">
        <v>80</v>
      </c>
      <c r="D192" s="226"/>
      <c r="E192" s="279"/>
      <c r="F192" s="280"/>
      <c r="G192" s="226"/>
      <c r="H192" s="226"/>
      <c r="I192" s="280"/>
      <c r="J192" s="226"/>
      <c r="K192" s="275"/>
      <c r="L192" s="275"/>
      <c r="M192" s="226"/>
      <c r="N192" s="226"/>
      <c r="O192" s="1093" t="s">
        <v>81</v>
      </c>
      <c r="P192" s="1093"/>
      <c r="Q192" s="1093"/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/>
      <c r="AB192" s="104"/>
      <c r="AC192" s="637"/>
      <c r="AD192" s="386"/>
      <c r="AE192" s="386"/>
      <c r="AF192" s="386"/>
      <c r="AG192" s="386"/>
      <c r="AH192" s="386"/>
      <c r="AI192" s="397"/>
      <c r="AJ192" s="397"/>
      <c r="AK192" s="399"/>
      <c r="AL192" s="785"/>
      <c r="AM192" s="797"/>
      <c r="AN192" s="785"/>
      <c r="AO192" s="386"/>
      <c r="AP192" s="173"/>
      <c r="AQ192" s="173"/>
      <c r="AR192" s="173"/>
      <c r="AS192" s="173"/>
      <c r="AT192" s="173"/>
    </row>
    <row r="193" spans="1:50">
      <c r="B193" s="641">
        <f>+B188</f>
        <v>28.428571428571427</v>
      </c>
      <c r="C193" s="270" t="s">
        <v>82</v>
      </c>
      <c r="D193" s="271"/>
      <c r="E193" s="272"/>
      <c r="F193" s="273"/>
      <c r="G193" s="271"/>
      <c r="H193" s="271"/>
      <c r="I193" s="273"/>
      <c r="J193" s="271"/>
      <c r="K193" s="274"/>
      <c r="L193" s="275"/>
      <c r="M193" s="226"/>
      <c r="N193" s="226"/>
      <c r="O193" s="1093">
        <f>+O185*1.1</f>
        <v>1023.0000000000001</v>
      </c>
      <c r="P193" s="1093"/>
      <c r="Q193" s="1093" t="s">
        <v>70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4" t="s">
        <v>83</v>
      </c>
      <c r="AB193" s="104"/>
      <c r="AC193" s="637"/>
      <c r="AG193" s="173"/>
      <c r="AH193" s="173"/>
      <c r="AI193" s="398"/>
      <c r="AJ193" s="398"/>
      <c r="AK193" s="398"/>
      <c r="AL193" s="173"/>
      <c r="AM193" s="173"/>
      <c r="AN193" s="173"/>
      <c r="AO193" s="173"/>
    </row>
    <row r="194" spans="1:50">
      <c r="B194" s="638">
        <f>+B193+B192</f>
        <v>216.99999999999997</v>
      </c>
      <c r="C194" s="259" t="s">
        <v>84</v>
      </c>
      <c r="D194" s="266"/>
      <c r="E194" s="267"/>
      <c r="F194" s="268"/>
      <c r="G194" s="266"/>
      <c r="H194" s="266"/>
      <c r="I194" s="268"/>
      <c r="J194" s="266"/>
      <c r="K194" s="276"/>
      <c r="L194" s="275"/>
      <c r="M194" s="226"/>
      <c r="N194" s="226"/>
      <c r="O194" s="1093">
        <f>+O193/30*7</f>
        <v>238.70000000000002</v>
      </c>
      <c r="P194" s="1093"/>
      <c r="Q194" s="1093" t="s">
        <v>73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2">
        <f>+O194*0.87</f>
        <v>207.66900000000001</v>
      </c>
      <c r="AB194" s="1092"/>
      <c r="AC194" s="637"/>
      <c r="AG194" s="173"/>
      <c r="AH194" s="173"/>
      <c r="AI194" s="398"/>
      <c r="AJ194" s="398"/>
      <c r="AK194" s="277"/>
      <c r="AL194" s="173"/>
      <c r="AM194" s="173"/>
      <c r="AN194" s="173"/>
      <c r="AO194" s="173"/>
    </row>
    <row r="195" spans="1:50">
      <c r="B195" s="636"/>
      <c r="C195" s="278"/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3">
        <f>+O194/7</f>
        <v>34.1</v>
      </c>
      <c r="P195" s="1093"/>
      <c r="Q195" s="1093" t="s">
        <v>74</v>
      </c>
      <c r="R195" s="1093"/>
      <c r="S195" s="1093"/>
      <c r="T195" s="1093"/>
      <c r="U195" s="1093"/>
      <c r="V195" s="1093"/>
      <c r="W195" s="1093"/>
      <c r="X195" s="1093"/>
      <c r="Y195" s="1093"/>
      <c r="Z195" s="1093"/>
      <c r="AA195" s="104"/>
      <c r="AB195" s="104"/>
      <c r="AC195" s="637"/>
      <c r="AG195" s="173"/>
      <c r="AH195" s="173"/>
      <c r="AI195" s="281"/>
      <c r="AJ195" s="282"/>
      <c r="AK195" s="277"/>
      <c r="AL195" s="173"/>
      <c r="AM195" s="173"/>
      <c r="AN195" s="173"/>
      <c r="AO195" s="173"/>
    </row>
    <row r="196" spans="1:50">
      <c r="B196" s="642">
        <f>+B194/7</f>
        <v>30.999999999999996</v>
      </c>
      <c r="C196" s="313" t="s">
        <v>85</v>
      </c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4">
        <f>(O194-18)/7</f>
        <v>31.528571428571432</v>
      </c>
      <c r="P196" s="1094"/>
      <c r="Q196" s="1094" t="s">
        <v>76</v>
      </c>
      <c r="R196" s="1094"/>
      <c r="S196" s="1094"/>
      <c r="T196" s="1094"/>
      <c r="U196" s="1094"/>
      <c r="V196" s="1094"/>
      <c r="W196" s="1094"/>
      <c r="X196" s="1094"/>
      <c r="Y196" s="1094"/>
      <c r="Z196" s="1094"/>
      <c r="AA196" s="104"/>
      <c r="AB196" s="104"/>
      <c r="AC196" s="637"/>
      <c r="AG196" s="173"/>
      <c r="AH196" s="173"/>
      <c r="AI196" s="173"/>
      <c r="AJ196" s="173"/>
      <c r="AK196" s="277"/>
      <c r="AL196" s="173"/>
      <c r="AM196" s="173"/>
      <c r="AN196" s="173"/>
      <c r="AO196" s="173"/>
    </row>
    <row r="197" spans="1:50">
      <c r="B197" s="636"/>
      <c r="C197" s="278"/>
      <c r="D197" s="226"/>
      <c r="E197" s="279"/>
      <c r="F197" s="280"/>
      <c r="G197" s="226"/>
      <c r="H197" s="226"/>
      <c r="I197" s="280"/>
      <c r="J197" s="226"/>
      <c r="K197" s="275"/>
      <c r="L197" s="275"/>
      <c r="M197" s="226"/>
      <c r="N197" s="226"/>
      <c r="O197" s="1093">
        <v>3</v>
      </c>
      <c r="P197" s="1093"/>
      <c r="Q197" s="1093" t="s">
        <v>78</v>
      </c>
      <c r="R197" s="1093"/>
      <c r="S197" s="1093"/>
      <c r="T197" s="1093"/>
      <c r="U197" s="1093"/>
      <c r="V197" s="1093"/>
      <c r="W197" s="1093"/>
      <c r="X197" s="1093"/>
      <c r="Y197" s="1093"/>
      <c r="Z197" s="1093"/>
      <c r="AA197" s="104"/>
      <c r="AB197" s="104"/>
      <c r="AC197" s="637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Bot="1">
      <c r="B198" s="643"/>
      <c r="C198" s="644"/>
      <c r="D198" s="645"/>
      <c r="E198" s="646"/>
      <c r="F198" s="647"/>
      <c r="G198" s="645"/>
      <c r="H198" s="645"/>
      <c r="I198" s="647"/>
      <c r="J198" s="645"/>
      <c r="K198" s="648"/>
      <c r="L198" s="648"/>
      <c r="M198" s="645"/>
      <c r="N198" s="645"/>
      <c r="O198" s="1080">
        <f>+O197+O196</f>
        <v>34.528571428571432</v>
      </c>
      <c r="P198" s="1080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9"/>
      <c r="AB198" s="649"/>
      <c r="AC198" s="650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15.75" thickTop="1">
      <c r="B199" s="365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:50" ht="3" customHeight="1">
      <c r="Q200" s="211"/>
      <c r="R200" s="212"/>
      <c r="S200" s="213"/>
      <c r="T200" s="214"/>
      <c r="AA200" s="802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32</v>
      </c>
      <c r="C201" s="1081" t="s">
        <v>33</v>
      </c>
      <c r="D201" s="1081"/>
      <c r="E201" s="1081" t="s">
        <v>34</v>
      </c>
      <c r="F201" s="1081"/>
      <c r="G201" s="1082" t="s">
        <v>122</v>
      </c>
      <c r="H201" s="1083"/>
      <c r="I201" s="1088" t="s">
        <v>36</v>
      </c>
      <c r="J201" s="1089"/>
      <c r="K201" s="1090" t="s">
        <v>37</v>
      </c>
      <c r="L201" s="1090"/>
      <c r="M201" s="5"/>
      <c r="N201" s="1091" t="s">
        <v>38</v>
      </c>
      <c r="O201" s="1091"/>
      <c r="P201" s="5"/>
      <c r="Q201" s="1095" t="s">
        <v>39</v>
      </c>
      <c r="R201" s="1096"/>
      <c r="U201" s="1101" t="s">
        <v>40</v>
      </c>
      <c r="V201" s="1104" t="s">
        <v>41</v>
      </c>
      <c r="W201" s="1107" t="s">
        <v>42</v>
      </c>
      <c r="X201" s="1110" t="s">
        <v>43</v>
      </c>
      <c r="AA201" s="802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45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7"/>
      <c r="R202" s="1098"/>
      <c r="U202" s="1102"/>
      <c r="V202" s="1105"/>
      <c r="W202" s="1108"/>
      <c r="X202" s="1111"/>
      <c r="AA202" s="802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X202" s="172"/>
    </row>
    <row r="203" spans="1:50" ht="14.1" customHeight="1">
      <c r="B203" s="6" t="s">
        <v>46</v>
      </c>
      <c r="C203" s="1081"/>
      <c r="D203" s="1081"/>
      <c r="E203" s="1081"/>
      <c r="F203" s="1081"/>
      <c r="G203" s="1084"/>
      <c r="H203" s="1085"/>
      <c r="I203" s="1088"/>
      <c r="J203" s="1089"/>
      <c r="K203" s="1090"/>
      <c r="L203" s="1090"/>
      <c r="M203" s="5"/>
      <c r="N203" s="1091"/>
      <c r="O203" s="1091"/>
      <c r="P203" s="5"/>
      <c r="Q203" s="1099"/>
      <c r="R203" s="1100"/>
      <c r="U203" s="1102"/>
      <c r="V203" s="1105"/>
      <c r="W203" s="1108"/>
      <c r="X203" s="1111"/>
      <c r="AA203" s="802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373"/>
      <c r="AN203" s="373"/>
      <c r="AO203" s="373"/>
      <c r="AP203" s="373"/>
      <c r="AQ203" s="169"/>
      <c r="AS203" s="170"/>
      <c r="AT203" s="170"/>
      <c r="AV203" s="373"/>
      <c r="AX203" s="172"/>
    </row>
    <row r="204" spans="1:50" ht="26.25">
      <c r="B204" s="227" t="s">
        <v>47</v>
      </c>
      <c r="C204" s="1113">
        <f>+E204*7</f>
        <v>198.33333333333331</v>
      </c>
      <c r="D204" s="1113"/>
      <c r="E204" s="1114">
        <f>+K204/30</f>
        <v>28.333333333333332</v>
      </c>
      <c r="F204" s="1114"/>
      <c r="G204" s="1084"/>
      <c r="H204" s="1085"/>
      <c r="I204" s="1115">
        <f>+E204/8</f>
        <v>3.5416666666666665</v>
      </c>
      <c r="J204" s="1116"/>
      <c r="K204" s="1117">
        <v>850</v>
      </c>
      <c r="L204" s="1117"/>
      <c r="M204" s="228"/>
      <c r="N204" s="1078">
        <f>+I204/6*7</f>
        <v>4.1319444444444446</v>
      </c>
      <c r="O204" s="1079"/>
      <c r="P204" s="228"/>
      <c r="Q204" s="1072">
        <f>+$I$69-I204</f>
        <v>1.6895833333333337</v>
      </c>
      <c r="R204" s="1072"/>
      <c r="U204" s="1102"/>
      <c r="V204" s="1105"/>
      <c r="W204" s="1108"/>
      <c r="X204" s="1111"/>
      <c r="AA204" s="802"/>
      <c r="AB204" s="802"/>
      <c r="AC204" s="802"/>
      <c r="AD204" s="802"/>
    </row>
    <row r="205" spans="1:50" ht="24.75">
      <c r="B205" s="229" t="s">
        <v>48</v>
      </c>
      <c r="C205" s="1073">
        <f>+E205*7</f>
        <v>267.75</v>
      </c>
      <c r="D205" s="1073"/>
      <c r="E205" s="1074">
        <f>+K205/30</f>
        <v>38.25</v>
      </c>
      <c r="F205" s="1074"/>
      <c r="G205" s="1086"/>
      <c r="H205" s="1087"/>
      <c r="I205" s="1075">
        <f>+E205/8</f>
        <v>4.78125</v>
      </c>
      <c r="J205" s="1076"/>
      <c r="K205" s="1077">
        <f>+K204*1.35</f>
        <v>1147.5</v>
      </c>
      <c r="L205" s="1077"/>
      <c r="M205" s="228"/>
      <c r="N205" s="1078">
        <f>+I205/6*7</f>
        <v>5.578125</v>
      </c>
      <c r="O205" s="1079"/>
      <c r="P205" s="228"/>
      <c r="Q205" s="1072">
        <f>+$I$69-I205</f>
        <v>0.45000000000000018</v>
      </c>
      <c r="R205" s="1072"/>
      <c r="U205" s="1102"/>
      <c r="V205" s="1105"/>
      <c r="W205" s="1108"/>
      <c r="X205" s="1111"/>
      <c r="Z205" s="389"/>
      <c r="AA205" s="796"/>
      <c r="AB205" s="796"/>
      <c r="AC205" s="796"/>
      <c r="AD205" s="796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2.1" customHeight="1">
      <c r="B206" s="230"/>
      <c r="C206" s="231"/>
      <c r="D206" s="231"/>
      <c r="G206" s="232"/>
      <c r="H206" s="232"/>
      <c r="I206" s="233"/>
      <c r="J206" s="233"/>
      <c r="K206" s="234"/>
      <c r="L206" s="234"/>
      <c r="M206" s="5"/>
      <c r="N206" s="235"/>
      <c r="O206" s="235"/>
      <c r="P206" s="5"/>
      <c r="Q206" s="236"/>
      <c r="R206" s="236"/>
      <c r="U206" s="1103"/>
      <c r="V206" s="1106"/>
      <c r="W206" s="1109"/>
      <c r="X206" s="1112"/>
      <c r="Z206" s="389"/>
      <c r="AA206" s="796"/>
      <c r="AB206" s="796"/>
      <c r="AC206" s="796"/>
      <c r="AD206" s="796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1</v>
      </c>
      <c r="B207" s="237" t="s">
        <v>49</v>
      </c>
      <c r="C207" s="1070">
        <f>6*3+7*33.8</f>
        <v>254.59999999999997</v>
      </c>
      <c r="D207" s="1071"/>
      <c r="E207" s="1048">
        <f t="shared" ref="E207:E214" si="70">+C207/7</f>
        <v>36.371428571428567</v>
      </c>
      <c r="F207" s="1049"/>
      <c r="G207" s="388"/>
      <c r="H207" s="388"/>
      <c r="I207" s="1052">
        <f t="shared" ref="I207:I214" si="71">+E207/8</f>
        <v>4.5464285714285708</v>
      </c>
      <c r="J207" s="1058"/>
      <c r="K207" s="1059">
        <f t="shared" ref="K207:K211" si="72">+E207*30</f>
        <v>1091.1428571428569</v>
      </c>
      <c r="L207" s="1059"/>
      <c r="M207" s="5"/>
      <c r="N207" s="1020">
        <f t="shared" ref="N207:N211" si="73">+I207/6*7</f>
        <v>5.3041666666666654</v>
      </c>
      <c r="O207" s="1020"/>
      <c r="P207" s="5"/>
      <c r="Q207" s="1056">
        <f t="shared" ref="Q207:Q211" si="74">+$I$69-I207</f>
        <v>0.68482142857142936</v>
      </c>
      <c r="R207" s="1057"/>
      <c r="U207" s="238">
        <f t="shared" ref="U207:U213" si="75">+AE168+U168+K168+AO147+AE147+U147+K147</f>
        <v>0</v>
      </c>
      <c r="V207" s="239">
        <v>48</v>
      </c>
      <c r="W207" s="240">
        <f t="shared" ref="W207:W211" si="76">+V207-U207</f>
        <v>48</v>
      </c>
      <c r="X207" s="241" t="e">
        <f t="shared" ref="X207:X213" si="77">+J147+T147+AD147+J168+T168+AD168</f>
        <v>#VALUE!</v>
      </c>
      <c r="Z207" s="389"/>
      <c r="AA207" s="796"/>
      <c r="AB207" s="796"/>
      <c r="AC207" s="796"/>
      <c r="AD207" s="796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50</v>
      </c>
      <c r="C208" s="1070">
        <f>6*3+7*38.5</f>
        <v>287.5</v>
      </c>
      <c r="D208" s="1071"/>
      <c r="E208" s="1048">
        <f t="shared" si="70"/>
        <v>41.071428571428569</v>
      </c>
      <c r="F208" s="1049"/>
      <c r="G208" s="388"/>
      <c r="H208" s="388"/>
      <c r="I208" s="1052">
        <f t="shared" si="71"/>
        <v>5.1339285714285712</v>
      </c>
      <c r="J208" s="1058"/>
      <c r="K208" s="1059">
        <f t="shared" si="72"/>
        <v>1232.1428571428571</v>
      </c>
      <c r="L208" s="1059"/>
      <c r="M208" s="5"/>
      <c r="N208" s="1020">
        <f t="shared" si="73"/>
        <v>5.989583333333333</v>
      </c>
      <c r="O208" s="1020"/>
      <c r="P208" s="5"/>
      <c r="Q208" s="1056">
        <f t="shared" si="74"/>
        <v>9.7321428571429003E-2</v>
      </c>
      <c r="R208" s="1057"/>
      <c r="U208" s="238">
        <f t="shared" si="75"/>
        <v>0</v>
      </c>
      <c r="V208" s="239">
        <v>48</v>
      </c>
      <c r="W208" s="240">
        <f t="shared" si="76"/>
        <v>48</v>
      </c>
      <c r="X208" s="241" t="e">
        <f t="shared" si="77"/>
        <v>#VALUE!</v>
      </c>
      <c r="Z208" s="389"/>
      <c r="AA208" s="796"/>
      <c r="AB208" s="796"/>
      <c r="AC208" s="796"/>
      <c r="AD208" s="796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2</v>
      </c>
      <c r="B209" s="237" t="s">
        <v>51</v>
      </c>
      <c r="C209" s="1070">
        <f>6*3+7*38.5</f>
        <v>287.5</v>
      </c>
      <c r="D209" s="1071"/>
      <c r="E209" s="1048">
        <f t="shared" si="70"/>
        <v>41.071428571428569</v>
      </c>
      <c r="F209" s="1049"/>
      <c r="G209" s="388"/>
      <c r="H209" s="388"/>
      <c r="I209" s="1052">
        <f t="shared" si="71"/>
        <v>5.1339285714285712</v>
      </c>
      <c r="J209" s="1058"/>
      <c r="K209" s="1059">
        <f t="shared" si="72"/>
        <v>1232.1428571428571</v>
      </c>
      <c r="L209" s="1059"/>
      <c r="M209" s="5"/>
      <c r="N209" s="1020">
        <f t="shared" si="73"/>
        <v>5.989583333333333</v>
      </c>
      <c r="O209" s="1020"/>
      <c r="P209" s="5"/>
      <c r="Q209" s="1056">
        <f t="shared" si="74"/>
        <v>9.7321428571429003E-2</v>
      </c>
      <c r="R209" s="1057"/>
      <c r="U209" s="238">
        <f t="shared" si="75"/>
        <v>0</v>
      </c>
      <c r="V209" s="239">
        <v>48</v>
      </c>
      <c r="W209" s="240">
        <f t="shared" si="76"/>
        <v>48</v>
      </c>
      <c r="X209" s="241" t="e">
        <f t="shared" si="77"/>
        <v>#VALUE!</v>
      </c>
      <c r="Z209" s="389"/>
      <c r="AA209" s="796"/>
      <c r="AB209" s="796"/>
      <c r="AC209" s="796"/>
      <c r="AD209" s="796"/>
      <c r="AE209" s="386"/>
      <c r="AF209" s="386"/>
      <c r="AG209" s="242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</row>
    <row r="210" spans="1:46" ht="16.5">
      <c r="A210" s="1">
        <v>4</v>
      </c>
      <c r="B210" s="243" t="s">
        <v>52</v>
      </c>
      <c r="C210" s="1046">
        <f>6*3+7*30.762</f>
        <v>233.334</v>
      </c>
      <c r="D210" s="1047"/>
      <c r="E210" s="1048">
        <f t="shared" si="70"/>
        <v>33.33342857142857</v>
      </c>
      <c r="F210" s="1049"/>
      <c r="G210" s="388"/>
      <c r="H210" s="388"/>
      <c r="I210" s="1052">
        <f t="shared" si="71"/>
        <v>4.1666785714285712</v>
      </c>
      <c r="J210" s="1058"/>
      <c r="K210" s="1059">
        <f t="shared" si="72"/>
        <v>1000.0028571428571</v>
      </c>
      <c r="L210" s="1059"/>
      <c r="M210" s="5"/>
      <c r="N210" s="1020">
        <f t="shared" si="73"/>
        <v>4.8611250000000004</v>
      </c>
      <c r="O210" s="1020"/>
      <c r="P210" s="5"/>
      <c r="Q210" s="1056">
        <f t="shared" si="74"/>
        <v>1.0645714285714289</v>
      </c>
      <c r="R210" s="1057"/>
      <c r="S210" s="1066">
        <f>20*30/180*117</f>
        <v>390</v>
      </c>
      <c r="T210" s="1067"/>
      <c r="U210" s="238">
        <f t="shared" si="75"/>
        <v>0</v>
      </c>
      <c r="V210" s="239">
        <v>48</v>
      </c>
      <c r="W210" s="240">
        <f t="shared" si="76"/>
        <v>48</v>
      </c>
      <c r="X210" s="241">
        <f t="shared" si="77"/>
        <v>0</v>
      </c>
      <c r="Z210" s="1045" t="s">
        <v>53</v>
      </c>
      <c r="AA210" s="1045"/>
      <c r="AB210" s="1045"/>
      <c r="AC210" s="1045"/>
      <c r="AD210" s="389" t="s">
        <v>54</v>
      </c>
      <c r="AE210" s="796"/>
      <c r="AF210" s="386"/>
      <c r="AG210" s="797"/>
      <c r="AH210" s="797"/>
      <c r="AI210" s="386"/>
      <c r="AJ210" s="386"/>
      <c r="AK210" s="785"/>
      <c r="AL210" s="785"/>
      <c r="AM210" s="785"/>
      <c r="AN210" s="785"/>
      <c r="AO210" s="785"/>
      <c r="AP210" s="785"/>
      <c r="AQ210" s="785"/>
      <c r="AR210" s="785"/>
      <c r="AS210" s="386"/>
      <c r="AT210" s="386"/>
    </row>
    <row r="211" spans="1:46" ht="16.5">
      <c r="A211" s="1">
        <v>5</v>
      </c>
      <c r="B211" s="237" t="s">
        <v>55</v>
      </c>
      <c r="C211" s="1046">
        <f>6*3+7*38.5</f>
        <v>287.5</v>
      </c>
      <c r="D211" s="1047"/>
      <c r="E211" s="1048">
        <f t="shared" si="70"/>
        <v>41.071428571428569</v>
      </c>
      <c r="F211" s="1049"/>
      <c r="G211" s="388"/>
      <c r="H211" s="388"/>
      <c r="I211" s="1052">
        <f t="shared" si="71"/>
        <v>5.1339285714285712</v>
      </c>
      <c r="J211" s="1058"/>
      <c r="K211" s="1059">
        <f t="shared" si="72"/>
        <v>1232.1428571428571</v>
      </c>
      <c r="L211" s="1059"/>
      <c r="M211" s="5"/>
      <c r="N211" s="1020">
        <f t="shared" si="73"/>
        <v>5.989583333333333</v>
      </c>
      <c r="O211" s="1020"/>
      <c r="P211" s="5"/>
      <c r="Q211" s="1056">
        <f t="shared" si="74"/>
        <v>9.7321428571429003E-2</v>
      </c>
      <c r="R211" s="1057"/>
      <c r="U211" s="238">
        <f t="shared" si="75"/>
        <v>0</v>
      </c>
      <c r="V211" s="239">
        <v>48</v>
      </c>
      <c r="W211" s="240">
        <f t="shared" si="76"/>
        <v>48</v>
      </c>
      <c r="X211" s="241">
        <f t="shared" si="77"/>
        <v>0</v>
      </c>
      <c r="Z211" s="796"/>
      <c r="AA211" s="796"/>
      <c r="AB211" s="796"/>
      <c r="AC211" s="796"/>
      <c r="AD211" s="796"/>
      <c r="AE211" s="386"/>
      <c r="AF211" s="386"/>
      <c r="AG211" s="244"/>
      <c r="AH211" s="244"/>
      <c r="AI211" s="797"/>
      <c r="AJ211" s="797"/>
      <c r="AK211" s="797"/>
      <c r="AL211" s="797"/>
      <c r="AM211" s="797"/>
      <c r="AN211" s="797"/>
      <c r="AO211" s="797"/>
      <c r="AP211" s="797"/>
      <c r="AQ211" s="797"/>
      <c r="AR211" s="797"/>
      <c r="AS211" s="386"/>
      <c r="AT211" s="386"/>
    </row>
    <row r="212" spans="1:46" ht="16.5">
      <c r="A212" s="1">
        <v>7</v>
      </c>
      <c r="B212" s="245" t="s">
        <v>56</v>
      </c>
      <c r="C212" s="1060">
        <f>6*3+7*(38.5)</f>
        <v>287.5</v>
      </c>
      <c r="D212" s="1061"/>
      <c r="E212" s="1048">
        <f t="shared" si="70"/>
        <v>41.071428571428569</v>
      </c>
      <c r="F212" s="1049"/>
      <c r="G212" s="1068"/>
      <c r="H212" s="1069"/>
      <c r="I212" s="1052">
        <f t="shared" si="71"/>
        <v>5.1339285714285712</v>
      </c>
      <c r="J212" s="1058"/>
      <c r="K212" s="1059">
        <f>+E212*30</f>
        <v>1232.1428571428571</v>
      </c>
      <c r="L212" s="1059"/>
      <c r="M212" s="5"/>
      <c r="N212" s="1020">
        <f>+I212/6*7</f>
        <v>5.989583333333333</v>
      </c>
      <c r="O212" s="1020"/>
      <c r="P212" s="5"/>
      <c r="Q212" s="1056">
        <f>+$I$69-I212</f>
        <v>9.7321428571429003E-2</v>
      </c>
      <c r="R212" s="1057"/>
      <c r="U212" s="238">
        <f t="shared" si="75"/>
        <v>0</v>
      </c>
      <c r="V212" s="239">
        <v>48</v>
      </c>
      <c r="W212" s="240">
        <f>+V212-U212</f>
        <v>48</v>
      </c>
      <c r="X212" s="241">
        <f t="shared" si="77"/>
        <v>0</v>
      </c>
      <c r="Z212" s="246"/>
      <c r="AA212" s="246"/>
      <c r="AB212" s="1064" t="s">
        <v>57</v>
      </c>
      <c r="AC212" s="1065"/>
      <c r="AD212" s="1065"/>
      <c r="AE212" s="1065"/>
      <c r="AF212" s="1065"/>
      <c r="AG212" s="1065"/>
      <c r="AH212" s="1065"/>
      <c r="AI212" s="1065"/>
      <c r="AJ212" s="1065"/>
      <c r="AK212" s="1065"/>
      <c r="AL212" s="393"/>
      <c r="AM212" s="797"/>
      <c r="AN212" s="797"/>
      <c r="AO212" s="797"/>
      <c r="AP212" s="797"/>
      <c r="AQ212" s="797"/>
      <c r="AR212" s="797"/>
      <c r="AS212" s="386"/>
      <c r="AT212" s="386"/>
    </row>
    <row r="213" spans="1:46" s="249" customFormat="1" ht="16.5">
      <c r="A213" s="247">
        <v>6</v>
      </c>
      <c r="B213" s="245" t="s">
        <v>62</v>
      </c>
      <c r="C213" s="1060">
        <f>6*3+7*(27)</f>
        <v>207</v>
      </c>
      <c r="D213" s="1061"/>
      <c r="E213" s="1048">
        <f t="shared" si="70"/>
        <v>29.571428571428573</v>
      </c>
      <c r="F213" s="1049"/>
      <c r="G213" s="1062"/>
      <c r="H213" s="1063"/>
      <c r="I213" s="1052">
        <f t="shared" si="71"/>
        <v>3.6964285714285716</v>
      </c>
      <c r="J213" s="1058"/>
      <c r="K213" s="1059">
        <f>+E213*30</f>
        <v>887.14285714285722</v>
      </c>
      <c r="L213" s="1059"/>
      <c r="M213" s="5"/>
      <c r="N213" s="1020">
        <f t="shared" ref="N213:N214" si="78">+I213/6*7</f>
        <v>4.3125</v>
      </c>
      <c r="O213" s="1020"/>
      <c r="P213" s="5"/>
      <c r="Q213" s="1056">
        <f t="shared" ref="Q213:Q214" si="79">+$I$69-I213</f>
        <v>1.5348214285714286</v>
      </c>
      <c r="R213" s="1057"/>
      <c r="S213" s="1066">
        <f>20*30/180*117</f>
        <v>390</v>
      </c>
      <c r="T213" s="1067"/>
      <c r="U213" s="238">
        <f t="shared" si="75"/>
        <v>0</v>
      </c>
      <c r="V213" s="239">
        <v>48</v>
      </c>
      <c r="W213" s="240">
        <f t="shared" ref="W213:W214" si="80">+V213-U213</f>
        <v>48</v>
      </c>
      <c r="X213" s="241">
        <f t="shared" si="77"/>
        <v>0</v>
      </c>
      <c r="Y213" s="248"/>
      <c r="Z213" s="796"/>
      <c r="AA213" s="796"/>
      <c r="AB213" s="796"/>
      <c r="AC213" s="796"/>
      <c r="AD213" s="796"/>
      <c r="AE213" s="386"/>
      <c r="AF213" s="386"/>
      <c r="AG213" s="797"/>
      <c r="AH213" s="797"/>
      <c r="AI213" s="393"/>
      <c r="AJ213" s="393"/>
      <c r="AK213" s="393"/>
      <c r="AL213" s="393"/>
      <c r="AM213" s="797"/>
      <c r="AN213" s="797"/>
      <c r="AO213" s="797"/>
      <c r="AP213" s="797"/>
      <c r="AQ213" s="797"/>
      <c r="AR213" s="797"/>
      <c r="AS213" s="386"/>
      <c r="AT213" s="386"/>
    </row>
    <row r="214" spans="1:46" s="249" customFormat="1" ht="16.5">
      <c r="A214" s="1">
        <v>8</v>
      </c>
      <c r="B214" s="245" t="s">
        <v>117</v>
      </c>
      <c r="C214" s="1060">
        <f>6*3+7*(25.7619)</f>
        <v>198.33330000000001</v>
      </c>
      <c r="D214" s="1061"/>
      <c r="E214" s="1048">
        <f t="shared" si="70"/>
        <v>28.333328571428574</v>
      </c>
      <c r="F214" s="1049"/>
      <c r="G214" s="1050">
        <v>25.761900000000001</v>
      </c>
      <c r="H214" s="1051"/>
      <c r="I214" s="1052">
        <f t="shared" si="71"/>
        <v>3.5416660714285717</v>
      </c>
      <c r="J214" s="1058"/>
      <c r="K214" s="1059">
        <f>+E214*30</f>
        <v>849.99985714285719</v>
      </c>
      <c r="L214" s="1059"/>
      <c r="M214" s="5"/>
      <c r="N214" s="1020">
        <f t="shared" si="78"/>
        <v>4.1319437500000005</v>
      </c>
      <c r="O214" s="1020"/>
      <c r="P214" s="5"/>
      <c r="Q214" s="1056">
        <f t="shared" si="79"/>
        <v>1.6895839285714285</v>
      </c>
      <c r="R214" s="1057"/>
      <c r="S214" s="802"/>
      <c r="T214" s="802"/>
      <c r="U214" s="238">
        <f>+AE176+U176+K176+AO155+AE155+U155+K155</f>
        <v>0</v>
      </c>
      <c r="V214" s="239">
        <v>48</v>
      </c>
      <c r="W214" s="240">
        <f t="shared" si="80"/>
        <v>48</v>
      </c>
      <c r="X214" s="241">
        <f>+J155+T155+AD155+J176+T176+AD176</f>
        <v>0</v>
      </c>
      <c r="Y214" s="802"/>
      <c r="Z214" s="796"/>
      <c r="AA214" s="796"/>
      <c r="AB214" s="796"/>
      <c r="AC214" s="796"/>
      <c r="AD214" s="796"/>
      <c r="AE214" s="386"/>
      <c r="AF214" s="386"/>
      <c r="AG214" s="797"/>
      <c r="AH214" s="797"/>
      <c r="AI214" s="393"/>
      <c r="AJ214" s="393"/>
      <c r="AK214" s="393"/>
      <c r="AL214" s="393"/>
      <c r="AM214" s="797"/>
      <c r="AN214" s="797"/>
      <c r="AO214" s="797"/>
      <c r="AP214" s="797"/>
      <c r="AQ214" s="797"/>
      <c r="AR214" s="797"/>
      <c r="AS214" s="386"/>
      <c r="AT214" s="386"/>
    </row>
    <row r="215" spans="1:46" ht="16.5">
      <c r="B215" s="245" t="s">
        <v>121</v>
      </c>
      <c r="C215" s="1060"/>
      <c r="D215" s="1061"/>
      <c r="E215" s="1048"/>
      <c r="F215" s="1049"/>
      <c r="G215" s="1062"/>
      <c r="H215" s="1063"/>
      <c r="I215" s="1052"/>
      <c r="J215" s="1058"/>
      <c r="K215" s="1059">
        <f t="shared" ref="K215" si="81">+E215*30</f>
        <v>0</v>
      </c>
      <c r="L215" s="1059"/>
      <c r="M215" s="5"/>
      <c r="N215" s="1020">
        <f>+I215/6*7</f>
        <v>0</v>
      </c>
      <c r="O215" s="1020"/>
      <c r="P215" s="5"/>
      <c r="Q215" s="1056">
        <f>+$I$69-I215</f>
        <v>5.2312500000000002</v>
      </c>
      <c r="R215" s="1057"/>
      <c r="U215" s="238">
        <f>+AE180+U180+K180+AO159+AE159+U159+K159</f>
        <v>0</v>
      </c>
      <c r="V215" s="239">
        <v>48</v>
      </c>
      <c r="W215" s="240">
        <f>+V215-U215</f>
        <v>48</v>
      </c>
      <c r="X215" s="241" t="e">
        <f>+#REF!+#REF!+#REF!+#REF!+#REF!+#REF!</f>
        <v>#REF!</v>
      </c>
      <c r="Z215" s="246"/>
      <c r="AA215" s="246"/>
      <c r="AB215" s="796"/>
      <c r="AC215" s="796"/>
      <c r="AD215" s="796"/>
      <c r="AE215" s="386"/>
      <c r="AF215" s="386"/>
      <c r="AG215" s="797"/>
      <c r="AH215" s="797"/>
      <c r="AI215" s="797"/>
      <c r="AJ215" s="797"/>
      <c r="AK215" s="797"/>
      <c r="AL215" s="797"/>
      <c r="AM215" s="797"/>
      <c r="AN215" s="797"/>
      <c r="AO215" s="797"/>
      <c r="AP215" s="797"/>
      <c r="AQ215" s="797"/>
      <c r="AR215" s="797"/>
      <c r="AS215" s="386"/>
      <c r="AT215" s="386"/>
    </row>
    <row r="216" spans="1:46" ht="16.5">
      <c r="B216" s="245" t="s">
        <v>121</v>
      </c>
      <c r="C216" s="1046">
        <f>6*3+7*35</f>
        <v>263</v>
      </c>
      <c r="D216" s="1047"/>
      <c r="E216" s="1048">
        <f t="shared" ref="E216:E221" si="82">+C216/7</f>
        <v>37.571428571428569</v>
      </c>
      <c r="F216" s="1049"/>
      <c r="G216" s="388"/>
      <c r="H216" s="388"/>
      <c r="I216" s="1052">
        <f>+E216/8</f>
        <v>4.6964285714285712</v>
      </c>
      <c r="J216" s="1058"/>
      <c r="K216" s="1059">
        <f>+E216*30</f>
        <v>1127.1428571428571</v>
      </c>
      <c r="L216" s="1059"/>
      <c r="M216" s="251"/>
      <c r="N216" s="1020">
        <f>+I216/6*7</f>
        <v>5.479166666666667</v>
      </c>
      <c r="O216" s="1020"/>
      <c r="P216" s="5"/>
      <c r="Q216" s="1056">
        <f>+$I$69-I216</f>
        <v>0.534821428571429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1045">
        <f>+K216/E216</f>
        <v>30</v>
      </c>
      <c r="AA216" s="1045"/>
      <c r="AB216" s="1045"/>
      <c r="AC216" s="1045"/>
      <c r="AD216" s="796"/>
      <c r="AE216" s="386"/>
      <c r="AF216" s="386"/>
      <c r="AG216" s="244"/>
      <c r="AH216" s="244"/>
      <c r="AI216" s="797"/>
      <c r="AJ216" s="797"/>
      <c r="AK216" s="797"/>
      <c r="AL216" s="797"/>
      <c r="AM216" s="797"/>
      <c r="AN216" s="797"/>
      <c r="AO216" s="797"/>
      <c r="AP216" s="797"/>
      <c r="AQ216" s="797"/>
      <c r="AR216" s="797"/>
      <c r="AS216" s="386"/>
      <c r="AT216" s="386"/>
    </row>
    <row r="217" spans="1:46" ht="16.5">
      <c r="A217" s="1">
        <v>3</v>
      </c>
      <c r="B217" s="237" t="s">
        <v>118</v>
      </c>
      <c r="C217" s="1046">
        <f>6*3+7*34.0952</f>
        <v>256.66639999999995</v>
      </c>
      <c r="D217" s="1047"/>
      <c r="E217" s="1048">
        <f t="shared" si="82"/>
        <v>36.666628571428568</v>
      </c>
      <c r="F217" s="1049"/>
      <c r="G217" s="1050">
        <f>(C217-18)/7</f>
        <v>34.095199999999991</v>
      </c>
      <c r="H217" s="1051"/>
      <c r="I217" s="1052">
        <f>+E217/8</f>
        <v>4.583328571428571</v>
      </c>
      <c r="J217" s="1053"/>
      <c r="K217" s="1054">
        <f>+E217*30</f>
        <v>1099.9988571428571</v>
      </c>
      <c r="L217" s="1055"/>
      <c r="M217" s="251"/>
      <c r="N217" s="1043">
        <f>+I217/6*7</f>
        <v>5.3472166666666663</v>
      </c>
      <c r="O217" s="1044"/>
      <c r="P217" s="5"/>
      <c r="Q217" s="1056">
        <f>+$I$69-I217</f>
        <v>0.6479214285714292</v>
      </c>
      <c r="R217" s="1057"/>
      <c r="U217" s="238">
        <f>+AE178+U178+K178+AO157+AE157+U157+K157</f>
        <v>0</v>
      </c>
      <c r="V217" s="239">
        <v>48</v>
      </c>
      <c r="W217" s="240">
        <f>+V217-U217</f>
        <v>48</v>
      </c>
      <c r="X217" s="241">
        <f>+J157+T157+AD157+J178+T178+AD178</f>
        <v>0</v>
      </c>
      <c r="Z217" s="252"/>
      <c r="AA217" s="394"/>
      <c r="AB217" s="389"/>
      <c r="AC217" s="796"/>
      <c r="AD217" s="796"/>
      <c r="AE217" s="386"/>
      <c r="AF217" s="386"/>
      <c r="AG217" s="797"/>
      <c r="AH217" s="797"/>
      <c r="AI217" s="393"/>
      <c r="AJ217" s="393"/>
      <c r="AK217" s="393"/>
      <c r="AL217" s="393"/>
      <c r="AM217" s="797"/>
      <c r="AN217" s="797"/>
      <c r="AO217" s="797"/>
      <c r="AP217" s="797"/>
      <c r="AQ217" s="797"/>
      <c r="AR217" s="797"/>
      <c r="AS217" s="386"/>
      <c r="AT217" s="386"/>
    </row>
    <row r="218" spans="1:46" ht="16.5">
      <c r="B218" s="250" t="s">
        <v>123</v>
      </c>
      <c r="C218" s="1035">
        <f>+G218*6</f>
        <v>169.99979999999999</v>
      </c>
      <c r="D218" s="1036"/>
      <c r="E218" s="1037">
        <f t="shared" si="82"/>
        <v>24.285685714285712</v>
      </c>
      <c r="F218" s="1038"/>
      <c r="G218" s="1039">
        <f>28.3333</f>
        <v>28.333300000000001</v>
      </c>
      <c r="H218" s="1040"/>
      <c r="I218" s="1037">
        <f>+G218/8</f>
        <v>3.5416625000000002</v>
      </c>
      <c r="J218" s="1038"/>
      <c r="K218" s="1041">
        <f>+G218*30</f>
        <v>849.99900000000002</v>
      </c>
      <c r="L218" s="1042"/>
      <c r="M218" s="5"/>
      <c r="N218" s="1043">
        <f t="shared" ref="N218" si="83">+I218/6*7</f>
        <v>4.1319395833333337</v>
      </c>
      <c r="O218" s="1044"/>
      <c r="P218" s="5"/>
      <c r="Q218" s="1004">
        <f t="shared" ref="Q218" si="84">+$I$69-I218</f>
        <v>1.6895875</v>
      </c>
      <c r="R218" s="1005"/>
      <c r="U218" s="238">
        <f>+AE180+U180+K180+AO159+AE159+U159+K159</f>
        <v>0</v>
      </c>
      <c r="V218" s="239">
        <v>48</v>
      </c>
      <c r="W218" s="240">
        <f t="shared" ref="W218" si="85">+V218-U218</f>
        <v>48</v>
      </c>
      <c r="X218" s="241">
        <f>+J158+T158+AD158+J179+T179+AD179</f>
        <v>0</v>
      </c>
      <c r="Z218" s="252"/>
      <c r="AA218" s="394"/>
      <c r="AB218" s="389"/>
      <c r="AC218" s="796"/>
      <c r="AD218" s="796"/>
      <c r="AE218" s="386"/>
      <c r="AF218" s="386"/>
      <c r="AG218" s="393"/>
      <c r="AH218" s="393"/>
      <c r="AI218" s="797"/>
      <c r="AJ218" s="797"/>
      <c r="AK218" s="797"/>
      <c r="AL218" s="797"/>
      <c r="AM218" s="797"/>
      <c r="AN218" s="797"/>
      <c r="AO218" s="797"/>
      <c r="AP218" s="797"/>
      <c r="AQ218" s="797"/>
      <c r="AR218" s="797"/>
      <c r="AS218" s="386"/>
      <c r="AT218" s="386"/>
    </row>
    <row r="219" spans="1:46" ht="16.5">
      <c r="B219" s="250" t="s">
        <v>124</v>
      </c>
      <c r="C219" s="1035">
        <f>+G219*6</f>
        <v>199.99979999999999</v>
      </c>
      <c r="D219" s="1036"/>
      <c r="E219" s="1037">
        <f t="shared" si="82"/>
        <v>28.571400000000001</v>
      </c>
      <c r="F219" s="1038"/>
      <c r="G219" s="1039">
        <v>33.333300000000001</v>
      </c>
      <c r="H219" s="1040"/>
      <c r="I219" s="1037">
        <f>+G219/8</f>
        <v>4.1666625000000002</v>
      </c>
      <c r="J219" s="1038"/>
      <c r="K219" s="1041">
        <f>+G219*30</f>
        <v>999.99900000000002</v>
      </c>
      <c r="L219" s="1042"/>
      <c r="M219" s="5"/>
      <c r="N219" s="1043">
        <f>+I219/6*7</f>
        <v>4.8611062500000006</v>
      </c>
      <c r="O219" s="1044"/>
      <c r="P219" s="5"/>
      <c r="Q219" s="1004">
        <f>+$I$69-I219</f>
        <v>1.0645875</v>
      </c>
      <c r="R219" s="1005"/>
      <c r="U219" s="238">
        <f>+AE181+U181+K181+AO160+AE160+U160+K160</f>
        <v>0</v>
      </c>
      <c r="V219" s="239">
        <v>48</v>
      </c>
      <c r="W219" s="240">
        <f>+V219-U219</f>
        <v>48</v>
      </c>
      <c r="X219" s="241">
        <f>+J159+T159+AD159+J180+T180+AD180</f>
        <v>0</v>
      </c>
      <c r="Z219" s="246"/>
      <c r="AA219" s="246"/>
      <c r="AB219" s="796"/>
      <c r="AC219" s="796"/>
      <c r="AD219" s="796">
        <v>200</v>
      </c>
      <c r="AE219" s="386"/>
      <c r="AF219" s="1023">
        <f>+AD219/6</f>
        <v>33.333333333333336</v>
      </c>
      <c r="AG219" s="1023"/>
      <c r="AH219" s="1023"/>
      <c r="AI219" s="797"/>
      <c r="AJ219" s="797"/>
      <c r="AK219" s="797"/>
      <c r="AL219" s="797"/>
      <c r="AM219" s="797"/>
      <c r="AN219" s="797"/>
      <c r="AO219" s="797"/>
      <c r="AP219" s="797"/>
      <c r="AQ219" s="797"/>
      <c r="AR219" s="797"/>
      <c r="AS219" s="386"/>
      <c r="AT219" s="386"/>
    </row>
    <row r="220" spans="1:46" ht="16.5">
      <c r="A220" s="247"/>
      <c r="B220" s="250" t="s">
        <v>30</v>
      </c>
      <c r="C220" s="1024">
        <v>100</v>
      </c>
      <c r="D220" s="1025"/>
      <c r="E220" s="1026">
        <f t="shared" si="82"/>
        <v>14.285714285714286</v>
      </c>
      <c r="F220" s="1027"/>
      <c r="G220" s="1028">
        <f>+C220/6</f>
        <v>16.666666666666668</v>
      </c>
      <c r="H220" s="1029"/>
      <c r="I220" s="1030">
        <f>+E220/8/6*7</f>
        <v>2.0833333333333335</v>
      </c>
      <c r="J220" s="1031"/>
      <c r="K220" s="1032">
        <f>+G220*30</f>
        <v>500.00000000000006</v>
      </c>
      <c r="L220" s="1032"/>
      <c r="M220" s="5"/>
      <c r="N220" s="1020">
        <f>+I220/6*7</f>
        <v>2.4305555555555558</v>
      </c>
      <c r="O220" s="1020"/>
      <c r="P220" s="5"/>
      <c r="Q220" s="1033">
        <f>+$I$69-I220</f>
        <v>3.1479166666666667</v>
      </c>
      <c r="R220" s="1034"/>
      <c r="U220" s="238">
        <f>+AE180+U180+K180+AO159+AE159+U159+K159</f>
        <v>0</v>
      </c>
      <c r="V220" s="239">
        <v>48</v>
      </c>
      <c r="W220" s="240">
        <f t="shared" ref="W220:W221" si="86">+V220-U220</f>
        <v>48</v>
      </c>
      <c r="X220" s="241">
        <f>+J159+T159+AD159+J180+T180+AD180</f>
        <v>0</v>
      </c>
      <c r="Y220" s="248"/>
      <c r="Z220" s="796"/>
      <c r="AA220" s="796"/>
      <c r="AB220" s="796"/>
      <c r="AC220" s="796"/>
      <c r="AG220" s="797"/>
      <c r="AH220" s="797"/>
      <c r="AI220" s="386"/>
      <c r="AJ220" s="386"/>
      <c r="AK220" s="785"/>
      <c r="AL220" s="785"/>
      <c r="AM220" s="785"/>
      <c r="AN220" s="785"/>
      <c r="AO220" s="785"/>
      <c r="AP220" s="785"/>
      <c r="AQ220" s="785"/>
      <c r="AR220" s="785"/>
      <c r="AS220" s="386"/>
      <c r="AT220" s="386"/>
    </row>
    <row r="221" spans="1:46" ht="16.5">
      <c r="B221" s="253" t="s">
        <v>63</v>
      </c>
      <c r="C221" s="1010">
        <f>6*3+7*(G221)</f>
        <v>548.33330000000001</v>
      </c>
      <c r="D221" s="1011"/>
      <c r="E221" s="1012">
        <f t="shared" si="82"/>
        <v>78.333328571428567</v>
      </c>
      <c r="F221" s="1013"/>
      <c r="G221" s="1014">
        <v>75.761899999999997</v>
      </c>
      <c r="H221" s="1015"/>
      <c r="I221" s="1016">
        <f>+E221/8</f>
        <v>9.7916660714285708</v>
      </c>
      <c r="J221" s="1017"/>
      <c r="K221" s="1018">
        <f>+E221*30</f>
        <v>2349.9998571428569</v>
      </c>
      <c r="L221" s="1019"/>
      <c r="M221" s="5"/>
      <c r="N221" s="1020">
        <f t="shared" ref="N221" si="87">+I221/6*7</f>
        <v>11.423610416666666</v>
      </c>
      <c r="O221" s="1020"/>
      <c r="P221" s="5"/>
      <c r="Q221" s="1004">
        <f t="shared" ref="Q221" si="88">+$I$69-I221</f>
        <v>-4.5604160714285706</v>
      </c>
      <c r="R221" s="1005"/>
      <c r="U221" s="238">
        <f>+AE184+U184+K184+AO163+AE163+U163+K163</f>
        <v>0</v>
      </c>
      <c r="V221" s="239">
        <v>48</v>
      </c>
      <c r="W221" s="240">
        <f t="shared" si="86"/>
        <v>48</v>
      </c>
      <c r="X221" s="241">
        <f>+J163+T163+AD163+J184+T184+AD184</f>
        <v>0</v>
      </c>
      <c r="Z221" s="246"/>
      <c r="AA221" s="246"/>
      <c r="AB221" s="796"/>
      <c r="AC221" s="796"/>
      <c r="AD221" s="796"/>
      <c r="AE221" s="386"/>
      <c r="AF221" s="386"/>
      <c r="AG221" s="797"/>
      <c r="AH221" s="797"/>
      <c r="AI221" s="797"/>
      <c r="AJ221" s="797"/>
      <c r="AK221" s="797"/>
      <c r="AL221" s="797"/>
      <c r="AM221" s="797"/>
      <c r="AN221" s="797"/>
      <c r="AO221" s="797"/>
      <c r="AP221" s="797"/>
      <c r="AQ221" s="386"/>
      <c r="AR221" s="386"/>
      <c r="AS221" s="386"/>
      <c r="AT221" s="386"/>
    </row>
    <row r="222" spans="1:46">
      <c r="AE222" s="255"/>
      <c r="AF222" s="255"/>
      <c r="AJ222" s="255"/>
      <c r="AK222" s="255"/>
    </row>
    <row r="223" spans="1:46" ht="15.75" thickBot="1">
      <c r="AE223" s="255"/>
      <c r="AF223" s="255"/>
      <c r="AJ223" s="255"/>
      <c r="AK223" s="255"/>
    </row>
    <row r="224" spans="1:46">
      <c r="C224" s="321"/>
      <c r="D224" s="801"/>
      <c r="E224" s="304"/>
      <c r="F224" s="305"/>
      <c r="G224" s="801"/>
      <c r="H224" s="801"/>
      <c r="I224" s="305"/>
      <c r="J224" s="801"/>
      <c r="K224" s="306"/>
      <c r="L224" s="306"/>
      <c r="M224" s="801"/>
      <c r="N224" s="801"/>
      <c r="O224" s="801"/>
      <c r="P224" s="801"/>
      <c r="Q224" s="801"/>
      <c r="R224" s="801"/>
      <c r="S224" s="801"/>
      <c r="T224" s="801"/>
      <c r="U224" s="801"/>
      <c r="V224" s="801"/>
      <c r="W224" s="801"/>
      <c r="X224" s="801"/>
      <c r="Y224" s="801"/>
      <c r="Z224" s="801"/>
      <c r="AA224" s="307"/>
      <c r="AB224" s="307"/>
      <c r="AC224" s="307"/>
      <c r="AD224" s="307"/>
      <c r="AE224" s="322"/>
      <c r="AF224" s="322"/>
      <c r="AG224" s="308"/>
      <c r="AJ224" s="255"/>
      <c r="AK224" s="255"/>
    </row>
    <row r="225" spans="3:37" ht="18">
      <c r="C225" s="323"/>
      <c r="D225" s="226"/>
      <c r="E225" s="324" t="s">
        <v>130</v>
      </c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4"/>
      <c r="AB225" s="104"/>
      <c r="AC225" s="104"/>
      <c r="AD225" s="104"/>
      <c r="AE225" s="255"/>
      <c r="AF225" s="255"/>
      <c r="AG225" s="310"/>
      <c r="AJ225" s="255"/>
      <c r="AK225" s="255"/>
    </row>
    <row r="226" spans="3:37">
      <c r="C226" s="323"/>
      <c r="D226" s="226"/>
      <c r="E226" s="279"/>
      <c r="F226" s="280"/>
      <c r="G226" s="226"/>
      <c r="H226" s="226"/>
      <c r="I226" s="280"/>
      <c r="J226" s="226"/>
      <c r="K226" s="275"/>
      <c r="L226" s="275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1006" t="s">
        <v>95</v>
      </c>
      <c r="AB226" s="1007"/>
      <c r="AC226" s="1008"/>
      <c r="AD226" s="974" t="s">
        <v>135</v>
      </c>
      <c r="AE226" s="975"/>
      <c r="AF226" s="976"/>
      <c r="AG226" s="310"/>
      <c r="AH226" s="104"/>
      <c r="AI226" s="104"/>
      <c r="AJ226" s="255"/>
      <c r="AK226" s="255"/>
    </row>
    <row r="227" spans="3:37" ht="16.5" thickBot="1">
      <c r="C227" s="323"/>
      <c r="D227" s="977" t="s">
        <v>97</v>
      </c>
      <c r="E227" s="977"/>
      <c r="F227" s="977"/>
      <c r="G227" s="977"/>
      <c r="H227" s="977"/>
      <c r="I227" s="978" t="s">
        <v>98</v>
      </c>
      <c r="J227" s="978"/>
      <c r="K227" s="978"/>
      <c r="L227" s="979" t="s">
        <v>99</v>
      </c>
      <c r="M227" s="979"/>
      <c r="N227" s="979"/>
      <c r="O227" s="979" t="s">
        <v>100</v>
      </c>
      <c r="P227" s="979"/>
      <c r="Q227" s="979"/>
      <c r="R227" s="1009" t="s">
        <v>141</v>
      </c>
      <c r="S227" s="1009"/>
      <c r="T227" s="1009"/>
      <c r="U227" s="979" t="s">
        <v>102</v>
      </c>
      <c r="V227" s="979"/>
      <c r="W227" s="981"/>
      <c r="X227" s="982" t="s">
        <v>103</v>
      </c>
      <c r="Y227" s="983"/>
      <c r="Z227" s="984"/>
      <c r="AA227" s="1021" t="s">
        <v>134</v>
      </c>
      <c r="AB227" s="1021"/>
      <c r="AC227" s="1022"/>
      <c r="AD227" s="987" t="s">
        <v>136</v>
      </c>
      <c r="AE227" s="988"/>
      <c r="AF227" s="989"/>
      <c r="AG227" s="310"/>
      <c r="AH227" s="104"/>
      <c r="AI227" s="104"/>
      <c r="AJ227" s="255"/>
      <c r="AK227" s="255"/>
    </row>
    <row r="228" spans="3:37" ht="19.5" thickTop="1">
      <c r="C228" s="325">
        <v>1</v>
      </c>
      <c r="D228" s="957" t="s">
        <v>52</v>
      </c>
      <c r="E228" s="957"/>
      <c r="F228" s="957"/>
      <c r="G228" s="957"/>
      <c r="H228" s="957"/>
      <c r="I228" s="1000">
        <v>30.762</v>
      </c>
      <c r="J228" s="1000"/>
      <c r="K228" s="1000"/>
      <c r="L228" s="959">
        <v>1</v>
      </c>
      <c r="M228" s="959"/>
      <c r="N228" s="959"/>
      <c r="O228" s="959">
        <v>2</v>
      </c>
      <c r="P228" s="959"/>
      <c r="Q228" s="959"/>
      <c r="R228" s="1001">
        <f t="shared" ref="R228:R235" si="89">+I228+L228+O228</f>
        <v>33.762</v>
      </c>
      <c r="S228" s="1001"/>
      <c r="T228" s="1001"/>
      <c r="U228" s="961">
        <f t="shared" ref="U228:U235" si="90">+I228*7+(L228+O228)*6</f>
        <v>233.334</v>
      </c>
      <c r="V228" s="961"/>
      <c r="W228" s="962"/>
      <c r="X228" s="963">
        <f t="shared" ref="X228:X235" si="91">+U228/7*30</f>
        <v>1000.0028571428571</v>
      </c>
      <c r="Y228" s="964"/>
      <c r="Z228" s="965"/>
      <c r="AA228" s="1002">
        <v>31</v>
      </c>
      <c r="AB228" s="1003"/>
      <c r="AC228" s="1003"/>
      <c r="AD228" s="999">
        <f>+AA228-I228</f>
        <v>0.23799999999999955</v>
      </c>
      <c r="AE228" s="999"/>
      <c r="AF228" s="999"/>
      <c r="AG228" s="310"/>
      <c r="AH228" s="104"/>
      <c r="AI228" s="995">
        <f>+AD228+I228</f>
        <v>31</v>
      </c>
      <c r="AJ228" s="995"/>
      <c r="AK228" s="995"/>
    </row>
    <row r="229" spans="3:37" ht="18.75">
      <c r="C229" s="325">
        <v>2</v>
      </c>
      <c r="D229" s="950" t="s">
        <v>131</v>
      </c>
      <c r="E229" s="950"/>
      <c r="F229" s="950"/>
      <c r="G229" s="950"/>
      <c r="H229" s="950"/>
      <c r="I229" s="997">
        <v>25.762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9"/>
        <v>28.762</v>
      </c>
      <c r="S229" s="998"/>
      <c r="T229" s="998"/>
      <c r="U229" s="953">
        <f t="shared" si="90"/>
        <v>198.334</v>
      </c>
      <c r="V229" s="953"/>
      <c r="W229" s="954"/>
      <c r="X229" s="947">
        <f t="shared" si="91"/>
        <v>850.00285714285724</v>
      </c>
      <c r="Y229" s="948"/>
      <c r="Z229" s="949"/>
      <c r="AA229" s="993">
        <v>31</v>
      </c>
      <c r="AB229" s="994"/>
      <c r="AC229" s="994"/>
      <c r="AD229" s="995">
        <f t="shared" ref="AD229" si="92">+AA229-I229</f>
        <v>5.2379999999999995</v>
      </c>
      <c r="AE229" s="995"/>
      <c r="AF229" s="995"/>
      <c r="AG229" s="310"/>
      <c r="AH229" s="104"/>
      <c r="AI229" s="999">
        <f>+AD229+I229</f>
        <v>31</v>
      </c>
      <c r="AJ229" s="999"/>
      <c r="AK229" s="999"/>
    </row>
    <row r="230" spans="3:37" ht="18.75">
      <c r="C230" s="325">
        <v>3</v>
      </c>
      <c r="D230" s="950" t="s">
        <v>109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9"/>
        <v>41.5</v>
      </c>
      <c r="S230" s="998"/>
      <c r="T230" s="998"/>
      <c r="U230" s="953">
        <f t="shared" si="90"/>
        <v>287.5</v>
      </c>
      <c r="V230" s="953"/>
      <c r="W230" s="954"/>
      <c r="X230" s="947">
        <f t="shared" si="91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37" ht="18.75">
      <c r="C231" s="325">
        <v>4</v>
      </c>
      <c r="D231" s="950" t="s">
        <v>105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9"/>
        <v>41.5</v>
      </c>
      <c r="S231" s="998"/>
      <c r="T231" s="998"/>
      <c r="U231" s="953">
        <f t="shared" si="90"/>
        <v>287.5</v>
      </c>
      <c r="V231" s="953"/>
      <c r="W231" s="954"/>
      <c r="X231" s="947">
        <f t="shared" si="91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37" ht="18.75">
      <c r="C232" s="325">
        <v>5</v>
      </c>
      <c r="D232" s="950" t="s">
        <v>108</v>
      </c>
      <c r="E232" s="950"/>
      <c r="F232" s="950"/>
      <c r="G232" s="950"/>
      <c r="H232" s="950"/>
      <c r="I232" s="997">
        <v>38.5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9"/>
        <v>41.5</v>
      </c>
      <c r="S232" s="998"/>
      <c r="T232" s="998"/>
      <c r="U232" s="953">
        <f t="shared" si="90"/>
        <v>287.5</v>
      </c>
      <c r="V232" s="953"/>
      <c r="W232" s="954"/>
      <c r="X232" s="947">
        <f t="shared" si="91"/>
        <v>1232.1428571428571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37" ht="18.75">
      <c r="C233" s="325">
        <v>6</v>
      </c>
      <c r="D233" s="950" t="s">
        <v>132</v>
      </c>
      <c r="E233" s="950"/>
      <c r="F233" s="950"/>
      <c r="G233" s="950"/>
      <c r="H233" s="950"/>
      <c r="I233" s="997">
        <v>33.799999999999997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9"/>
        <v>36.799999999999997</v>
      </c>
      <c r="S233" s="998"/>
      <c r="T233" s="998"/>
      <c r="U233" s="953">
        <f t="shared" si="90"/>
        <v>254.59999999999997</v>
      </c>
      <c r="V233" s="953"/>
      <c r="W233" s="954"/>
      <c r="X233" s="947">
        <f t="shared" si="91"/>
        <v>1091.1428571428569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37" ht="18.75">
      <c r="C234" s="325">
        <v>7</v>
      </c>
      <c r="D234" s="950" t="s">
        <v>133</v>
      </c>
      <c r="E234" s="950"/>
      <c r="F234" s="950"/>
      <c r="G234" s="950"/>
      <c r="H234" s="950"/>
      <c r="I234" s="997">
        <v>38.5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9"/>
        <v>41.5</v>
      </c>
      <c r="S234" s="998"/>
      <c r="T234" s="998"/>
      <c r="U234" s="953">
        <f t="shared" si="90"/>
        <v>287.5</v>
      </c>
      <c r="V234" s="953"/>
      <c r="W234" s="954"/>
      <c r="X234" s="947">
        <f t="shared" si="91"/>
        <v>1232.1428571428571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37" ht="18.75">
      <c r="C235" s="325">
        <v>8</v>
      </c>
      <c r="D235" s="950" t="s">
        <v>118</v>
      </c>
      <c r="E235" s="950"/>
      <c r="F235" s="950"/>
      <c r="G235" s="950"/>
      <c r="H235" s="950"/>
      <c r="I235" s="997">
        <v>34.095199999999998</v>
      </c>
      <c r="J235" s="997"/>
      <c r="K235" s="997"/>
      <c r="L235" s="952">
        <v>1</v>
      </c>
      <c r="M235" s="952"/>
      <c r="N235" s="952"/>
      <c r="O235" s="952">
        <v>2</v>
      </c>
      <c r="P235" s="952"/>
      <c r="Q235" s="952"/>
      <c r="R235" s="998">
        <f t="shared" si="89"/>
        <v>37.095199999999998</v>
      </c>
      <c r="S235" s="998"/>
      <c r="T235" s="998"/>
      <c r="U235" s="953">
        <f t="shared" si="90"/>
        <v>256.66639999999995</v>
      </c>
      <c r="V235" s="953"/>
      <c r="W235" s="954"/>
      <c r="X235" s="947">
        <f t="shared" si="91"/>
        <v>1099.9988571428571</v>
      </c>
      <c r="Y235" s="948"/>
      <c r="Z235" s="949"/>
      <c r="AA235" s="993">
        <v>31</v>
      </c>
      <c r="AB235" s="994"/>
      <c r="AC235" s="994"/>
      <c r="AD235" s="995">
        <v>0</v>
      </c>
      <c r="AE235" s="995"/>
      <c r="AF235" s="995"/>
      <c r="AG235" s="310"/>
      <c r="AH235" s="104"/>
      <c r="AI235" s="104"/>
      <c r="AJ235" s="255"/>
      <c r="AK235" s="255"/>
    </row>
    <row r="236" spans="3:37" ht="17.25">
      <c r="C236" s="325">
        <v>9</v>
      </c>
      <c r="D236" s="950"/>
      <c r="E236" s="950"/>
      <c r="F236" s="950"/>
      <c r="G236" s="950"/>
      <c r="H236" s="950"/>
      <c r="I236" s="951"/>
      <c r="J236" s="951"/>
      <c r="K236" s="951"/>
      <c r="L236" s="952"/>
      <c r="M236" s="952"/>
      <c r="N236" s="952"/>
      <c r="O236" s="952"/>
      <c r="P236" s="952"/>
      <c r="Q236" s="952"/>
      <c r="R236" s="938"/>
      <c r="S236" s="938"/>
      <c r="T236" s="938"/>
      <c r="U236" s="953"/>
      <c r="V236" s="953"/>
      <c r="W236" s="954"/>
      <c r="X236" s="947"/>
      <c r="Y236" s="948"/>
      <c r="Z236" s="949"/>
      <c r="AA236" s="993"/>
      <c r="AB236" s="994"/>
      <c r="AC236" s="994"/>
      <c r="AD236" s="995"/>
      <c r="AE236" s="995"/>
      <c r="AF236" s="995"/>
      <c r="AG236" s="310"/>
      <c r="AH236" s="104"/>
      <c r="AI236" s="104"/>
      <c r="AJ236" s="255"/>
      <c r="AK236" s="255"/>
    </row>
    <row r="237" spans="3:37" ht="17.25">
      <c r="C237" s="323"/>
      <c r="D237" s="278"/>
      <c r="E237" s="279"/>
      <c r="F237" s="280"/>
      <c r="G237" s="226"/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938" t="s">
        <v>23</v>
      </c>
      <c r="T237" s="938"/>
      <c r="U237" s="938"/>
      <c r="V237" s="226"/>
      <c r="W237" s="226"/>
      <c r="X237" s="939">
        <f>SUM(X228:Z236)</f>
        <v>8969.718857142856</v>
      </c>
      <c r="Y237" s="940"/>
      <c r="Z237" s="941"/>
      <c r="AA237" s="326"/>
      <c r="AB237" s="326"/>
      <c r="AC237" s="326"/>
      <c r="AD237" s="996">
        <f>SUM(AD228:AF236)</f>
        <v>5.4759999999999991</v>
      </c>
      <c r="AE237" s="996"/>
      <c r="AF237" s="996"/>
      <c r="AG237" s="310"/>
      <c r="AH237" s="104"/>
      <c r="AI237" s="104"/>
      <c r="AJ237" s="255"/>
      <c r="AK237" s="255"/>
    </row>
    <row r="238" spans="3:37" ht="15.75" thickBot="1">
      <c r="C238" s="323"/>
      <c r="D238" s="992">
        <v>28.333300000000001</v>
      </c>
      <c r="E238" s="992"/>
      <c r="F238" s="992"/>
      <c r="G238" s="652" t="s">
        <v>139</v>
      </c>
      <c r="H238" s="226"/>
      <c r="I238" s="280"/>
      <c r="J238" s="226"/>
      <c r="K238" s="275"/>
      <c r="L238" s="275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104"/>
      <c r="AB238" s="104"/>
      <c r="AC238" s="104"/>
      <c r="AD238" s="104"/>
      <c r="AE238" s="255"/>
      <c r="AF238" s="255"/>
      <c r="AG238" s="310"/>
      <c r="AH238" s="104"/>
      <c r="AI238" s="104"/>
      <c r="AJ238" s="255"/>
      <c r="AK238" s="255"/>
    </row>
    <row r="239" spans="3:37" ht="15.75" thickBot="1">
      <c r="C239" s="323"/>
      <c r="D239" s="992">
        <v>31</v>
      </c>
      <c r="E239" s="992"/>
      <c r="F239" s="992"/>
      <c r="G239" s="652" t="s">
        <v>140</v>
      </c>
      <c r="H239" s="226"/>
      <c r="I239" s="280"/>
      <c r="J239" s="226"/>
      <c r="K239" s="275"/>
      <c r="L239" s="275"/>
      <c r="M239" s="992">
        <f>+D239-D238</f>
        <v>2.6666999999999987</v>
      </c>
      <c r="N239" s="992"/>
      <c r="O239" s="992"/>
      <c r="P239" s="651" t="s">
        <v>138</v>
      </c>
      <c r="Q239" s="226"/>
      <c r="R239" s="226"/>
      <c r="S239" s="226"/>
      <c r="T239" s="327"/>
      <c r="U239" s="226"/>
      <c r="V239" s="226"/>
      <c r="W239" s="327" t="s">
        <v>137</v>
      </c>
      <c r="X239" s="226"/>
      <c r="Y239" s="226"/>
      <c r="Z239" s="226"/>
      <c r="AA239" s="104"/>
      <c r="AB239" s="104"/>
      <c r="AC239" s="104"/>
      <c r="AD239" s="944">
        <f>+AD237</f>
        <v>5.4759999999999991</v>
      </c>
      <c r="AE239" s="945"/>
      <c r="AF239" s="946"/>
      <c r="AG239" s="310"/>
      <c r="AH239" s="104"/>
      <c r="AI239" s="104"/>
      <c r="AJ239" s="255"/>
      <c r="AK239" s="255"/>
    </row>
    <row r="240" spans="3:37" ht="15.75" thickBot="1">
      <c r="C240" s="328"/>
      <c r="D240" s="315"/>
      <c r="E240" s="316"/>
      <c r="F240" s="317"/>
      <c r="G240" s="315"/>
      <c r="H240" s="315"/>
      <c r="I240" s="317"/>
      <c r="J240" s="315"/>
      <c r="K240" s="318"/>
      <c r="L240" s="318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9"/>
      <c r="AB240" s="319"/>
      <c r="AC240" s="319"/>
      <c r="AD240" s="329"/>
      <c r="AE240" s="329"/>
      <c r="AF240" s="329"/>
      <c r="AG240" s="320"/>
      <c r="AH240" s="104"/>
      <c r="AI240" s="104"/>
      <c r="AJ240" s="255"/>
      <c r="AK240" s="255"/>
    </row>
    <row r="241" spans="2:46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5.75" thickBot="1"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2:46" ht="16.5" thickBot="1">
      <c r="B243" s="592">
        <v>850</v>
      </c>
      <c r="C243" s="593" t="s">
        <v>66</v>
      </c>
      <c r="D243" s="594"/>
      <c r="E243" s="627" t="s">
        <v>29</v>
      </c>
      <c r="F243" s="595"/>
      <c r="G243" s="594"/>
      <c r="H243" s="594"/>
      <c r="I243" s="595"/>
      <c r="J243" s="594"/>
      <c r="K243" s="595"/>
      <c r="L243" s="595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6"/>
      <c r="AB243" s="596"/>
      <c r="AC243" s="597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 ht="15.75">
      <c r="B244" s="598">
        <f>+B243/30*7</f>
        <v>198.33333333333331</v>
      </c>
      <c r="C244" s="599" t="s">
        <v>67</v>
      </c>
      <c r="D244" s="600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 t="s">
        <v>126</v>
      </c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/>
      <c r="AB244" s="603"/>
      <c r="AC244" s="604"/>
      <c r="AD244" s="386"/>
      <c r="AE244" s="797"/>
      <c r="AF244" s="797"/>
      <c r="AG244" s="386"/>
      <c r="AH244" s="386"/>
      <c r="AI244" s="386"/>
      <c r="AJ244" s="797"/>
      <c r="AK244" s="797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598">
        <f>+B244-18</f>
        <v>180.33333333333331</v>
      </c>
      <c r="C245" s="599" t="s">
        <v>69</v>
      </c>
      <c r="D245" s="601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+B243</f>
        <v>850</v>
      </c>
      <c r="P245" s="969"/>
      <c r="Q245" s="969" t="s">
        <v>70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603" t="s">
        <v>71</v>
      </c>
      <c r="AB245" s="603"/>
      <c r="AC245" s="604"/>
      <c r="AD245" s="386"/>
      <c r="AE245" s="797"/>
      <c r="AF245" s="797"/>
      <c r="AG245" s="386"/>
      <c r="AH245" s="386"/>
      <c r="AI245" s="386"/>
      <c r="AJ245" s="797"/>
      <c r="AK245" s="797"/>
      <c r="AL245" s="386"/>
      <c r="AM245" s="386"/>
      <c r="AN245" s="386"/>
      <c r="AO245" s="386"/>
      <c r="AP245" s="173"/>
      <c r="AQ245" s="173"/>
      <c r="AR245" s="173"/>
      <c r="AS245" s="173"/>
      <c r="AT245" s="173"/>
    </row>
    <row r="246" spans="2:46">
      <c r="B246" s="605">
        <f>+B245/7</f>
        <v>25.761904761904759</v>
      </c>
      <c r="C246" s="606" t="s">
        <v>72</v>
      </c>
      <c r="D246" s="607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+O245/30*7</f>
        <v>198.33333333333331</v>
      </c>
      <c r="P246" s="969"/>
      <c r="Q246" s="969" t="s">
        <v>73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990">
        <f>+O246*0.87</f>
        <v>172.54999999999998</v>
      </c>
      <c r="AB246" s="990"/>
      <c r="AC246" s="604"/>
      <c r="AD246" s="386"/>
      <c r="AE246" s="261"/>
      <c r="AF246" s="261"/>
      <c r="AG246" s="386"/>
      <c r="AH246" s="386"/>
      <c r="AI246" s="386"/>
      <c r="AJ246" s="261"/>
      <c r="AK246" s="261"/>
      <c r="AL246" s="397"/>
      <c r="AM246" s="397"/>
      <c r="AN246" s="397"/>
      <c r="AO246" s="397"/>
      <c r="AP246" s="398"/>
      <c r="AQ246" s="398"/>
      <c r="AR246" s="173"/>
      <c r="AS246" s="173"/>
      <c r="AT246" s="173"/>
    </row>
    <row r="247" spans="2:46">
      <c r="B247" s="608"/>
      <c r="C247" s="601"/>
      <c r="D247" s="601"/>
      <c r="E247" s="601"/>
      <c r="F247" s="602"/>
      <c r="G247" s="601"/>
      <c r="H247" s="601"/>
      <c r="I247" s="602"/>
      <c r="J247" s="601"/>
      <c r="K247" s="602"/>
      <c r="L247" s="602"/>
      <c r="M247" s="601"/>
      <c r="N247" s="601"/>
      <c r="O247" s="969">
        <f>+O246/7</f>
        <v>28.333333333333332</v>
      </c>
      <c r="P247" s="969"/>
      <c r="Q247" s="969" t="s">
        <v>74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797"/>
      <c r="AF247" s="797"/>
      <c r="AG247" s="386"/>
      <c r="AH247" s="386"/>
      <c r="AI247" s="386"/>
      <c r="AJ247" s="797"/>
      <c r="AK247" s="797"/>
      <c r="AL247" s="399"/>
      <c r="AM247" s="399"/>
      <c r="AN247" s="397"/>
      <c r="AO247" s="397"/>
      <c r="AP247" s="398"/>
      <c r="AQ247" s="398"/>
      <c r="AR247" s="173"/>
      <c r="AS247" s="173"/>
      <c r="AT247" s="173"/>
    </row>
    <row r="248" spans="2:46" ht="15.75">
      <c r="B248" s="609">
        <f>+B246</f>
        <v>25.761904761904759</v>
      </c>
      <c r="C248" s="610" t="s">
        <v>127</v>
      </c>
      <c r="D248" s="611"/>
      <c r="E248" s="611"/>
      <c r="F248" s="611"/>
      <c r="G248" s="601"/>
      <c r="H248" s="601"/>
      <c r="I248" s="602"/>
      <c r="J248" s="601"/>
      <c r="K248" s="602"/>
      <c r="L248" s="602"/>
      <c r="M248" s="601"/>
      <c r="N248" s="601"/>
      <c r="O248" s="969">
        <f>(O246-18)/7</f>
        <v>25.761904761904759</v>
      </c>
      <c r="P248" s="969"/>
      <c r="Q248" s="969" t="s">
        <v>76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264"/>
      <c r="AF248" s="264"/>
      <c r="AG248" s="265"/>
      <c r="AH248" s="265"/>
      <c r="AI248" s="265"/>
      <c r="AJ248" s="264"/>
      <c r="AK248" s="264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598">
        <v>3</v>
      </c>
      <c r="C249" s="599" t="s">
        <v>77</v>
      </c>
      <c r="D249" s="601"/>
      <c r="E249" s="601"/>
      <c r="F249" s="602"/>
      <c r="G249" s="601"/>
      <c r="H249" s="601"/>
      <c r="I249" s="602"/>
      <c r="J249" s="601"/>
      <c r="K249" s="602"/>
      <c r="L249" s="602"/>
      <c r="M249" s="601"/>
      <c r="N249" s="601"/>
      <c r="O249" s="969">
        <v>3</v>
      </c>
      <c r="P249" s="969"/>
      <c r="Q249" s="969" t="s">
        <v>78</v>
      </c>
      <c r="R249" s="969"/>
      <c r="S249" s="969"/>
      <c r="T249" s="969"/>
      <c r="U249" s="969"/>
      <c r="V249" s="969"/>
      <c r="W249" s="969"/>
      <c r="X249" s="969"/>
      <c r="Y249" s="969"/>
      <c r="Z249" s="969"/>
      <c r="AA249" s="603"/>
      <c r="AB249" s="603"/>
      <c r="AC249" s="604"/>
      <c r="AD249" s="386"/>
      <c r="AE249" s="386"/>
      <c r="AF249" s="991">
        <v>993814365</v>
      </c>
      <c r="AG249" s="991"/>
      <c r="AH249" s="991"/>
      <c r="AI249" s="991"/>
      <c r="AJ249" s="991"/>
      <c r="AK249" s="386"/>
      <c r="AL249" s="397"/>
      <c r="AM249" s="397"/>
      <c r="AN249" s="397"/>
      <c r="AO249" s="397"/>
      <c r="AP249" s="398"/>
      <c r="AQ249" s="398"/>
      <c r="AR249" s="173"/>
      <c r="AS249" s="173"/>
      <c r="AT249" s="173"/>
    </row>
    <row r="250" spans="2:46">
      <c r="B250" s="605">
        <f>+B249+B248</f>
        <v>28.761904761904759</v>
      </c>
      <c r="C250" s="606" t="s">
        <v>79</v>
      </c>
      <c r="D250" s="612"/>
      <c r="E250" s="612"/>
      <c r="F250" s="613"/>
      <c r="G250" s="612"/>
      <c r="H250" s="612"/>
      <c r="I250" s="613"/>
      <c r="J250" s="612"/>
      <c r="K250" s="613"/>
      <c r="L250" s="613"/>
      <c r="M250" s="607"/>
      <c r="N250" s="601"/>
      <c r="O250" s="969">
        <f>+O249+O248</f>
        <v>28.761904761904759</v>
      </c>
      <c r="P250" s="969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797"/>
      <c r="AF250" s="797"/>
      <c r="AG250" s="386"/>
      <c r="AH250" s="386"/>
      <c r="AI250" s="386"/>
      <c r="AJ250" s="797"/>
      <c r="AK250" s="797"/>
      <c r="AL250" s="399"/>
      <c r="AM250" s="399"/>
      <c r="AN250" s="399"/>
      <c r="AO250" s="399"/>
      <c r="AP250" s="401"/>
      <c r="AQ250" s="173"/>
      <c r="AR250" s="173"/>
      <c r="AS250" s="173"/>
      <c r="AT250" s="173"/>
    </row>
    <row r="251" spans="2:46">
      <c r="B251" s="598"/>
      <c r="C251" s="601"/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  <c r="AA251" s="603"/>
      <c r="AB251" s="603"/>
      <c r="AC251" s="604"/>
      <c r="AD251" s="386"/>
      <c r="AE251" s="402"/>
      <c r="AF251" s="402"/>
      <c r="AG251" s="402"/>
      <c r="AH251" s="386"/>
      <c r="AI251" s="386"/>
      <c r="AJ251" s="402"/>
      <c r="AK251" s="402"/>
      <c r="AL251" s="397"/>
      <c r="AM251" s="386"/>
      <c r="AN251" s="386"/>
      <c r="AO251" s="386"/>
      <c r="AP251" s="173"/>
      <c r="AQ251" s="173"/>
      <c r="AR251" s="173"/>
      <c r="AS251" s="173"/>
      <c r="AT251" s="173"/>
    </row>
    <row r="252" spans="2:46">
      <c r="B252" s="598">
        <f>+B250*6</f>
        <v>172.57142857142856</v>
      </c>
      <c r="C252" s="599" t="s">
        <v>80</v>
      </c>
      <c r="D252" s="601"/>
      <c r="E252" s="601"/>
      <c r="F252" s="602"/>
      <c r="G252" s="601"/>
      <c r="H252" s="601"/>
      <c r="I252" s="602"/>
      <c r="J252" s="601"/>
      <c r="K252" s="602"/>
      <c r="L252" s="602"/>
      <c r="M252" s="601"/>
      <c r="N252" s="601"/>
      <c r="O252" s="969" t="s">
        <v>128</v>
      </c>
      <c r="P252" s="969"/>
      <c r="Q252" s="969"/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/>
      <c r="AB252" s="603"/>
      <c r="AC252" s="604"/>
      <c r="AD252" s="386"/>
      <c r="AE252" s="386"/>
      <c r="AF252" s="386"/>
      <c r="AG252" s="386"/>
      <c r="AH252" s="386"/>
      <c r="AI252" s="397"/>
      <c r="AJ252" s="397"/>
      <c r="AK252" s="399"/>
      <c r="AL252" s="785"/>
      <c r="AM252" s="797"/>
      <c r="AN252" s="785"/>
      <c r="AO252" s="386"/>
      <c r="AP252" s="173"/>
      <c r="AQ252" s="173"/>
      <c r="AR252" s="173"/>
      <c r="AS252" s="173"/>
      <c r="AT252" s="173"/>
    </row>
    <row r="253" spans="2:46">
      <c r="B253" s="614">
        <f>+B248</f>
        <v>25.761904761904759</v>
      </c>
      <c r="C253" s="615" t="s">
        <v>82</v>
      </c>
      <c r="D253" s="616"/>
      <c r="E253" s="616"/>
      <c r="F253" s="617"/>
      <c r="G253" s="616"/>
      <c r="H253" s="616"/>
      <c r="I253" s="617"/>
      <c r="J253" s="616"/>
      <c r="K253" s="617"/>
      <c r="L253" s="602"/>
      <c r="M253" s="601"/>
      <c r="N253" s="601"/>
      <c r="O253" s="969">
        <f>+O245*1.1</f>
        <v>935.00000000000011</v>
      </c>
      <c r="P253" s="969"/>
      <c r="Q253" s="969" t="s">
        <v>70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603" t="s">
        <v>83</v>
      </c>
      <c r="AB253" s="603"/>
      <c r="AC253" s="604"/>
      <c r="AG253" s="173"/>
      <c r="AH253" s="173"/>
      <c r="AI253" s="398"/>
      <c r="AJ253" s="398"/>
      <c r="AK253" s="398"/>
      <c r="AL253" s="173"/>
      <c r="AM253" s="173"/>
      <c r="AN253" s="173"/>
      <c r="AO253" s="173"/>
    </row>
    <row r="254" spans="2:46">
      <c r="B254" s="605">
        <f>+B253+B252</f>
        <v>198.33333333333331</v>
      </c>
      <c r="C254" s="606" t="s">
        <v>84</v>
      </c>
      <c r="D254" s="612"/>
      <c r="E254" s="612"/>
      <c r="F254" s="613"/>
      <c r="G254" s="612"/>
      <c r="H254" s="612"/>
      <c r="I254" s="613"/>
      <c r="J254" s="612"/>
      <c r="K254" s="618"/>
      <c r="L254" s="602"/>
      <c r="M254" s="601"/>
      <c r="N254" s="601"/>
      <c r="O254" s="969">
        <f>+O253/30*7</f>
        <v>218.16666666666669</v>
      </c>
      <c r="P254" s="969"/>
      <c r="Q254" s="969" t="s">
        <v>73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990">
        <f>+O254*0.87</f>
        <v>189.80500000000001</v>
      </c>
      <c r="AB254" s="990"/>
      <c r="AC254" s="604"/>
      <c r="AG254" s="173"/>
      <c r="AH254" s="173"/>
      <c r="AI254" s="398"/>
      <c r="AJ254" s="398"/>
      <c r="AK254" s="277"/>
      <c r="AL254" s="173"/>
      <c r="AM254" s="173"/>
      <c r="AN254" s="173"/>
      <c r="AO254" s="173"/>
    </row>
    <row r="255" spans="2:46">
      <c r="B255" s="598"/>
      <c r="C255" s="599"/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+O254/7</f>
        <v>31.166666666666668</v>
      </c>
      <c r="P255" s="969"/>
      <c r="Q255" s="969" t="s">
        <v>74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281"/>
      <c r="AJ255" s="282"/>
      <c r="AK255" s="277"/>
      <c r="AL255" s="173"/>
      <c r="AM255" s="173"/>
      <c r="AN255" s="173"/>
      <c r="AO255" s="173"/>
    </row>
    <row r="256" spans="2:46">
      <c r="B256" s="619">
        <f>+B254/7</f>
        <v>28.333333333333332</v>
      </c>
      <c r="C256" s="620" t="s">
        <v>85</v>
      </c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f>(O254-18)/7</f>
        <v>28.595238095238098</v>
      </c>
      <c r="P256" s="969"/>
      <c r="Q256" s="969" t="s">
        <v>76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277"/>
      <c r="AL256" s="173"/>
      <c r="AM256" s="173"/>
      <c r="AN256" s="173"/>
      <c r="AO256" s="173"/>
    </row>
    <row r="257" spans="2:41">
      <c r="B257" s="598"/>
      <c r="C257" s="599"/>
      <c r="D257" s="601"/>
      <c r="E257" s="601"/>
      <c r="F257" s="602"/>
      <c r="G257" s="601"/>
      <c r="H257" s="601"/>
      <c r="I257" s="602"/>
      <c r="J257" s="601"/>
      <c r="K257" s="602"/>
      <c r="L257" s="602"/>
      <c r="M257" s="601"/>
      <c r="N257" s="601"/>
      <c r="O257" s="969">
        <v>3</v>
      </c>
      <c r="P257" s="969"/>
      <c r="Q257" s="969" t="s">
        <v>78</v>
      </c>
      <c r="R257" s="969"/>
      <c r="S257" s="969"/>
      <c r="T257" s="969"/>
      <c r="U257" s="969"/>
      <c r="V257" s="969"/>
      <c r="W257" s="969"/>
      <c r="X257" s="969"/>
      <c r="Y257" s="969"/>
      <c r="Z257" s="969"/>
      <c r="AA257" s="603"/>
      <c r="AB257" s="603"/>
      <c r="AC257" s="604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 ht="15.75" thickBot="1">
      <c r="B258" s="621"/>
      <c r="C258" s="622"/>
      <c r="D258" s="623"/>
      <c r="E258" s="623"/>
      <c r="F258" s="624"/>
      <c r="G258" s="623"/>
      <c r="H258" s="623"/>
      <c r="I258" s="624"/>
      <c r="J258" s="623"/>
      <c r="K258" s="624"/>
      <c r="L258" s="624"/>
      <c r="M258" s="623"/>
      <c r="N258" s="623"/>
      <c r="O258" s="970">
        <f>+O257+O256</f>
        <v>31.595238095238098</v>
      </c>
      <c r="P258" s="970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625"/>
      <c r="AB258" s="625"/>
      <c r="AC258" s="626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>
      <c r="B259" s="365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2:41" ht="15.75" thickBot="1">
      <c r="AE260" s="255"/>
      <c r="AF260" s="255"/>
      <c r="AJ260" s="255"/>
      <c r="AK260" s="255"/>
    </row>
    <row r="261" spans="2:41">
      <c r="C261" s="321"/>
      <c r="D261" s="801"/>
      <c r="E261" s="304"/>
      <c r="F261" s="305"/>
      <c r="G261" s="801"/>
      <c r="H261" s="801"/>
      <c r="I261" s="305"/>
      <c r="J261" s="801"/>
      <c r="K261" s="306"/>
      <c r="L261" s="306"/>
      <c r="M261" s="801"/>
      <c r="N261" s="801"/>
      <c r="O261" s="801"/>
      <c r="P261" s="801"/>
      <c r="Q261" s="801"/>
      <c r="R261" s="801"/>
      <c r="S261" s="801"/>
      <c r="T261" s="801"/>
      <c r="U261" s="801"/>
      <c r="V261" s="801"/>
      <c r="W261" s="801"/>
      <c r="X261" s="801"/>
      <c r="Y261" s="801"/>
      <c r="Z261" s="801"/>
      <c r="AA261" s="307"/>
      <c r="AB261" s="307"/>
      <c r="AC261" s="307"/>
      <c r="AD261" s="307"/>
      <c r="AE261" s="322"/>
      <c r="AF261" s="322"/>
      <c r="AG261" s="308"/>
      <c r="AJ261" s="255"/>
      <c r="AK261" s="255"/>
    </row>
    <row r="262" spans="2:41" ht="18">
      <c r="C262" s="323"/>
      <c r="D262" s="226"/>
      <c r="E262" s="324" t="s">
        <v>94</v>
      </c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104"/>
      <c r="AB262" s="104"/>
      <c r="AC262" s="104"/>
      <c r="AD262" s="104"/>
      <c r="AE262" s="255"/>
      <c r="AF262" s="255"/>
      <c r="AG262" s="310"/>
      <c r="AJ262" s="255"/>
      <c r="AK262" s="255"/>
    </row>
    <row r="263" spans="2:41">
      <c r="C263" s="323"/>
      <c r="D263" s="226"/>
      <c r="E263" s="279"/>
      <c r="F263" s="280"/>
      <c r="G263" s="226"/>
      <c r="H263" s="226"/>
      <c r="I263" s="280"/>
      <c r="J263" s="226"/>
      <c r="K263" s="275"/>
      <c r="L263" s="275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971" t="s">
        <v>95</v>
      </c>
      <c r="AB263" s="972"/>
      <c r="AC263" s="973"/>
      <c r="AD263" s="974" t="s">
        <v>96</v>
      </c>
      <c r="AE263" s="975"/>
      <c r="AF263" s="976"/>
      <c r="AG263" s="310"/>
      <c r="AH263" s="104"/>
      <c r="AI263" s="104"/>
      <c r="AJ263" s="255"/>
      <c r="AK263" s="255"/>
    </row>
    <row r="264" spans="2:41" ht="16.5" thickBot="1">
      <c r="C264" s="323"/>
      <c r="D264" s="977" t="s">
        <v>97</v>
      </c>
      <c r="E264" s="977"/>
      <c r="F264" s="977"/>
      <c r="G264" s="977"/>
      <c r="H264" s="977"/>
      <c r="I264" s="978" t="s">
        <v>98</v>
      </c>
      <c r="J264" s="978"/>
      <c r="K264" s="978"/>
      <c r="L264" s="979" t="s">
        <v>99</v>
      </c>
      <c r="M264" s="979"/>
      <c r="N264" s="979"/>
      <c r="O264" s="979" t="s">
        <v>100</v>
      </c>
      <c r="P264" s="979"/>
      <c r="Q264" s="979"/>
      <c r="R264" s="980" t="s">
        <v>101</v>
      </c>
      <c r="S264" s="980"/>
      <c r="T264" s="980"/>
      <c r="U264" s="979" t="s">
        <v>102</v>
      </c>
      <c r="V264" s="979"/>
      <c r="W264" s="981"/>
      <c r="X264" s="982" t="s">
        <v>103</v>
      </c>
      <c r="Y264" s="983"/>
      <c r="Z264" s="984"/>
      <c r="AA264" s="985" t="s">
        <v>104</v>
      </c>
      <c r="AB264" s="985"/>
      <c r="AC264" s="986"/>
      <c r="AD264" s="987" t="s">
        <v>104</v>
      </c>
      <c r="AE264" s="988"/>
      <c r="AF264" s="989"/>
      <c r="AG264" s="310"/>
      <c r="AH264" s="104"/>
      <c r="AI264" s="104"/>
      <c r="AJ264" s="255"/>
      <c r="AK264" s="255"/>
    </row>
    <row r="265" spans="2:41" ht="19.5" thickTop="1">
      <c r="C265" s="325">
        <v>1</v>
      </c>
      <c r="D265" s="957" t="s">
        <v>105</v>
      </c>
      <c r="E265" s="957"/>
      <c r="F265" s="957"/>
      <c r="G265" s="957"/>
      <c r="H265" s="957"/>
      <c r="I265" s="958">
        <v>38.5</v>
      </c>
      <c r="J265" s="958"/>
      <c r="K265" s="958"/>
      <c r="L265" s="959">
        <v>1</v>
      </c>
      <c r="M265" s="959"/>
      <c r="N265" s="959"/>
      <c r="O265" s="959">
        <v>2</v>
      </c>
      <c r="P265" s="959"/>
      <c r="Q265" s="959"/>
      <c r="R265" s="960">
        <f t="shared" ref="R265:R271" si="93">+I265+L265+O265</f>
        <v>41.5</v>
      </c>
      <c r="S265" s="960"/>
      <c r="T265" s="960"/>
      <c r="U265" s="961">
        <f t="shared" ref="U265:U271" si="94">+I265*7+(L265+O265)*6</f>
        <v>287.5</v>
      </c>
      <c r="V265" s="961"/>
      <c r="W265" s="962"/>
      <c r="X265" s="963">
        <f t="shared" ref="X265:X271" si="95">+U265/7*30</f>
        <v>1232.1428571428571</v>
      </c>
      <c r="Y265" s="964"/>
      <c r="Z265" s="965"/>
      <c r="AA265" s="966">
        <v>37.571399999999997</v>
      </c>
      <c r="AB265" s="967"/>
      <c r="AC265" s="967"/>
      <c r="AD265" s="968">
        <f t="shared" ref="AD265:AD271" si="96">+AA265*30</f>
        <v>1127.1419999999998</v>
      </c>
      <c r="AE265" s="968"/>
      <c r="AF265" s="968"/>
      <c r="AG265" s="310"/>
      <c r="AH265" s="104" t="s">
        <v>106</v>
      </c>
      <c r="AI265" s="954" t="s">
        <v>107</v>
      </c>
      <c r="AJ265" s="955"/>
      <c r="AK265" s="955"/>
      <c r="AL265" s="955"/>
      <c r="AM265" s="956"/>
    </row>
    <row r="266" spans="2:41" ht="17.25">
      <c r="C266" s="325">
        <v>2</v>
      </c>
      <c r="D266" s="950" t="s">
        <v>108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93"/>
        <v>41.5</v>
      </c>
      <c r="S266" s="938"/>
      <c r="T266" s="938"/>
      <c r="U266" s="953">
        <f t="shared" si="94"/>
        <v>287.5</v>
      </c>
      <c r="V266" s="953"/>
      <c r="W266" s="954"/>
      <c r="X266" s="947">
        <f t="shared" si="95"/>
        <v>1232.1428571428571</v>
      </c>
      <c r="Y266" s="948"/>
      <c r="Z266" s="949"/>
      <c r="AA266" s="935">
        <v>35.571399999999997</v>
      </c>
      <c r="AB266" s="936"/>
      <c r="AC266" s="936"/>
      <c r="AD266" s="937">
        <f t="shared" si="96"/>
        <v>1067.1419999999998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3</v>
      </c>
      <c r="D267" s="950" t="s">
        <v>109</v>
      </c>
      <c r="E267" s="950"/>
      <c r="F267" s="950"/>
      <c r="G267" s="950"/>
      <c r="H267" s="950"/>
      <c r="I267" s="951">
        <v>38.5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93"/>
        <v>41.5</v>
      </c>
      <c r="S267" s="938"/>
      <c r="T267" s="938"/>
      <c r="U267" s="953">
        <f t="shared" si="94"/>
        <v>287.5</v>
      </c>
      <c r="V267" s="953"/>
      <c r="W267" s="954"/>
      <c r="X267" s="947">
        <f t="shared" si="95"/>
        <v>1232.1428571428571</v>
      </c>
      <c r="Y267" s="948"/>
      <c r="Z267" s="949"/>
      <c r="AA267" s="935">
        <v>32.571399999999997</v>
      </c>
      <c r="AB267" s="936"/>
      <c r="AC267" s="936"/>
      <c r="AD267" s="937">
        <f t="shared" si="96"/>
        <v>977.14199999999994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4</v>
      </c>
      <c r="D268" s="950" t="s">
        <v>110</v>
      </c>
      <c r="E268" s="950"/>
      <c r="F268" s="950"/>
      <c r="G268" s="950"/>
      <c r="H268" s="950"/>
      <c r="I268" s="951">
        <v>35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93"/>
        <v>38</v>
      </c>
      <c r="S268" s="938"/>
      <c r="T268" s="938"/>
      <c r="U268" s="953">
        <f t="shared" si="94"/>
        <v>263</v>
      </c>
      <c r="V268" s="953"/>
      <c r="W268" s="954"/>
      <c r="X268" s="947">
        <f t="shared" si="95"/>
        <v>1127.1428571428571</v>
      </c>
      <c r="Y268" s="948"/>
      <c r="Z268" s="949"/>
      <c r="AA268" s="935">
        <v>35.321399999999997</v>
      </c>
      <c r="AB268" s="936"/>
      <c r="AC268" s="936"/>
      <c r="AD268" s="937">
        <f t="shared" si="96"/>
        <v>1059.6419999999998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5</v>
      </c>
      <c r="D269" s="950" t="s">
        <v>111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93"/>
        <v>36.799999999999997</v>
      </c>
      <c r="S269" s="938"/>
      <c r="T269" s="938"/>
      <c r="U269" s="953">
        <f t="shared" si="94"/>
        <v>254.59999999999997</v>
      </c>
      <c r="V269" s="953"/>
      <c r="W269" s="954"/>
      <c r="X269" s="947">
        <f t="shared" si="95"/>
        <v>1091.1428571428569</v>
      </c>
      <c r="Y269" s="948"/>
      <c r="Z269" s="949"/>
      <c r="AA269" s="935">
        <v>31.571400000000001</v>
      </c>
      <c r="AB269" s="936"/>
      <c r="AC269" s="936"/>
      <c r="AD269" s="937">
        <f t="shared" si="96"/>
        <v>947.14200000000005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6</v>
      </c>
      <c r="D270" s="950" t="s">
        <v>112</v>
      </c>
      <c r="E270" s="950"/>
      <c r="F270" s="950"/>
      <c r="G270" s="950"/>
      <c r="H270" s="950"/>
      <c r="I270" s="951">
        <v>33.799999999999997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93"/>
        <v>36.799999999999997</v>
      </c>
      <c r="S270" s="938"/>
      <c r="T270" s="938"/>
      <c r="U270" s="953">
        <f t="shared" si="94"/>
        <v>254.59999999999997</v>
      </c>
      <c r="V270" s="953"/>
      <c r="W270" s="954"/>
      <c r="X270" s="947">
        <f t="shared" si="95"/>
        <v>1091.1428571428569</v>
      </c>
      <c r="Y270" s="948"/>
      <c r="Z270" s="949"/>
      <c r="AA270" s="935">
        <v>33.333300000000001</v>
      </c>
      <c r="AB270" s="936"/>
      <c r="AC270" s="936"/>
      <c r="AD270" s="937">
        <f t="shared" si="96"/>
        <v>999.99900000000002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5">
        <v>7</v>
      </c>
      <c r="D271" s="950" t="s">
        <v>113</v>
      </c>
      <c r="E271" s="950"/>
      <c r="F271" s="950"/>
      <c r="G271" s="950"/>
      <c r="H271" s="950"/>
      <c r="I271" s="951">
        <v>26</v>
      </c>
      <c r="J271" s="951"/>
      <c r="K271" s="951"/>
      <c r="L271" s="952">
        <v>1</v>
      </c>
      <c r="M271" s="952"/>
      <c r="N271" s="952"/>
      <c r="O271" s="952">
        <v>2</v>
      </c>
      <c r="P271" s="952"/>
      <c r="Q271" s="952"/>
      <c r="R271" s="938">
        <f t="shared" si="93"/>
        <v>29</v>
      </c>
      <c r="S271" s="938"/>
      <c r="T271" s="938"/>
      <c r="U271" s="953">
        <f t="shared" si="94"/>
        <v>200</v>
      </c>
      <c r="V271" s="953"/>
      <c r="W271" s="954"/>
      <c r="X271" s="947">
        <f t="shared" si="95"/>
        <v>857.14285714285722</v>
      </c>
      <c r="Y271" s="948"/>
      <c r="Z271" s="949"/>
      <c r="AA271" s="935">
        <v>25</v>
      </c>
      <c r="AB271" s="936"/>
      <c r="AC271" s="936"/>
      <c r="AD271" s="937">
        <f t="shared" si="96"/>
        <v>750</v>
      </c>
      <c r="AE271" s="937"/>
      <c r="AF271" s="937"/>
      <c r="AG271" s="310"/>
      <c r="AH271" s="104"/>
      <c r="AI271" s="104"/>
      <c r="AJ271" s="255"/>
      <c r="AK271" s="255"/>
    </row>
    <row r="272" spans="2:41" ht="17.25">
      <c r="C272" s="323"/>
      <c r="D272" s="278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938" t="s">
        <v>23</v>
      </c>
      <c r="T272" s="938"/>
      <c r="U272" s="938"/>
      <c r="V272" s="226"/>
      <c r="W272" s="226"/>
      <c r="X272" s="939">
        <f>SUM(X265:Z271)</f>
        <v>7862.9999999999991</v>
      </c>
      <c r="Y272" s="940"/>
      <c r="Z272" s="941"/>
      <c r="AA272" s="326"/>
      <c r="AB272" s="326"/>
      <c r="AC272" s="326"/>
      <c r="AD272" s="942">
        <f>SUM(AD265:AF271)</f>
        <v>6928.2089999999989</v>
      </c>
      <c r="AE272" s="942"/>
      <c r="AF272" s="942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275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104"/>
      <c r="AB273" s="104"/>
      <c r="AC273" s="104"/>
      <c r="AD273" s="104"/>
      <c r="AE273" s="255"/>
      <c r="AF273" s="255"/>
      <c r="AG273" s="310"/>
      <c r="AH273" s="104"/>
      <c r="AI273" s="104"/>
      <c r="AJ273" s="255"/>
      <c r="AK273" s="255"/>
    </row>
    <row r="274" spans="3:41" ht="15.75" thickBot="1">
      <c r="C274" s="323"/>
      <c r="D274" s="226"/>
      <c r="E274" s="279"/>
      <c r="F274" s="280"/>
      <c r="G274" s="226"/>
      <c r="H274" s="226"/>
      <c r="I274" s="280"/>
      <c r="J274" s="226"/>
      <c r="K274" s="275"/>
      <c r="L274" s="943" t="s">
        <v>114</v>
      </c>
      <c r="M274" s="943"/>
      <c r="N274" s="943"/>
      <c r="O274" s="226"/>
      <c r="P274" s="226"/>
      <c r="Q274" s="226"/>
      <c r="R274" s="226"/>
      <c r="S274" s="226"/>
      <c r="T274" s="327" t="s">
        <v>115</v>
      </c>
      <c r="U274" s="226"/>
      <c r="V274" s="226"/>
      <c r="W274" s="226"/>
      <c r="X274" s="226"/>
      <c r="Y274" s="226"/>
      <c r="Z274" s="226"/>
      <c r="AA274" s="104"/>
      <c r="AB274" s="104"/>
      <c r="AC274" s="104"/>
      <c r="AD274" s="944">
        <f>+X272-AD272+0.01</f>
        <v>934.80100000000016</v>
      </c>
      <c r="AE274" s="945"/>
      <c r="AF274" s="946"/>
      <c r="AG274" s="310"/>
      <c r="AH274" s="104"/>
      <c r="AI274" s="104"/>
      <c r="AJ274" s="255"/>
      <c r="AK274" s="255"/>
    </row>
    <row r="275" spans="3:41" ht="15.75" thickBot="1">
      <c r="C275" s="328"/>
      <c r="D275" s="315"/>
      <c r="E275" s="316"/>
      <c r="F275" s="317"/>
      <c r="G275" s="315"/>
      <c r="H275" s="315"/>
      <c r="I275" s="317"/>
      <c r="J275" s="315"/>
      <c r="K275" s="318"/>
      <c r="L275" s="318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9"/>
      <c r="AB275" s="319"/>
      <c r="AC275" s="319"/>
      <c r="AD275" s="329"/>
      <c r="AE275" s="329"/>
      <c r="AF275" s="329"/>
      <c r="AG275" s="320"/>
      <c r="AH275" s="104"/>
      <c r="AI275" s="104"/>
      <c r="AJ275" s="255"/>
      <c r="AK275" s="255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3:41">
      <c r="AG278" s="173"/>
      <c r="AH278" s="173"/>
      <c r="AI278" s="173"/>
      <c r="AJ278" s="173"/>
      <c r="AK278" s="173"/>
      <c r="AL278" s="173"/>
      <c r="AM278" s="173"/>
      <c r="AN278" s="173"/>
      <c r="AO278" s="173"/>
    </row>
  </sheetData>
  <mergeCells count="832">
    <mergeCell ref="AA271:AC271"/>
    <mergeCell ref="AD271:AF271"/>
    <mergeCell ref="S272:U272"/>
    <mergeCell ref="X272:Z272"/>
    <mergeCell ref="AD272:AF272"/>
    <mergeCell ref="L274:N274"/>
    <mergeCell ref="AD274:AF274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D270:H270"/>
    <mergeCell ref="I270:K270"/>
    <mergeCell ref="L270:N270"/>
    <mergeCell ref="O270:Q270"/>
    <mergeCell ref="R270:T270"/>
    <mergeCell ref="U270:W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5:AM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O257:P257"/>
    <mergeCell ref="Q257:Z257"/>
    <mergeCell ref="O258:P258"/>
    <mergeCell ref="AA263:AC263"/>
    <mergeCell ref="AD263:AF263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4:P254"/>
    <mergeCell ref="Q254:Z254"/>
    <mergeCell ref="AA254:AB254"/>
    <mergeCell ref="O255:P255"/>
    <mergeCell ref="Q255:Z255"/>
    <mergeCell ref="O256:P256"/>
    <mergeCell ref="Q256:Z256"/>
    <mergeCell ref="O249:P249"/>
    <mergeCell ref="Q249:Z249"/>
    <mergeCell ref="AF249:AJ249"/>
    <mergeCell ref="O250:P250"/>
    <mergeCell ref="O252:Z252"/>
    <mergeCell ref="O253:P253"/>
    <mergeCell ref="Q253:Z253"/>
    <mergeCell ref="O246:P246"/>
    <mergeCell ref="Q246:Z246"/>
    <mergeCell ref="AA246:AB246"/>
    <mergeCell ref="O247:P247"/>
    <mergeCell ref="Q247:Z247"/>
    <mergeCell ref="O248:P248"/>
    <mergeCell ref="Q248:Z248"/>
    <mergeCell ref="D238:F238"/>
    <mergeCell ref="D239:F239"/>
    <mergeCell ref="M239:O239"/>
    <mergeCell ref="AD239:AF239"/>
    <mergeCell ref="O244:Z244"/>
    <mergeCell ref="O245:P245"/>
    <mergeCell ref="Q245:Z245"/>
    <mergeCell ref="X236:Z236"/>
    <mergeCell ref="AA236:AC236"/>
    <mergeCell ref="AD236:AF236"/>
    <mergeCell ref="S237:U237"/>
    <mergeCell ref="X237:Z237"/>
    <mergeCell ref="AD237:AF237"/>
    <mergeCell ref="D236:H236"/>
    <mergeCell ref="I236:K236"/>
    <mergeCell ref="L236:N236"/>
    <mergeCell ref="O236:Q236"/>
    <mergeCell ref="R236:T236"/>
    <mergeCell ref="U236:W236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D232:H232"/>
    <mergeCell ref="I232:K232"/>
    <mergeCell ref="L232:N232"/>
    <mergeCell ref="O232:Q232"/>
    <mergeCell ref="R232:T232"/>
    <mergeCell ref="U232:W232"/>
    <mergeCell ref="AA233:AC233"/>
    <mergeCell ref="AD233:AF233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AI228:AK228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9:AK229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Q221:R221"/>
    <mergeCell ref="AA226:AC226"/>
    <mergeCell ref="AD226:AF226"/>
    <mergeCell ref="D227:H227"/>
    <mergeCell ref="I227:K227"/>
    <mergeCell ref="L227:N227"/>
    <mergeCell ref="O227:Q227"/>
    <mergeCell ref="R227:T227"/>
    <mergeCell ref="U227:W227"/>
    <mergeCell ref="X227:Z227"/>
    <mergeCell ref="C221:D221"/>
    <mergeCell ref="E221:F221"/>
    <mergeCell ref="G221:H221"/>
    <mergeCell ref="I221:J221"/>
    <mergeCell ref="K221:L221"/>
    <mergeCell ref="N221:O221"/>
    <mergeCell ref="AA227:AC227"/>
    <mergeCell ref="AD227:AF227"/>
    <mergeCell ref="AF219:AH219"/>
    <mergeCell ref="C220:D220"/>
    <mergeCell ref="E220:F220"/>
    <mergeCell ref="G220:H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16:AC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I216:J216"/>
    <mergeCell ref="K216:L216"/>
    <mergeCell ref="N216:O216"/>
    <mergeCell ref="Q216:R216"/>
    <mergeCell ref="Q214:R214"/>
    <mergeCell ref="C215:D215"/>
    <mergeCell ref="E215:F215"/>
    <mergeCell ref="G215:H215"/>
    <mergeCell ref="I215:J215"/>
    <mergeCell ref="K215:L215"/>
    <mergeCell ref="N215:O215"/>
    <mergeCell ref="Q215:R215"/>
    <mergeCell ref="C214:D214"/>
    <mergeCell ref="E214:F214"/>
    <mergeCell ref="G214:H214"/>
    <mergeCell ref="I214:J214"/>
    <mergeCell ref="K214:L214"/>
    <mergeCell ref="N214:O214"/>
    <mergeCell ref="Q212:R212"/>
    <mergeCell ref="AB212:AK212"/>
    <mergeCell ref="C213:D213"/>
    <mergeCell ref="E213:F213"/>
    <mergeCell ref="G213:H213"/>
    <mergeCell ref="I213:J213"/>
    <mergeCell ref="K213:L213"/>
    <mergeCell ref="N213:O213"/>
    <mergeCell ref="Q213:R213"/>
    <mergeCell ref="S213:T213"/>
    <mergeCell ref="C212:D212"/>
    <mergeCell ref="E212:F212"/>
    <mergeCell ref="G212:H212"/>
    <mergeCell ref="I212:J212"/>
    <mergeCell ref="K212:L212"/>
    <mergeCell ref="N212:O212"/>
    <mergeCell ref="S210:T210"/>
    <mergeCell ref="Z210:AC210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Q204:R204"/>
    <mergeCell ref="C205:D205"/>
    <mergeCell ref="E205:F205"/>
    <mergeCell ref="I205:J205"/>
    <mergeCell ref="K205:L205"/>
    <mergeCell ref="N205:O205"/>
    <mergeCell ref="Q205:R205"/>
    <mergeCell ref="O198:P198"/>
    <mergeCell ref="C201:D203"/>
    <mergeCell ref="E201:F203"/>
    <mergeCell ref="G201:H205"/>
    <mergeCell ref="I201:J203"/>
    <mergeCell ref="K201:L203"/>
    <mergeCell ref="N201:O203"/>
    <mergeCell ref="AA194:AB194"/>
    <mergeCell ref="O195:P195"/>
    <mergeCell ref="Q195:Z195"/>
    <mergeCell ref="O196:P196"/>
    <mergeCell ref="Q196:Z196"/>
    <mergeCell ref="O197:P197"/>
    <mergeCell ref="Q197:Z197"/>
    <mergeCell ref="Q201:R203"/>
    <mergeCell ref="U201:U206"/>
    <mergeCell ref="V201:V206"/>
    <mergeCell ref="W201:W206"/>
    <mergeCell ref="X201:X206"/>
    <mergeCell ref="C204:D204"/>
    <mergeCell ref="E204:F204"/>
    <mergeCell ref="I204:J204"/>
    <mergeCell ref="K204:L204"/>
    <mergeCell ref="N204:O204"/>
    <mergeCell ref="O190:P190"/>
    <mergeCell ref="O192:Z192"/>
    <mergeCell ref="O193:P193"/>
    <mergeCell ref="Q193:Z193"/>
    <mergeCell ref="O194:P194"/>
    <mergeCell ref="Q194:Z194"/>
    <mergeCell ref="AA186:AB186"/>
    <mergeCell ref="O187:P187"/>
    <mergeCell ref="Q187:Z187"/>
    <mergeCell ref="O188:P188"/>
    <mergeCell ref="Q188:Z188"/>
    <mergeCell ref="O189:P189"/>
    <mergeCell ref="Q189:Z189"/>
    <mergeCell ref="O179:P179"/>
    <mergeCell ref="O184:Z184"/>
    <mergeCell ref="O185:P185"/>
    <mergeCell ref="Q185:Z185"/>
    <mergeCell ref="O186:P186"/>
    <mergeCell ref="Q186:Z186"/>
    <mergeCell ref="O176:P176"/>
    <mergeCell ref="Q176:Z176"/>
    <mergeCell ref="O177:P177"/>
    <mergeCell ref="Q177:Z177"/>
    <mergeCell ref="O178:P178"/>
    <mergeCell ref="Q178:Z178"/>
    <mergeCell ref="O173:Z173"/>
    <mergeCell ref="O174:P174"/>
    <mergeCell ref="Q174:Z174"/>
    <mergeCell ref="O175:P175"/>
    <mergeCell ref="Q175:Z175"/>
    <mergeCell ref="AA175:AB175"/>
    <mergeCell ref="O170:P170"/>
    <mergeCell ref="Q170:Z170"/>
    <mergeCell ref="AG170:AH170"/>
    <mergeCell ref="AJ170:AK170"/>
    <mergeCell ref="O171:P171"/>
    <mergeCell ref="AK171:AL171"/>
    <mergeCell ref="O168:P168"/>
    <mergeCell ref="Q168:Z168"/>
    <mergeCell ref="AG168:AH168"/>
    <mergeCell ref="AJ168:AK168"/>
    <mergeCell ref="O169:P169"/>
    <mergeCell ref="Q169:Z169"/>
    <mergeCell ref="AG169:AH169"/>
    <mergeCell ref="AJ169:AK169"/>
    <mergeCell ref="AG166:AH166"/>
    <mergeCell ref="AJ166:AK166"/>
    <mergeCell ref="O167:P167"/>
    <mergeCell ref="Q167:Z167"/>
    <mergeCell ref="AA167:AB167"/>
    <mergeCell ref="AG167:AH167"/>
    <mergeCell ref="AJ167:AK167"/>
    <mergeCell ref="O158:P158"/>
    <mergeCell ref="Q158:Z158"/>
    <mergeCell ref="O159:P159"/>
    <mergeCell ref="H163:N163"/>
    <mergeCell ref="O165:Z165"/>
    <mergeCell ref="O166:P166"/>
    <mergeCell ref="Q166:Z166"/>
    <mergeCell ref="O155:P155"/>
    <mergeCell ref="Q155:Z155"/>
    <mergeCell ref="AA155:AB155"/>
    <mergeCell ref="O156:P156"/>
    <mergeCell ref="Q156:Z156"/>
    <mergeCell ref="O157:P157"/>
    <mergeCell ref="Q157:Z157"/>
    <mergeCell ref="O150:P150"/>
    <mergeCell ref="Q150:Z150"/>
    <mergeCell ref="AF150:AJ150"/>
    <mergeCell ref="O151:P151"/>
    <mergeCell ref="O153:Z153"/>
    <mergeCell ref="O154:P154"/>
    <mergeCell ref="Q154:Z154"/>
    <mergeCell ref="O147:P147"/>
    <mergeCell ref="Q147:Z147"/>
    <mergeCell ref="AA147:AB147"/>
    <mergeCell ref="O148:P148"/>
    <mergeCell ref="Q148:Z148"/>
    <mergeCell ref="O149:P149"/>
    <mergeCell ref="Q149:Z149"/>
    <mergeCell ref="O140:P140"/>
    <mergeCell ref="Q140:Z140"/>
    <mergeCell ref="O141:P141"/>
    <mergeCell ref="H143:N143"/>
    <mergeCell ref="O145:Z145"/>
    <mergeCell ref="O146:P146"/>
    <mergeCell ref="Q146:Z146"/>
    <mergeCell ref="O137:P137"/>
    <mergeCell ref="Q137:Z137"/>
    <mergeCell ref="AA137:AB137"/>
    <mergeCell ref="O138:P138"/>
    <mergeCell ref="Q138:Z138"/>
    <mergeCell ref="O139:P139"/>
    <mergeCell ref="Q139:Z139"/>
    <mergeCell ref="O132:P132"/>
    <mergeCell ref="Q132:Z132"/>
    <mergeCell ref="O133:P133"/>
    <mergeCell ref="O135:Z135"/>
    <mergeCell ref="O136:P136"/>
    <mergeCell ref="Q136:Z136"/>
    <mergeCell ref="O129:P129"/>
    <mergeCell ref="Q129:Z129"/>
    <mergeCell ref="AA129:AB129"/>
    <mergeCell ref="O130:P130"/>
    <mergeCell ref="Q130:Z130"/>
    <mergeCell ref="O131:P131"/>
    <mergeCell ref="Q131:Z131"/>
    <mergeCell ref="O121:P121"/>
    <mergeCell ref="Q121:Z121"/>
    <mergeCell ref="O122:P122"/>
    <mergeCell ref="H125:N125"/>
    <mergeCell ref="O127:Z127"/>
    <mergeCell ref="O128:P128"/>
    <mergeCell ref="Q128:Z128"/>
    <mergeCell ref="O118:P118"/>
    <mergeCell ref="Q118:Z118"/>
    <mergeCell ref="AA118:AB118"/>
    <mergeCell ref="O119:P119"/>
    <mergeCell ref="Q119:Z119"/>
    <mergeCell ref="O120:P120"/>
    <mergeCell ref="Q120:Z120"/>
    <mergeCell ref="O114:P114"/>
    <mergeCell ref="AE114:AG114"/>
    <mergeCell ref="AI114:AK114"/>
    <mergeCell ref="O116:Z116"/>
    <mergeCell ref="O117:P117"/>
    <mergeCell ref="Q117:Z117"/>
    <mergeCell ref="O112:P112"/>
    <mergeCell ref="Q112:Z112"/>
    <mergeCell ref="AE112:AG112"/>
    <mergeCell ref="AI112:AK112"/>
    <mergeCell ref="O113:P113"/>
    <mergeCell ref="Q113:Z113"/>
    <mergeCell ref="AE113:AG113"/>
    <mergeCell ref="AI113:AK113"/>
    <mergeCell ref="O111:P111"/>
    <mergeCell ref="Q111:Z111"/>
    <mergeCell ref="AE111:AG111"/>
    <mergeCell ref="AI111:AK111"/>
    <mergeCell ref="AL111:AN111"/>
    <mergeCell ref="AO111:AQ111"/>
    <mergeCell ref="AI109:AK109"/>
    <mergeCell ref="AL109:AN109"/>
    <mergeCell ref="AO109:AQ109"/>
    <mergeCell ref="O110:P110"/>
    <mergeCell ref="Q110:Z110"/>
    <mergeCell ref="AA110:AB110"/>
    <mergeCell ref="AE110:AG110"/>
    <mergeCell ref="AI110:AK110"/>
    <mergeCell ref="AL110:AN110"/>
    <mergeCell ref="AO110:AQ110"/>
    <mergeCell ref="O104:P104"/>
    <mergeCell ref="H106:N106"/>
    <mergeCell ref="O108:Z108"/>
    <mergeCell ref="O109:P109"/>
    <mergeCell ref="Q109:Z109"/>
    <mergeCell ref="AE109:AG109"/>
    <mergeCell ref="AA100:AB100"/>
    <mergeCell ref="O101:P101"/>
    <mergeCell ref="Q101:Z101"/>
    <mergeCell ref="O102:P102"/>
    <mergeCell ref="Q102:Z102"/>
    <mergeCell ref="O103:P103"/>
    <mergeCell ref="Q103:Z103"/>
    <mergeCell ref="O96:P96"/>
    <mergeCell ref="O98:Z98"/>
    <mergeCell ref="O99:P99"/>
    <mergeCell ref="Q99:Z99"/>
    <mergeCell ref="O100:P100"/>
    <mergeCell ref="Q100:Z100"/>
    <mergeCell ref="AA92:AB92"/>
    <mergeCell ref="O93:P93"/>
    <mergeCell ref="Q93:Z93"/>
    <mergeCell ref="O94:P94"/>
    <mergeCell ref="Q94:Z94"/>
    <mergeCell ref="O95:P95"/>
    <mergeCell ref="Q95:Z95"/>
    <mergeCell ref="Q86:R86"/>
    <mergeCell ref="H88:N88"/>
    <mergeCell ref="O90:Z90"/>
    <mergeCell ref="O91:P91"/>
    <mergeCell ref="Q91:Z91"/>
    <mergeCell ref="O92:P92"/>
    <mergeCell ref="Q92:Z92"/>
    <mergeCell ref="C86:D86"/>
    <mergeCell ref="E86:F86"/>
    <mergeCell ref="G86:H86"/>
    <mergeCell ref="I86:J86"/>
    <mergeCell ref="K86:L86"/>
    <mergeCell ref="N86:O86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4:AS44"/>
    <mergeCell ref="AW44:AX44"/>
    <mergeCell ref="AR42:AS42"/>
    <mergeCell ref="AW42:AX42"/>
    <mergeCell ref="AR43:AS43"/>
    <mergeCell ref="AW43:AX43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1:AQ21"/>
    <mergeCell ref="AR21:AS21"/>
    <mergeCell ref="AP22:AQ22"/>
    <mergeCell ref="AR22:AS22"/>
    <mergeCell ref="AP24:AQ24"/>
    <mergeCell ref="AR24:AS24"/>
    <mergeCell ref="AP19:AQ19"/>
    <mergeCell ref="AR19:AS19"/>
    <mergeCell ref="AP20:AQ20"/>
    <mergeCell ref="AR20:AS20"/>
    <mergeCell ref="AP23:AQ23"/>
    <mergeCell ref="AR23:AS23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0:AP203 AH60 AP60 AP32:AP48 AH32:AH48">
    <cfRule type="cellIs" dxfId="524" priority="19" stopIfTrue="1" operator="lessThanOrEqual">
      <formula>0</formula>
    </cfRule>
  </conditionalFormatting>
  <conditionalFormatting sqref="L288:L289 K259:L259 K288:K291 L291 K159:L160 K276:L279 K180:L180 K86:L142 L79:L81 K79:K83 K199:L241">
    <cfRule type="cellIs" dxfId="523" priority="18" stopIfTrue="1" operator="greaterThanOrEqual">
      <formula>$K$72</formula>
    </cfRule>
  </conditionalFormatting>
  <conditionalFormatting sqref="AR48:AT48 AR46:AT46 AP56:AT57 AR60:AS60 AR45:AS45 AR42:AS43 AR32:AS32 AP21:AT26 AT5 AP11:AT18 AS20 AQ20 AR19:AR20 AP19:AP20 AT19:AT20 AR33:AR41 AR44">
    <cfRule type="cellIs" dxfId="522" priority="17" stopIfTrue="1" operator="lessThan">
      <formula>0</formula>
    </cfRule>
  </conditionalFormatting>
  <conditionalFormatting sqref="AJ56:AJ57 F60 Z60 F56:F58 P60:P66 P56:P58 Z56:Z58 P200:P202 F11:F25 AJ11:AJ26 P11:P26 Z11:Z26 Z32:Z48 P32:P53 F32:F48">
    <cfRule type="cellIs" dxfId="521" priority="16" stopIfTrue="1" operator="lessThanOrEqual">
      <formula>0</formula>
    </cfRule>
  </conditionalFormatting>
  <conditionalFormatting sqref="AM56:AM57 AC60 I60 AC56:AC58 S60:S66 S56:S58 I56:I58 S200:S202 AM11:AM26 AC11:AC26 I11:I25 S11:S26 S32:S53 I32:I48 AC32:AC48">
    <cfRule type="cellIs" dxfId="520" priority="15" stopIfTrue="1" operator="lessThanOrEqual">
      <formula>0</formula>
    </cfRule>
  </conditionalFormatting>
  <conditionalFormatting sqref="K56:L58 AO56:AO57 AE56:AE57 K60:L60 AE60:AF60 U60:V66 AE58:AF58 U56:V58 K46:L48 AE46:AF48 U46:V54 U200:V202 V42:V43 U41:V41 K44:K45 U32:V32 K25:L26 AE32:AF32 AE25:AF26 K32:L32 U33:U40 AE33:AE40 U25:V26 U42:U45 AE44:AE45 AE42 AE14:AF14 K11:L11 AE11:AE13 U11:V11 K17:L17 V17 K12:K16 K23:K24 U23:U24 U12:U20 K18:K20 K33:K42 AE41:AF41 AO11:AO26 K21:L23 U21:V23 AE15:AE24 K43:L44 AE43:AF44 U44:V44">
    <cfRule type="cellIs" dxfId="519" priority="14" stopIfTrue="1" operator="lessThanOrEqual">
      <formula>0</formula>
    </cfRule>
  </conditionalFormatting>
  <conditionalFormatting sqref="AA66:AB68 AA71:AB73 W210:X219 Z49:AA53 Z61:AA61 W86:X86 W74:X83 Z200:AA202 W221:X221">
    <cfRule type="cellIs" dxfId="518" priority="13" stopIfTrue="1" operator="lessThan">
      <formula>0</formula>
    </cfRule>
  </conditionalFormatting>
  <conditionalFormatting sqref="X49:X53 X61:X66 U86 U74:U83 X200:X202 U221 U210:U219">
    <cfRule type="cellIs" dxfId="517" priority="12" stopIfTrue="1" operator="greaterThan">
      <formula>48</formula>
    </cfRule>
  </conditionalFormatting>
  <conditionalFormatting sqref="C276:C280 C288:D291 C159:D159 D276:D287 C87:D142 C241:D241 C222:D222">
    <cfRule type="cellIs" dxfId="516" priority="11" stopIfTrue="1" operator="lessThan">
      <formula>$C$71</formula>
    </cfRule>
  </conditionalFormatting>
  <conditionalFormatting sqref="AI60:AO60 AI32:AO48">
    <cfRule type="cellIs" dxfId="515" priority="9" stopIfTrue="1" operator="equal">
      <formula>0</formula>
    </cfRule>
    <cfRule type="cellIs" dxfId="514" priority="10" stopIfTrue="1" operator="lessThan">
      <formula>0</formula>
    </cfRule>
  </conditionalFormatting>
  <conditionalFormatting sqref="AT60 AT32:AT45">
    <cfRule type="cellIs" dxfId="513" priority="7" stopIfTrue="1" operator="greaterThan">
      <formula>0</formula>
    </cfRule>
    <cfRule type="cellIs" dxfId="512" priority="8" stopIfTrue="1" operator="lessThan">
      <formula>1</formula>
    </cfRule>
  </conditionalFormatting>
  <conditionalFormatting sqref="K84:L85 K71:L81 K220:L220 K207:L217">
    <cfRule type="cellIs" dxfId="511" priority="6" stopIfTrue="1" operator="greaterThanOrEqual">
      <formula>$K$69</formula>
    </cfRule>
  </conditionalFormatting>
  <conditionalFormatting sqref="AF56:AF57 L12:L24 AF11:AF24 V12:V24 V32:V45 AF33:AF45 L32:L45">
    <cfRule type="cellIs" dxfId="510" priority="4" stopIfTrue="1" operator="equal">
      <formula>0</formula>
    </cfRule>
    <cfRule type="cellIs" dxfId="509" priority="5" stopIfTrue="1" operator="lessThan">
      <formula>0</formula>
    </cfRule>
  </conditionalFormatting>
  <conditionalFormatting sqref="K84:K85">
    <cfRule type="cellIs" dxfId="508" priority="3" stopIfTrue="1" operator="greaterThanOrEqual">
      <formula>$K$72</formula>
    </cfRule>
  </conditionalFormatting>
  <conditionalFormatting sqref="W84:X85">
    <cfRule type="cellIs" dxfId="507" priority="2" stopIfTrue="1" operator="lessThan">
      <formula>0</formula>
    </cfRule>
  </conditionalFormatting>
  <conditionalFormatting sqref="U84:U85">
    <cfRule type="cellIs" dxfId="506" priority="1" stopIfTrue="1" operator="greaterThan">
      <formula>48</formula>
    </cfRule>
  </conditionalFormatting>
  <hyperlinks>
    <hyperlink ref="AB212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6 AK37:AT44" formula="1"/>
  </ignoredError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E33" sqref="E33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784" customWidth="1"/>
    <col min="5" max="5" width="4.28515625" style="3" customWidth="1"/>
    <col min="6" max="6" width="4.28515625" style="4" customWidth="1"/>
    <col min="7" max="8" width="4.28515625" style="784" customWidth="1"/>
    <col min="9" max="9" width="4.28515625" style="4" customWidth="1"/>
    <col min="10" max="10" width="4.28515625" style="784" customWidth="1"/>
    <col min="11" max="12" width="4.28515625" style="5" customWidth="1"/>
    <col min="13" max="26" width="4.28515625" style="784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43250</v>
      </c>
      <c r="C1" s="784" t="s">
        <v>0</v>
      </c>
      <c r="AN1" s="7"/>
      <c r="AO1" s="7"/>
      <c r="AR1" s="1340">
        <f>+AR46+AT46</f>
        <v>293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43251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784">
        <v>0</v>
      </c>
    </row>
    <row r="5" spans="1:58" ht="10.9" customHeight="1">
      <c r="B5" s="1244" t="s">
        <v>1</v>
      </c>
      <c r="C5" s="1140">
        <v>43244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43245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43246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43247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43244</v>
      </c>
      <c r="AW7" s="1296">
        <f>+M5</f>
        <v>43245</v>
      </c>
      <c r="AX7" s="1296">
        <f>+W5</f>
        <v>43246</v>
      </c>
      <c r="AY7" s="1309">
        <f>+AG5</f>
        <v>43247</v>
      </c>
      <c r="AZ7" s="1296">
        <f>+C26</f>
        <v>43248</v>
      </c>
      <c r="BA7" s="1296">
        <f>+M26</f>
        <v>43249</v>
      </c>
      <c r="BB7" s="1296">
        <f>+W26</f>
        <v>43250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>
        <v>7</v>
      </c>
      <c r="D11" s="335">
        <v>16</v>
      </c>
      <c r="E11" s="16">
        <v>1</v>
      </c>
      <c r="F11" s="17">
        <f t="shared" ref="F11:F20" si="1">+D11-C11-E11</f>
        <v>8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8</v>
      </c>
      <c r="L11" s="20">
        <f t="shared" ref="L11:L24" si="4">IF(C11&gt;0,(F11+I11)+IF(K$5&gt;0,F11,-8),0)+IF(U$5&gt;0,I11,0)</f>
        <v>0</v>
      </c>
      <c r="M11" s="336">
        <v>8</v>
      </c>
      <c r="N11" s="335">
        <v>16</v>
      </c>
      <c r="O11" s="16">
        <v>1</v>
      </c>
      <c r="P11" s="17">
        <f t="shared" ref="P11:P20" si="5">+N11-M11-O11</f>
        <v>7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-1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13</v>
      </c>
      <c r="AQ11" s="1298"/>
      <c r="AR11" s="1299">
        <f t="shared" ref="AR11:AR20" si="16">ROUND(BD11*AP11,1)</f>
        <v>59.1</v>
      </c>
      <c r="AS11" s="1300"/>
      <c r="AT11" s="338">
        <f t="shared" ref="AT11:AT24" si="17">IF(AT32&gt;0,AT32*$AT$10,0)</f>
        <v>28</v>
      </c>
      <c r="AV11" s="26">
        <f t="shared" ref="AV11:AV20" si="18">+L11</f>
        <v>0</v>
      </c>
      <c r="AW11" s="26">
        <f t="shared" ref="AW11:AW20" si="19">+V11</f>
        <v>-1</v>
      </c>
      <c r="AX11" s="26">
        <f t="shared" ref="AX11:AX20" si="20">+AF11</f>
        <v>-1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0</v>
      </c>
      <c r="BB11" s="26">
        <f t="shared" ref="BB11:BB19" si="24">+AF32</f>
        <v>-1</v>
      </c>
      <c r="BC11" s="28"/>
      <c r="BD11" s="339">
        <f t="shared" ref="BD11:BD17" si="25">+I71</f>
        <v>4.5464285714285708</v>
      </c>
      <c r="BE11" s="340">
        <f t="shared" ref="BE11:BE20" si="26">+BD11*AP11</f>
        <v>59.103571428571421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22</v>
      </c>
      <c r="E12" s="30">
        <v>1</v>
      </c>
      <c r="F12" s="31">
        <f t="shared" si="1"/>
        <v>14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6</v>
      </c>
      <c r="M12" s="782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8</v>
      </c>
      <c r="X12" s="342">
        <v>24</v>
      </c>
      <c r="Y12" s="30">
        <v>2</v>
      </c>
      <c r="Z12" s="31">
        <f t="shared" si="9"/>
        <v>14</v>
      </c>
      <c r="AA12" s="344">
        <v>0</v>
      </c>
      <c r="AB12" s="348">
        <v>7</v>
      </c>
      <c r="AC12" s="36">
        <f t="shared" si="10"/>
        <v>7</v>
      </c>
      <c r="AD12" s="30">
        <v>8</v>
      </c>
      <c r="AE12" s="32">
        <f t="shared" si="11"/>
        <v>1</v>
      </c>
      <c r="AF12" s="20">
        <f>IF(W12&gt;0,IF(AE$5&gt;0,(Z12+AC12)*2,(Z12+AC12-8)),0)*IF(Z12&lt;9,IF(AE$5&gt;0,1,2),1)+IF(Z12&gt;8,AC12,0)</f>
        <v>20</v>
      </c>
      <c r="AG12" s="37">
        <v>0</v>
      </c>
      <c r="AH12" s="342">
        <v>24</v>
      </c>
      <c r="AI12" s="30">
        <v>4</v>
      </c>
      <c r="AJ12" s="38">
        <f>+AH12-AG12-AI12</f>
        <v>20</v>
      </c>
      <c r="AK12" s="342">
        <v>0</v>
      </c>
      <c r="AL12" s="342">
        <v>7</v>
      </c>
      <c r="AM12" s="31">
        <f t="shared" si="13"/>
        <v>7</v>
      </c>
      <c r="AN12" s="39"/>
      <c r="AO12" s="40">
        <f t="shared" si="14"/>
        <v>47</v>
      </c>
      <c r="AP12" s="1282">
        <f t="shared" si="15"/>
        <v>84</v>
      </c>
      <c r="AQ12" s="1283"/>
      <c r="AR12" s="1284">
        <f t="shared" si="16"/>
        <v>431.3</v>
      </c>
      <c r="AS12" s="1285"/>
      <c r="AT12" s="345">
        <f t="shared" si="17"/>
        <v>28</v>
      </c>
      <c r="AV12" s="26">
        <f t="shared" si="18"/>
        <v>6</v>
      </c>
      <c r="AW12" s="26">
        <f t="shared" si="19"/>
        <v>0</v>
      </c>
      <c r="AX12" s="26">
        <f t="shared" si="20"/>
        <v>20</v>
      </c>
      <c r="AY12" s="27">
        <f t="shared" si="21"/>
        <v>47</v>
      </c>
      <c r="AZ12" s="26">
        <f t="shared" si="22"/>
        <v>4</v>
      </c>
      <c r="BA12" s="26">
        <f t="shared" si="23"/>
        <v>4</v>
      </c>
      <c r="BB12" s="26">
        <f t="shared" si="24"/>
        <v>3</v>
      </c>
      <c r="BC12" s="28"/>
      <c r="BD12" s="339">
        <f t="shared" si="25"/>
        <v>5.1339285714285712</v>
      </c>
      <c r="BE12" s="340">
        <f t="shared" si="26"/>
        <v>431.25</v>
      </c>
      <c r="BF12" s="341">
        <f t="shared" si="27"/>
        <v>241.29464285714283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17</v>
      </c>
      <c r="E13" s="30">
        <v>1</v>
      </c>
      <c r="F13" s="31">
        <f t="shared" si="1"/>
        <v>9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1</v>
      </c>
      <c r="M13" s="782">
        <v>8</v>
      </c>
      <c r="N13" s="342">
        <v>16</v>
      </c>
      <c r="O13" s="30">
        <v>1</v>
      </c>
      <c r="P13" s="31">
        <f t="shared" si="5"/>
        <v>7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-1</v>
      </c>
      <c r="W13" s="342"/>
      <c r="X13" s="342"/>
      <c r="Y13" s="30"/>
      <c r="Z13" s="31">
        <f t="shared" si="9"/>
        <v>0</v>
      </c>
      <c r="AA13" s="344"/>
      <c r="AB13" s="41"/>
      <c r="AC13" s="36">
        <f t="shared" si="10"/>
        <v>0</v>
      </c>
      <c r="AD13" s="30"/>
      <c r="AE13" s="32">
        <f t="shared" si="11"/>
        <v>0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3</v>
      </c>
      <c r="AQ13" s="1283"/>
      <c r="AR13" s="1284">
        <f t="shared" si="16"/>
        <v>15.4</v>
      </c>
      <c r="AS13" s="1285"/>
      <c r="AT13" s="345">
        <f t="shared" si="17"/>
        <v>20</v>
      </c>
      <c r="AV13" s="26">
        <f t="shared" si="18"/>
        <v>1</v>
      </c>
      <c r="AW13" s="26">
        <f t="shared" si="19"/>
        <v>-1</v>
      </c>
      <c r="AX13" s="26">
        <f t="shared" si="20"/>
        <v>0</v>
      </c>
      <c r="AY13" s="27">
        <f t="shared" si="21"/>
        <v>0</v>
      </c>
      <c r="AZ13" s="26">
        <f t="shared" si="22"/>
        <v>2</v>
      </c>
      <c r="BA13" s="26">
        <f t="shared" si="23"/>
        <v>1</v>
      </c>
      <c r="BB13" s="26">
        <f t="shared" si="24"/>
        <v>0</v>
      </c>
      <c r="BC13" s="28"/>
      <c r="BD13" s="339">
        <f t="shared" si="25"/>
        <v>5.1339285714285712</v>
      </c>
      <c r="BE13" s="340">
        <f t="shared" si="26"/>
        <v>15.401785714285714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/>
      <c r="D14" s="346"/>
      <c r="E14" s="42"/>
      <c r="F14" s="44">
        <f t="shared" si="1"/>
        <v>0</v>
      </c>
      <c r="G14" s="346"/>
      <c r="H14" s="346"/>
      <c r="I14" s="44">
        <f t="shared" si="2"/>
        <v>0</v>
      </c>
      <c r="J14" s="42"/>
      <c r="K14" s="45">
        <f t="shared" si="3"/>
        <v>0</v>
      </c>
      <c r="L14" s="20">
        <f t="shared" si="4"/>
        <v>0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2</v>
      </c>
      <c r="W14" s="347">
        <v>7</v>
      </c>
      <c r="X14" s="346">
        <v>24</v>
      </c>
      <c r="Y14" s="42">
        <v>2</v>
      </c>
      <c r="Z14" s="44">
        <f t="shared" si="9"/>
        <v>15</v>
      </c>
      <c r="AA14" s="344">
        <v>0</v>
      </c>
      <c r="AB14" s="348">
        <v>7</v>
      </c>
      <c r="AC14" s="36">
        <f t="shared" si="10"/>
        <v>7</v>
      </c>
      <c r="AD14" s="42">
        <v>8</v>
      </c>
      <c r="AE14" s="45">
        <f t="shared" si="11"/>
        <v>1</v>
      </c>
      <c r="AF14" s="20">
        <f>IF(W14&gt;0,IF(AE$5&gt;0,(Z14+AC14)*2,(Z14+AC14-8)),0)*IF(Z14&lt;9,IF(AE$5&gt;0,1,2),1)+IF(Z14&gt;8,AC14,0)</f>
        <v>21</v>
      </c>
      <c r="AG14" s="37">
        <v>18</v>
      </c>
      <c r="AH14" s="342">
        <v>24</v>
      </c>
      <c r="AI14" s="30">
        <v>1</v>
      </c>
      <c r="AJ14" s="38">
        <f t="shared" si="12"/>
        <v>5</v>
      </c>
      <c r="AK14" s="342">
        <v>0</v>
      </c>
      <c r="AL14" s="342">
        <v>7</v>
      </c>
      <c r="AM14" s="31">
        <f t="shared" si="13"/>
        <v>7</v>
      </c>
      <c r="AN14" s="47"/>
      <c r="AO14" s="40">
        <f t="shared" si="14"/>
        <v>17</v>
      </c>
      <c r="AP14" s="1282">
        <f t="shared" si="15"/>
        <v>52</v>
      </c>
      <c r="AQ14" s="1283"/>
      <c r="AR14" s="1284">
        <f t="shared" si="16"/>
        <v>216.7</v>
      </c>
      <c r="AS14" s="1285"/>
      <c r="AT14" s="345">
        <f t="shared" si="17"/>
        <v>24</v>
      </c>
      <c r="AV14" s="26">
        <f t="shared" si="18"/>
        <v>0</v>
      </c>
      <c r="AW14" s="26">
        <f t="shared" si="19"/>
        <v>2</v>
      </c>
      <c r="AX14" s="26">
        <f t="shared" si="20"/>
        <v>21</v>
      </c>
      <c r="AY14" s="27">
        <f t="shared" si="21"/>
        <v>17</v>
      </c>
      <c r="AZ14" s="26">
        <f t="shared" si="22"/>
        <v>4</v>
      </c>
      <c r="BA14" s="26">
        <f t="shared" si="23"/>
        <v>4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216.6672857142857</v>
      </c>
      <c r="BF14" s="341">
        <f t="shared" si="27"/>
        <v>70.833535714285716</v>
      </c>
    </row>
    <row r="15" spans="1:58" ht="14.1" customHeight="1">
      <c r="A15" s="1">
        <v>5</v>
      </c>
      <c r="B15" s="48" t="str">
        <f t="shared" si="0"/>
        <v>Juan Manrique V.</v>
      </c>
      <c r="C15" s="334">
        <v>8</v>
      </c>
      <c r="D15" s="342">
        <v>16</v>
      </c>
      <c r="E15" s="30">
        <v>1</v>
      </c>
      <c r="F15" s="31">
        <f t="shared" si="1"/>
        <v>7</v>
      </c>
      <c r="G15" s="342"/>
      <c r="H15" s="342"/>
      <c r="I15" s="31">
        <f t="shared" si="2"/>
        <v>0</v>
      </c>
      <c r="J15" s="30"/>
      <c r="K15" s="32">
        <f t="shared" si="3"/>
        <v>8</v>
      </c>
      <c r="L15" s="20">
        <f t="shared" si="4"/>
        <v>-1</v>
      </c>
      <c r="M15" s="782">
        <v>8</v>
      </c>
      <c r="N15" s="342">
        <v>17</v>
      </c>
      <c r="O15" s="30">
        <v>1</v>
      </c>
      <c r="P15" s="31">
        <f t="shared" si="5"/>
        <v>8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0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/>
      <c r="AH15" s="342"/>
      <c r="AI15" s="30"/>
      <c r="AJ15" s="38">
        <f t="shared" si="12"/>
        <v>0</v>
      </c>
      <c r="AK15" s="342"/>
      <c r="AL15" s="342"/>
      <c r="AM15" s="31">
        <f t="shared" si="13"/>
        <v>0</v>
      </c>
      <c r="AN15" s="39"/>
      <c r="AO15" s="40">
        <f t="shared" si="14"/>
        <v>0</v>
      </c>
      <c r="AP15" s="1294">
        <f t="shared" si="15"/>
        <v>2</v>
      </c>
      <c r="AQ15" s="1295"/>
      <c r="AR15" s="1284">
        <f t="shared" si="16"/>
        <v>10.3</v>
      </c>
      <c r="AS15" s="1285"/>
      <c r="AT15" s="345">
        <f t="shared" si="17"/>
        <v>24</v>
      </c>
      <c r="AV15" s="26">
        <f t="shared" si="18"/>
        <v>-1</v>
      </c>
      <c r="AW15" s="26">
        <f t="shared" si="19"/>
        <v>0</v>
      </c>
      <c r="AX15" s="26">
        <f t="shared" si="20"/>
        <v>0</v>
      </c>
      <c r="AY15" s="27">
        <f t="shared" si="21"/>
        <v>0</v>
      </c>
      <c r="AZ15" s="26">
        <f t="shared" si="22"/>
        <v>1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10.267857142857142</v>
      </c>
      <c r="BF15" s="350">
        <f t="shared" si="27"/>
        <v>0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7</v>
      </c>
      <c r="N16" s="342">
        <v>16</v>
      </c>
      <c r="O16" s="30">
        <v>1</v>
      </c>
      <c r="P16" s="31">
        <f>+N16-M16-O16</f>
        <v>8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0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0</v>
      </c>
      <c r="AQ16" s="1283"/>
      <c r="AR16" s="1284">
        <f>ROUND(BD16*AP16,1)</f>
        <v>0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0</v>
      </c>
      <c r="AX16" s="26">
        <f>+AF16</f>
        <v>0</v>
      </c>
      <c r="AY16" s="27">
        <f>+AO16</f>
        <v>0</v>
      </c>
      <c r="AZ16" s="26">
        <f t="shared" si="22"/>
        <v>0</v>
      </c>
      <c r="BA16" s="26">
        <f t="shared" si="23"/>
        <v>0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0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12</v>
      </c>
      <c r="AQ18" s="1283"/>
      <c r="AR18" s="1284">
        <f t="shared" si="16"/>
        <v>46.5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46.500042857142859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81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15" t="str">
        <f t="shared" si="0"/>
        <v>Patrick Palacios</v>
      </c>
      <c r="C21" s="347">
        <v>7</v>
      </c>
      <c r="D21" s="346">
        <v>22</v>
      </c>
      <c r="E21" s="42">
        <v>1</v>
      </c>
      <c r="F21" s="44">
        <f>+D21-C21-E21</f>
        <v>14</v>
      </c>
      <c r="G21" s="346"/>
      <c r="H21" s="346"/>
      <c r="I21" s="44">
        <f>+H21-G21</f>
        <v>0</v>
      </c>
      <c r="J21" s="42"/>
      <c r="K21" s="45">
        <f>+I21+F21-L21</f>
        <v>8</v>
      </c>
      <c r="L21" s="59">
        <f t="shared" si="4"/>
        <v>6</v>
      </c>
      <c r="M21" s="346">
        <v>7</v>
      </c>
      <c r="N21" s="346">
        <v>16</v>
      </c>
      <c r="O21" s="42">
        <v>1</v>
      </c>
      <c r="P21" s="44">
        <f>+N21-M21-O21</f>
        <v>8</v>
      </c>
      <c r="Q21" s="33"/>
      <c r="R21" s="346"/>
      <c r="S21" s="44">
        <f>+R21-Q21</f>
        <v>0</v>
      </c>
      <c r="T21" s="42"/>
      <c r="U21" s="45">
        <f>+S21+P21-V21</f>
        <v>8</v>
      </c>
      <c r="V21" s="59">
        <f>IF(M21&gt;0,(P21+S21)+IF(U$5&gt;0,P21,-8),0)+IF(AE$5&gt;0,S21,0)</f>
        <v>0</v>
      </c>
      <c r="W21" s="42">
        <v>7</v>
      </c>
      <c r="X21" s="346">
        <v>12</v>
      </c>
      <c r="Y21" s="42">
        <v>0</v>
      </c>
      <c r="Z21" s="44">
        <f>+X21-W21-Y21</f>
        <v>5</v>
      </c>
      <c r="AA21" s="346"/>
      <c r="AB21" s="41">
        <v>1.5</v>
      </c>
      <c r="AC21" s="44">
        <f>+AB21-AA21</f>
        <v>1.5</v>
      </c>
      <c r="AD21" s="42"/>
      <c r="AE21" s="45">
        <f>+AC21+Z21-IF(AE$5&gt;0,AF21/2,AF21)</f>
        <v>9.5</v>
      </c>
      <c r="AF21" s="59">
        <f t="shared" si="28"/>
        <v>-3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3</v>
      </c>
      <c r="AQ21" s="1275"/>
      <c r="AR21" s="1276">
        <f>ROUND(BD21*AP21,1)</f>
        <v>11.6</v>
      </c>
      <c r="AS21" s="1277"/>
      <c r="AT21" s="537">
        <f t="shared" si="17"/>
        <v>12</v>
      </c>
      <c r="AU21" s="55"/>
      <c r="AV21" s="538">
        <f>+L21</f>
        <v>6</v>
      </c>
      <c r="AW21" s="538">
        <f>+V21</f>
        <v>0</v>
      </c>
      <c r="AX21" s="538">
        <f>+AF21</f>
        <v>-3</v>
      </c>
      <c r="AY21" s="538">
        <f>+AO21</f>
        <v>0</v>
      </c>
      <c r="AZ21" s="538">
        <f>+L42</f>
        <v>0</v>
      </c>
      <c r="BA21" s="538">
        <f>+V42</f>
        <v>0</v>
      </c>
      <c r="BB21" s="538">
        <f>+AF42</f>
        <v>0</v>
      </c>
      <c r="BC21" s="28"/>
      <c r="BD21" s="539">
        <f>+I81</f>
        <v>3.875</v>
      </c>
      <c r="BE21" s="539">
        <f>+BD21*AP21</f>
        <v>11.625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ref="K22:K23" si="29">+I22+F22-L22</f>
        <v>8</v>
      </c>
      <c r="L22" s="461">
        <f t="shared" si="4"/>
        <v>2</v>
      </c>
      <c r="M22" s="780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ref="U22:U23" si="30">+S22+P22-V22</f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 t="shared" ref="AE22:AE23" si="31">+AC22+Z22-IF(AE$5&gt;0,AF22/2,AF22)</f>
        <v>8</v>
      </c>
      <c r="AF22" s="461">
        <f t="shared" si="28"/>
        <v>2</v>
      </c>
      <c r="AG22" s="459">
        <v>7</v>
      </c>
      <c r="AH22" s="459">
        <v>18</v>
      </c>
      <c r="AI22" s="459">
        <v>1</v>
      </c>
      <c r="AJ22" s="38">
        <f t="shared" si="12"/>
        <v>10</v>
      </c>
      <c r="AK22" s="459"/>
      <c r="AL22" s="459"/>
      <c r="AM22" s="460">
        <f>+AL22-AK22</f>
        <v>0</v>
      </c>
      <c r="AN22" s="459"/>
      <c r="AO22" s="465">
        <f>(AJ22*2+AM22)</f>
        <v>20</v>
      </c>
      <c r="AP22" s="1290">
        <f t="shared" si="15"/>
        <v>32</v>
      </c>
      <c r="AQ22" s="1291"/>
      <c r="AR22" s="1292">
        <f>ROUND(BD22*AP22,1)</f>
        <v>124</v>
      </c>
      <c r="AS22" s="1293"/>
      <c r="AT22" s="488">
        <f t="shared" si="17"/>
        <v>28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3.875</v>
      </c>
      <c r="BE22" s="351">
        <f>+BD22*AP22</f>
        <v>124</v>
      </c>
      <c r="BF22" s="352">
        <f>+BD22*AY22</f>
        <v>77.5</v>
      </c>
    </row>
    <row r="23" spans="1:58" s="55" customFormat="1" ht="14.1" customHeight="1">
      <c r="A23" s="50"/>
      <c r="B23" s="513" t="str">
        <f t="shared" si="0"/>
        <v>Rafael Armas R.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32">
        <f t="shared" si="29"/>
        <v>8</v>
      </c>
      <c r="L23" s="461">
        <f t="shared" si="4"/>
        <v>2</v>
      </c>
      <c r="M23" s="780">
        <v>7</v>
      </c>
      <c r="N23" s="459">
        <v>18</v>
      </c>
      <c r="O23" s="459">
        <v>1</v>
      </c>
      <c r="P23" s="460">
        <f>+N23-M23-O23</f>
        <v>10</v>
      </c>
      <c r="Q23" s="459"/>
      <c r="R23" s="459"/>
      <c r="S23" s="460">
        <f>+R23-Q23</f>
        <v>0</v>
      </c>
      <c r="T23" s="459"/>
      <c r="U23" s="32">
        <f t="shared" si="30"/>
        <v>8</v>
      </c>
      <c r="V23" s="461">
        <f>IF(M23&gt;0,(P23+S23)+IF(U$5&gt;0,P23,-8),0)+IF(AE$5&gt;0,S23,0)</f>
        <v>2</v>
      </c>
      <c r="W23" s="459">
        <v>7</v>
      </c>
      <c r="X23" s="459">
        <v>18</v>
      </c>
      <c r="Y23" s="459">
        <v>1</v>
      </c>
      <c r="Z23" s="460">
        <f>+X23-W23-Y23</f>
        <v>10</v>
      </c>
      <c r="AA23" s="459"/>
      <c r="AB23" s="463"/>
      <c r="AC23" s="460">
        <f>+AB23-AA23</f>
        <v>0</v>
      </c>
      <c r="AD23" s="459"/>
      <c r="AE23" s="32">
        <f t="shared" si="31"/>
        <v>8</v>
      </c>
      <c r="AF23" s="461">
        <f t="shared" si="28"/>
        <v>2</v>
      </c>
      <c r="AG23" s="459">
        <v>7</v>
      </c>
      <c r="AH23" s="459">
        <v>18</v>
      </c>
      <c r="AI23" s="459">
        <v>1</v>
      </c>
      <c r="AJ23" s="38">
        <f t="shared" si="12"/>
        <v>10</v>
      </c>
      <c r="AK23" s="459"/>
      <c r="AL23" s="459"/>
      <c r="AM23" s="460">
        <f>+AL23-AK23</f>
        <v>0</v>
      </c>
      <c r="AN23" s="725"/>
      <c r="AO23" s="465">
        <f>(AJ23*2+AM23)</f>
        <v>20</v>
      </c>
      <c r="AP23" s="1282">
        <f t="shared" si="15"/>
        <v>32</v>
      </c>
      <c r="AQ23" s="1283"/>
      <c r="AR23" s="1272">
        <f>ROUND(BD23*AP23,1)</f>
        <v>124</v>
      </c>
      <c r="AS23" s="1273"/>
      <c r="AT23" s="359">
        <f t="shared" si="17"/>
        <v>28</v>
      </c>
      <c r="AV23" s="69">
        <f>+L23</f>
        <v>2</v>
      </c>
      <c r="AW23" s="69">
        <f>+V23</f>
        <v>2</v>
      </c>
      <c r="AX23" s="69">
        <f>+AF23</f>
        <v>2</v>
      </c>
      <c r="AY23" s="70">
        <f>+AO23</f>
        <v>20</v>
      </c>
      <c r="AZ23" s="69">
        <f>+L44</f>
        <v>2</v>
      </c>
      <c r="BA23" s="69">
        <f>+V44</f>
        <v>2</v>
      </c>
      <c r="BB23" s="69">
        <f>+AF44</f>
        <v>2</v>
      </c>
      <c r="BC23" s="54"/>
      <c r="BD23" s="339">
        <f>+I83</f>
        <v>3.875</v>
      </c>
      <c r="BE23" s="351">
        <f>+BD23*AP23</f>
        <v>124</v>
      </c>
      <c r="BF23" s="352">
        <f>+BD23*AY23</f>
        <v>77.5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3.5416625000000002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1038.8155428571426</v>
      </c>
      <c r="BF25" s="1242">
        <f>SUM(BF11:BF24)</f>
        <v>539.87103571428565</v>
      </c>
    </row>
    <row r="26" spans="1:58" ht="10.9" customHeight="1">
      <c r="B26" s="1244" t="s">
        <v>1</v>
      </c>
      <c r="C26" s="1140">
        <f>1+AG5</f>
        <v>43248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43249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43250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43244</v>
      </c>
      <c r="AJ26" s="1218">
        <f t="shared" ref="AJ26:AO26" si="32">1+AI26</f>
        <v>43245</v>
      </c>
      <c r="AK26" s="1218">
        <f t="shared" si="32"/>
        <v>43246</v>
      </c>
      <c r="AL26" s="1219">
        <f t="shared" si="32"/>
        <v>43247</v>
      </c>
      <c r="AM26" s="1219">
        <f t="shared" si="32"/>
        <v>43248</v>
      </c>
      <c r="AN26" s="1220">
        <f t="shared" si="32"/>
        <v>43249</v>
      </c>
      <c r="AO26" s="1220">
        <f t="shared" si="32"/>
        <v>43250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43247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233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113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3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4">+D32-C32-E32</f>
        <v>8</v>
      </c>
      <c r="G32" s="33"/>
      <c r="H32" s="47"/>
      <c r="I32" s="31">
        <f t="shared" ref="I32:I45" si="35">+H32-G32</f>
        <v>0</v>
      </c>
      <c r="J32" s="30"/>
      <c r="K32" s="32">
        <f t="shared" ref="K32:K45" si="36">+I32+F32-L32</f>
        <v>8</v>
      </c>
      <c r="L32" s="20">
        <f>IF(C32&gt;0,(F32+I32)+IF(K$26&gt;0,F32,-8),0)+IF(U$26&gt;0,I32,0)</f>
        <v>0</v>
      </c>
      <c r="M32" s="342">
        <v>7</v>
      </c>
      <c r="N32" s="342">
        <v>16</v>
      </c>
      <c r="O32" s="30">
        <v>1</v>
      </c>
      <c r="P32" s="31">
        <f t="shared" ref="P32:P45" si="37">+N32-M32-O32</f>
        <v>8</v>
      </c>
      <c r="Q32" s="106"/>
      <c r="R32" s="107"/>
      <c r="S32" s="31">
        <f t="shared" ref="S32:S45" si="38">+R32-Q32</f>
        <v>0</v>
      </c>
      <c r="T32" s="30"/>
      <c r="U32" s="32">
        <f t="shared" ref="U32:U45" si="39">+S32+P32-V32</f>
        <v>8</v>
      </c>
      <c r="V32" s="20">
        <f>IF(M32&gt;0,(P32+S32)+IF(U$26&gt;0,P32,-8),0)+IF(AE$26&gt;0,S32,0)</f>
        <v>0</v>
      </c>
      <c r="W32" s="369">
        <v>8</v>
      </c>
      <c r="X32" s="370">
        <v>16</v>
      </c>
      <c r="Y32" s="108">
        <v>1</v>
      </c>
      <c r="Z32" s="109">
        <f t="shared" ref="Z32:Z45" si="40">+X32-W32-Y32</f>
        <v>7</v>
      </c>
      <c r="AA32" s="370"/>
      <c r="AB32" s="18"/>
      <c r="AC32" s="109">
        <f t="shared" ref="AC32:AC45" si="41">+AB32-AA32</f>
        <v>0</v>
      </c>
      <c r="AD32" s="108"/>
      <c r="AE32" s="110">
        <f t="shared" ref="AE32:AE45" si="42">+AC32+Z32-AF32</f>
        <v>8</v>
      </c>
      <c r="AF32" s="111">
        <f t="shared" ref="AF32:AF45" si="43">IF(W32&gt;0,(Z32+AC32)+IF(AE$26&gt;0,0+Z32,-8),0)</f>
        <v>-1</v>
      </c>
      <c r="AG32" s="55"/>
      <c r="AH32" s="112">
        <v>0</v>
      </c>
      <c r="AI32" s="113">
        <f t="shared" ref="AI32:AI45" si="44">+K11+(IF(ISBLANK($K$5),-8,0))</f>
        <v>0</v>
      </c>
      <c r="AJ32" s="113">
        <f t="shared" ref="AJ32:AJ45" si="45">IF(ISBLANK($U$5),-8,0)+U11</f>
        <v>0</v>
      </c>
      <c r="AK32" s="113">
        <f>IF(ISBLANK($AE$5),-8,0)+AE11</f>
        <v>0.5</v>
      </c>
      <c r="AL32" s="113">
        <f t="shared" ref="AL32:AL45" si="46">IF(ISBLANK($AO$5),-8,0)+AO11+AW32</f>
        <v>0</v>
      </c>
      <c r="AM32" s="113">
        <f t="shared" ref="AM32:AM45" si="47">IF(ISBLANK($K$26),-8,0)+K32</f>
        <v>0</v>
      </c>
      <c r="AN32" s="113">
        <f t="shared" ref="AN32:AN45" si="48">IF(ISBLANK($U$26),-8,0)+U32</f>
        <v>0</v>
      </c>
      <c r="AO32" s="113">
        <f t="shared" ref="AO32:AO45" si="49">IF(ISBLANK($AE$26),-8,0)+AE32</f>
        <v>0</v>
      </c>
      <c r="AP32" s="114">
        <f t="shared" ref="AP32:AP45" si="50">SUM(AH32:AO32)</f>
        <v>0.5</v>
      </c>
      <c r="AQ32" s="55"/>
      <c r="AR32" s="1159">
        <f t="shared" ref="AR32:AR40" si="51">+X71*Q71</f>
        <v>0</v>
      </c>
      <c r="AS32" s="1197"/>
      <c r="AT32" s="117">
        <f t="shared" ref="AT32:AT41" si="52">IF(K11+L11&gt;0,1,0)+IF(U11+V11&gt;0,1,0)+IF(AE11+AF11&gt;0,1,0)+IF(AO11&gt;3,1,0)+IF(K32+L32&gt;0,1,0)+IF(U32+V32&gt;0,1,0)+IF(AE32+AF32&gt;0,1,0)</f>
        <v>7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3"/>
        <v>Cesar Mendez M.</v>
      </c>
      <c r="C33" s="334">
        <v>18</v>
      </c>
      <c r="D33" s="342">
        <v>24</v>
      </c>
      <c r="E33" s="30">
        <v>1</v>
      </c>
      <c r="F33" s="31">
        <f t="shared" si="34"/>
        <v>5</v>
      </c>
      <c r="G33" s="33">
        <v>0</v>
      </c>
      <c r="H33" s="346">
        <v>7</v>
      </c>
      <c r="I33" s="31">
        <f t="shared" si="35"/>
        <v>7</v>
      </c>
      <c r="J33" s="30">
        <v>8</v>
      </c>
      <c r="K33" s="32">
        <f t="shared" si="36"/>
        <v>8</v>
      </c>
      <c r="L33" s="20">
        <f>IF(C33&gt;0,(F33+I33)+IF(K$26&gt;0,F33,-8),0)+IF(U$26&gt;0,I33,0)</f>
        <v>4</v>
      </c>
      <c r="M33" s="342">
        <v>18</v>
      </c>
      <c r="N33" s="342">
        <v>24</v>
      </c>
      <c r="O33" s="30">
        <v>1</v>
      </c>
      <c r="P33" s="31">
        <f t="shared" si="37"/>
        <v>5</v>
      </c>
      <c r="Q33" s="346">
        <v>0</v>
      </c>
      <c r="R33" s="346">
        <v>7</v>
      </c>
      <c r="S33" s="31">
        <f t="shared" si="38"/>
        <v>7</v>
      </c>
      <c r="T33" s="30">
        <v>8</v>
      </c>
      <c r="U33" s="32">
        <f t="shared" si="39"/>
        <v>8</v>
      </c>
      <c r="V33" s="20">
        <f>IF(M33&gt;0,(P33+S33)+IF(U$26&gt;0,P33,-8),0)+IF(AE$26&gt;0,S33,0)</f>
        <v>4</v>
      </c>
      <c r="W33" s="334">
        <v>8</v>
      </c>
      <c r="X33" s="342">
        <v>20</v>
      </c>
      <c r="Y33" s="30">
        <v>1</v>
      </c>
      <c r="Z33" s="31">
        <f t="shared" si="40"/>
        <v>11</v>
      </c>
      <c r="AA33" s="342"/>
      <c r="AB33" s="346"/>
      <c r="AC33" s="31">
        <f t="shared" si="41"/>
        <v>0</v>
      </c>
      <c r="AD33" s="30"/>
      <c r="AE33" s="32">
        <f t="shared" si="42"/>
        <v>8</v>
      </c>
      <c r="AF33" s="20">
        <f t="shared" si="43"/>
        <v>3</v>
      </c>
      <c r="AG33" s="55"/>
      <c r="AH33" s="112">
        <v>0</v>
      </c>
      <c r="AI33" s="113">
        <f t="shared" si="44"/>
        <v>0</v>
      </c>
      <c r="AJ33" s="113">
        <f t="shared" si="45"/>
        <v>0</v>
      </c>
      <c r="AK33" s="113">
        <f>IF(ISBLANK($AE$5),-8,0)+AE12</f>
        <v>-7</v>
      </c>
      <c r="AL33" s="113">
        <f t="shared" si="46"/>
        <v>0</v>
      </c>
      <c r="AM33" s="113">
        <f t="shared" si="47"/>
        <v>0</v>
      </c>
      <c r="AN33" s="113">
        <f t="shared" si="48"/>
        <v>0</v>
      </c>
      <c r="AO33" s="113">
        <f t="shared" si="49"/>
        <v>0</v>
      </c>
      <c r="AP33" s="114">
        <f t="shared" si="50"/>
        <v>-7</v>
      </c>
      <c r="AQ33" s="55"/>
      <c r="AR33" s="1159">
        <f t="shared" si="51"/>
        <v>2.3357142857142961</v>
      </c>
      <c r="AS33" s="1160"/>
      <c r="AT33" s="117">
        <f t="shared" si="52"/>
        <v>7</v>
      </c>
      <c r="AU33" s="55"/>
      <c r="AV33" s="55"/>
      <c r="AW33" s="1134">
        <v>-47</v>
      </c>
      <c r="AX33" s="1135"/>
    </row>
    <row r="34" spans="1:56" ht="14.1" customHeight="1">
      <c r="B34" s="29" t="str">
        <f t="shared" si="33"/>
        <v>Miguel Tejada Ll.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46"/>
      <c r="H34" s="346"/>
      <c r="I34" s="31">
        <f t="shared" si="35"/>
        <v>0</v>
      </c>
      <c r="J34" s="30"/>
      <c r="K34" s="32">
        <f t="shared" si="36"/>
        <v>8</v>
      </c>
      <c r="L34" s="20">
        <f t="shared" ref="L34:L45" si="53">IF(C34&gt;0,(F34+I34)+IF(K$26&gt;0,F34,-8),0)+IF(U$26&gt;0,I34,0)</f>
        <v>2</v>
      </c>
      <c r="M34" s="334">
        <v>7</v>
      </c>
      <c r="N34" s="342">
        <v>17</v>
      </c>
      <c r="O34" s="30">
        <v>1</v>
      </c>
      <c r="P34" s="31">
        <f t="shared" si="37"/>
        <v>9</v>
      </c>
      <c r="Q34" s="106"/>
      <c r="R34" s="106"/>
      <c r="S34" s="31">
        <f t="shared" si="38"/>
        <v>0</v>
      </c>
      <c r="T34" s="30"/>
      <c r="U34" s="32">
        <f t="shared" si="39"/>
        <v>8</v>
      </c>
      <c r="V34" s="20">
        <f t="shared" ref="V34:V45" si="54">IF(M34&gt;0,(P34+S34)+IF(U$26&gt;0,P34,-8),0)+IF(AE$26&gt;0,S34,0)</f>
        <v>1</v>
      </c>
      <c r="W34" s="334">
        <v>7</v>
      </c>
      <c r="X34" s="342">
        <v>16</v>
      </c>
      <c r="Y34" s="30">
        <v>1</v>
      </c>
      <c r="Z34" s="31">
        <f t="shared" si="40"/>
        <v>8</v>
      </c>
      <c r="AA34" s="342"/>
      <c r="AB34" s="116"/>
      <c r="AC34" s="31">
        <f t="shared" si="41"/>
        <v>0</v>
      </c>
      <c r="AD34" s="30"/>
      <c r="AE34" s="32">
        <f t="shared" si="42"/>
        <v>8</v>
      </c>
      <c r="AF34" s="20">
        <f t="shared" si="43"/>
        <v>0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IF(ISBLANK($AE$5),-8,0)+AE13</f>
        <v>-8</v>
      </c>
      <c r="AL34" s="113">
        <f t="shared" si="46"/>
        <v>0</v>
      </c>
      <c r="AM34" s="113">
        <f t="shared" si="47"/>
        <v>0</v>
      </c>
      <c r="AN34" s="113">
        <f t="shared" si="48"/>
        <v>0</v>
      </c>
      <c r="AO34" s="113">
        <f t="shared" si="49"/>
        <v>0</v>
      </c>
      <c r="AP34" s="114">
        <f t="shared" si="50"/>
        <v>-8</v>
      </c>
      <c r="AQ34" s="55"/>
      <c r="AR34" s="1159">
        <f t="shared" si="51"/>
        <v>0</v>
      </c>
      <c r="AS34" s="1160"/>
      <c r="AT34" s="118">
        <f t="shared" si="52"/>
        <v>5</v>
      </c>
      <c r="AU34" s="55"/>
      <c r="AV34" s="55"/>
      <c r="AW34" s="1134"/>
      <c r="AX34" s="1135"/>
    </row>
    <row r="35" spans="1:56" ht="14.1" customHeight="1">
      <c r="B35" s="29" t="str">
        <f t="shared" si="33"/>
        <v>Alejandro Dueñas</v>
      </c>
      <c r="C35" s="372">
        <v>18</v>
      </c>
      <c r="D35" s="348">
        <v>24</v>
      </c>
      <c r="E35" s="119">
        <v>1</v>
      </c>
      <c r="F35" s="120">
        <f t="shared" si="34"/>
        <v>5</v>
      </c>
      <c r="G35" s="346">
        <v>0</v>
      </c>
      <c r="H35" s="346">
        <v>7</v>
      </c>
      <c r="I35" s="120">
        <f t="shared" si="35"/>
        <v>7</v>
      </c>
      <c r="J35" s="119">
        <v>8</v>
      </c>
      <c r="K35" s="121">
        <f t="shared" si="36"/>
        <v>8</v>
      </c>
      <c r="L35" s="20">
        <f t="shared" si="53"/>
        <v>4</v>
      </c>
      <c r="M35" s="342">
        <v>18</v>
      </c>
      <c r="N35" s="342">
        <v>24</v>
      </c>
      <c r="O35" s="30">
        <v>1</v>
      </c>
      <c r="P35" s="31">
        <f t="shared" si="37"/>
        <v>5</v>
      </c>
      <c r="Q35" s="346">
        <v>0</v>
      </c>
      <c r="R35" s="346">
        <v>7</v>
      </c>
      <c r="S35" s="120">
        <f t="shared" si="38"/>
        <v>7</v>
      </c>
      <c r="T35" s="30">
        <v>8</v>
      </c>
      <c r="U35" s="32">
        <f t="shared" si="39"/>
        <v>8</v>
      </c>
      <c r="V35" s="20">
        <f t="shared" si="54"/>
        <v>4</v>
      </c>
      <c r="W35" s="334">
        <v>7</v>
      </c>
      <c r="X35" s="342">
        <v>20</v>
      </c>
      <c r="Y35" s="30">
        <v>1</v>
      </c>
      <c r="Z35" s="31">
        <f t="shared" si="40"/>
        <v>12</v>
      </c>
      <c r="AA35" s="342"/>
      <c r="AB35" s="342"/>
      <c r="AC35" s="31">
        <f t="shared" si="41"/>
        <v>0</v>
      </c>
      <c r="AD35" s="30"/>
      <c r="AE35" s="32">
        <f t="shared" si="42"/>
        <v>8</v>
      </c>
      <c r="AF35" s="20">
        <f t="shared" si="43"/>
        <v>4</v>
      </c>
      <c r="AG35" s="55"/>
      <c r="AH35" s="112">
        <v>0</v>
      </c>
      <c r="AI35" s="113">
        <f t="shared" si="44"/>
        <v>-8</v>
      </c>
      <c r="AJ35" s="113">
        <f t="shared" si="45"/>
        <v>0</v>
      </c>
      <c r="AK35" s="113">
        <f>IF(ISBLANK($AE$5),-8,0)+AE14</f>
        <v>-7</v>
      </c>
      <c r="AL35" s="113">
        <f t="shared" si="46"/>
        <v>0</v>
      </c>
      <c r="AM35" s="113">
        <f t="shared" si="47"/>
        <v>0</v>
      </c>
      <c r="AN35" s="113">
        <f t="shared" si="48"/>
        <v>0</v>
      </c>
      <c r="AO35" s="113">
        <f t="shared" si="49"/>
        <v>0</v>
      </c>
      <c r="AP35" s="114">
        <f t="shared" si="50"/>
        <v>-15</v>
      </c>
      <c r="AQ35" s="55"/>
      <c r="AR35" s="1159">
        <f t="shared" si="51"/>
        <v>25.549714285714295</v>
      </c>
      <c r="AS35" s="1160"/>
      <c r="AT35" s="118">
        <f t="shared" si="52"/>
        <v>6</v>
      </c>
      <c r="AU35" s="55"/>
      <c r="AV35" s="55"/>
      <c r="AW35" s="1195">
        <v>-17</v>
      </c>
      <c r="AX35" s="1196"/>
      <c r="AY35" s="122"/>
      <c r="BD35" s="115"/>
    </row>
    <row r="36" spans="1:56" ht="14.1" customHeight="1">
      <c r="B36" s="48" t="str">
        <f t="shared" si="33"/>
        <v>Juan Manrique V.</v>
      </c>
      <c r="C36" s="334">
        <v>8</v>
      </c>
      <c r="D36" s="342">
        <v>18</v>
      </c>
      <c r="E36" s="30">
        <v>1</v>
      </c>
      <c r="F36" s="31">
        <f t="shared" si="34"/>
        <v>9</v>
      </c>
      <c r="G36" s="33"/>
      <c r="H36" s="47"/>
      <c r="I36" s="31">
        <f t="shared" si="35"/>
        <v>0</v>
      </c>
      <c r="J36" s="30"/>
      <c r="K36" s="32">
        <f t="shared" si="36"/>
        <v>8</v>
      </c>
      <c r="L36" s="20">
        <f t="shared" si="53"/>
        <v>1</v>
      </c>
      <c r="M36" s="342">
        <v>7</v>
      </c>
      <c r="N36" s="342">
        <v>17</v>
      </c>
      <c r="O36" s="30">
        <v>1</v>
      </c>
      <c r="P36" s="31">
        <f t="shared" si="37"/>
        <v>9</v>
      </c>
      <c r="Q36" s="106"/>
      <c r="R36" s="106"/>
      <c r="S36" s="31">
        <f t="shared" si="38"/>
        <v>0</v>
      </c>
      <c r="T36" s="30"/>
      <c r="U36" s="32">
        <f t="shared" si="39"/>
        <v>8</v>
      </c>
      <c r="V36" s="20">
        <f t="shared" si="54"/>
        <v>1</v>
      </c>
      <c r="W36" s="334">
        <v>8</v>
      </c>
      <c r="X36" s="342">
        <v>18</v>
      </c>
      <c r="Y36" s="30">
        <v>1</v>
      </c>
      <c r="Z36" s="31">
        <f t="shared" si="40"/>
        <v>9</v>
      </c>
      <c r="AA36" s="342"/>
      <c r="AB36" s="342"/>
      <c r="AC36" s="31">
        <f t="shared" si="41"/>
        <v>0</v>
      </c>
      <c r="AD36" s="30"/>
      <c r="AE36" s="32">
        <f t="shared" si="42"/>
        <v>8</v>
      </c>
      <c r="AF36" s="20">
        <f t="shared" si="43"/>
        <v>1</v>
      </c>
      <c r="AG36" s="55"/>
      <c r="AH36" s="112">
        <v>0</v>
      </c>
      <c r="AI36" s="113">
        <f t="shared" si="44"/>
        <v>0</v>
      </c>
      <c r="AJ36" s="113">
        <f t="shared" si="45"/>
        <v>0</v>
      </c>
      <c r="AK36" s="113">
        <f>IF(ISBLANK($AE$5),-8,0)+AE15</f>
        <v>0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0</v>
      </c>
      <c r="AQ36" s="55"/>
      <c r="AR36" s="1159">
        <f t="shared" si="51"/>
        <v>0</v>
      </c>
      <c r="AS36" s="1160"/>
      <c r="AT36" s="118">
        <f t="shared" si="52"/>
        <v>6</v>
      </c>
      <c r="AU36" s="55"/>
      <c r="AV36" s="55"/>
      <c r="AW36" s="1195"/>
      <c r="AX36" s="1196"/>
      <c r="AZ36" s="115"/>
      <c r="BD36" s="115"/>
    </row>
    <row r="37" spans="1:56" ht="14.1" customHeight="1">
      <c r="B37" s="123" t="str">
        <f t="shared" si="33"/>
        <v xml:space="preserve"> Irving Huaringa B.</v>
      </c>
      <c r="C37" s="334">
        <v>7</v>
      </c>
      <c r="D37" s="342">
        <v>16</v>
      </c>
      <c r="E37" s="30">
        <v>1</v>
      </c>
      <c r="F37" s="31">
        <f>+D37-C37-E37</f>
        <v>8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3"/>
        <v>0</v>
      </c>
      <c r="M37" s="342">
        <v>7</v>
      </c>
      <c r="N37" s="342">
        <v>16</v>
      </c>
      <c r="O37" s="30">
        <v>1</v>
      </c>
      <c r="P37" s="31">
        <f>+N37-M37-O37</f>
        <v>8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4"/>
        <v>0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3"/>
        <v>0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24">
        <f>IF(ISBLANK($AE$5),-5,0)+AE16</f>
        <v>0</v>
      </c>
      <c r="AL37" s="113">
        <f t="shared" si="46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51"/>
        <v>0</v>
      </c>
      <c r="AS37" s="1160"/>
      <c r="AT37" s="118">
        <f t="shared" si="52"/>
        <v>6</v>
      </c>
      <c r="AU37" s="55"/>
      <c r="AV37" s="55"/>
      <c r="AW37" s="1134"/>
      <c r="AX37" s="1135"/>
    </row>
    <row r="38" spans="1:56" ht="14.1" customHeight="1">
      <c r="B38" s="48" t="str">
        <f t="shared" si="33"/>
        <v xml:space="preserve">  -  .  -  </v>
      </c>
      <c r="C38" s="334"/>
      <c r="D38" s="342"/>
      <c r="E38" s="30"/>
      <c r="F38" s="31">
        <f t="shared" si="34"/>
        <v>0</v>
      </c>
      <c r="G38" s="33"/>
      <c r="H38" s="346"/>
      <c r="I38" s="31">
        <f t="shared" si="35"/>
        <v>0</v>
      </c>
      <c r="J38" s="30"/>
      <c r="K38" s="32">
        <f t="shared" si="36"/>
        <v>0</v>
      </c>
      <c r="L38" s="20">
        <f t="shared" si="53"/>
        <v>0</v>
      </c>
      <c r="M38" s="342"/>
      <c r="N38" s="342"/>
      <c r="O38" s="30"/>
      <c r="P38" s="31">
        <f t="shared" si="37"/>
        <v>0</v>
      </c>
      <c r="Q38" s="106"/>
      <c r="R38" s="106"/>
      <c r="S38" s="31">
        <f t="shared" si="38"/>
        <v>0</v>
      </c>
      <c r="T38" s="30"/>
      <c r="U38" s="32">
        <f t="shared" si="39"/>
        <v>0</v>
      </c>
      <c r="V38" s="20">
        <f t="shared" si="54"/>
        <v>0</v>
      </c>
      <c r="W38" s="334"/>
      <c r="X38" s="342"/>
      <c r="Y38" s="30"/>
      <c r="Z38" s="31">
        <f t="shared" si="40"/>
        <v>0</v>
      </c>
      <c r="AA38" s="342"/>
      <c r="AB38" s="342"/>
      <c r="AC38" s="31">
        <f>+AB38-AA38</f>
        <v>0</v>
      </c>
      <c r="AD38" s="30"/>
      <c r="AE38" s="32">
        <f t="shared" si="42"/>
        <v>0</v>
      </c>
      <c r="AF38" s="20">
        <f t="shared" si="43"/>
        <v>0</v>
      </c>
      <c r="AG38" s="55"/>
      <c r="AH38" s="112">
        <v>0</v>
      </c>
      <c r="AI38" s="113">
        <f t="shared" si="44"/>
        <v>-8</v>
      </c>
      <c r="AJ38" s="113">
        <f t="shared" si="45"/>
        <v>-8</v>
      </c>
      <c r="AK38" s="113">
        <f t="shared" ref="AK38:AK45" si="55">IF(ISBLANK($AE$5),-8,0)+AE17</f>
        <v>-8</v>
      </c>
      <c r="AL38" s="113">
        <f t="shared" si="46"/>
        <v>0</v>
      </c>
      <c r="AM38" s="113">
        <f t="shared" si="47"/>
        <v>-8</v>
      </c>
      <c r="AN38" s="113">
        <f t="shared" si="48"/>
        <v>-8</v>
      </c>
      <c r="AO38" s="113">
        <f t="shared" si="49"/>
        <v>-8</v>
      </c>
      <c r="AP38" s="114">
        <f t="shared" si="50"/>
        <v>-48</v>
      </c>
      <c r="AQ38" s="55"/>
      <c r="AR38" s="1159">
        <f t="shared" si="51"/>
        <v>0</v>
      </c>
      <c r="AS38" s="1160"/>
      <c r="AT38" s="118">
        <f t="shared" si="52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3"/>
        <v>Pedro Hostos S,</v>
      </c>
      <c r="C39" s="372">
        <v>7</v>
      </c>
      <c r="D39" s="348">
        <v>18</v>
      </c>
      <c r="E39" s="119">
        <v>1</v>
      </c>
      <c r="F39" s="31">
        <f t="shared" si="34"/>
        <v>10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3"/>
        <v>2</v>
      </c>
      <c r="M39" s="342">
        <v>7</v>
      </c>
      <c r="N39" s="342">
        <v>18</v>
      </c>
      <c r="O39" s="30">
        <v>1</v>
      </c>
      <c r="P39" s="31">
        <f t="shared" si="37"/>
        <v>10</v>
      </c>
      <c r="Q39" s="346"/>
      <c r="R39" s="346"/>
      <c r="S39" s="31">
        <f t="shared" si="38"/>
        <v>0</v>
      </c>
      <c r="T39" s="30"/>
      <c r="U39" s="32">
        <f t="shared" si="39"/>
        <v>8</v>
      </c>
      <c r="V39" s="20">
        <f t="shared" si="54"/>
        <v>2</v>
      </c>
      <c r="W39" s="334">
        <v>7</v>
      </c>
      <c r="X39" s="342">
        <v>18</v>
      </c>
      <c r="Y39" s="30">
        <v>1</v>
      </c>
      <c r="Z39" s="31">
        <f t="shared" si="40"/>
        <v>10</v>
      </c>
      <c r="AA39" s="342"/>
      <c r="AB39" s="342"/>
      <c r="AC39" s="31">
        <f t="shared" si="41"/>
        <v>0</v>
      </c>
      <c r="AD39" s="30"/>
      <c r="AE39" s="32">
        <f t="shared" si="42"/>
        <v>8</v>
      </c>
      <c r="AF39" s="20">
        <f t="shared" si="43"/>
        <v>2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si="55"/>
        <v>0</v>
      </c>
      <c r="AL39" s="113">
        <f t="shared" si="46"/>
        <v>0</v>
      </c>
      <c r="AM39" s="125">
        <f t="shared" si="47"/>
        <v>0</v>
      </c>
      <c r="AN39" s="125">
        <f t="shared" si="48"/>
        <v>0</v>
      </c>
      <c r="AO39" s="125">
        <f t="shared" si="49"/>
        <v>0</v>
      </c>
      <c r="AP39" s="114">
        <f t="shared" si="50"/>
        <v>0</v>
      </c>
      <c r="AQ39" s="55"/>
      <c r="AR39" s="1159">
        <f t="shared" si="51"/>
        <v>0</v>
      </c>
      <c r="AS39" s="1160"/>
      <c r="AT39" s="118">
        <f t="shared" si="52"/>
        <v>6</v>
      </c>
      <c r="AU39" s="55"/>
      <c r="AV39" s="55"/>
      <c r="AW39" s="1134"/>
      <c r="AX39" s="1135"/>
    </row>
    <row r="40" spans="1:56" ht="14.1" customHeight="1">
      <c r="B40" s="58" t="str">
        <f t="shared" si="33"/>
        <v xml:space="preserve">  -  .  -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3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54"/>
        <v>0</v>
      </c>
      <c r="W40" s="334"/>
      <c r="X40" s="342"/>
      <c r="Y40" s="30"/>
      <c r="Z40" s="31">
        <f t="shared" si="40"/>
        <v>0</v>
      </c>
      <c r="AA40" s="342"/>
      <c r="AB40" s="346"/>
      <c r="AC40" s="44">
        <f t="shared" si="41"/>
        <v>0</v>
      </c>
      <c r="AD40" s="30"/>
      <c r="AE40" s="32">
        <f t="shared" si="42"/>
        <v>0</v>
      </c>
      <c r="AF40" s="20">
        <f t="shared" si="43"/>
        <v>0</v>
      </c>
      <c r="AG40" s="126"/>
      <c r="AH40" s="127">
        <v>0</v>
      </c>
      <c r="AI40" s="113">
        <f t="shared" si="44"/>
        <v>-8</v>
      </c>
      <c r="AJ40" s="113">
        <f t="shared" si="45"/>
        <v>-8</v>
      </c>
      <c r="AK40" s="128">
        <f t="shared" si="55"/>
        <v>-8</v>
      </c>
      <c r="AL40" s="113">
        <f t="shared" si="46"/>
        <v>0</v>
      </c>
      <c r="AM40" s="113">
        <f t="shared" si="47"/>
        <v>-8</v>
      </c>
      <c r="AN40" s="113">
        <f t="shared" si="48"/>
        <v>-8</v>
      </c>
      <c r="AO40" s="113">
        <f t="shared" si="49"/>
        <v>-8</v>
      </c>
      <c r="AP40" s="114">
        <f t="shared" si="50"/>
        <v>-48</v>
      </c>
      <c r="AQ40" s="55"/>
      <c r="AR40" s="1159">
        <f t="shared" si="51"/>
        <v>0</v>
      </c>
      <c r="AS40" s="1160"/>
      <c r="AT40" s="118">
        <f t="shared" si="52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3"/>
        <v xml:space="preserve">  -  .  -  </v>
      </c>
      <c r="C41" s="522"/>
      <c r="D41" s="522"/>
      <c r="E41" s="522"/>
      <c r="F41" s="523">
        <f t="shared" si="34"/>
        <v>0</v>
      </c>
      <c r="G41" s="522"/>
      <c r="H41" s="522"/>
      <c r="I41" s="523">
        <f t="shared" si="35"/>
        <v>0</v>
      </c>
      <c r="J41" s="522"/>
      <c r="K41" s="523">
        <f t="shared" si="36"/>
        <v>0</v>
      </c>
      <c r="L41" s="524">
        <f t="shared" si="53"/>
        <v>0</v>
      </c>
      <c r="M41" s="522"/>
      <c r="N41" s="522"/>
      <c r="O41" s="522"/>
      <c r="P41" s="523">
        <f t="shared" si="37"/>
        <v>0</v>
      </c>
      <c r="Q41" s="525"/>
      <c r="R41" s="525"/>
      <c r="S41" s="523">
        <f t="shared" si="38"/>
        <v>0</v>
      </c>
      <c r="T41" s="522"/>
      <c r="U41" s="523">
        <f t="shared" si="39"/>
        <v>0</v>
      </c>
      <c r="V41" s="524">
        <f t="shared" si="54"/>
        <v>0</v>
      </c>
      <c r="W41" s="526"/>
      <c r="X41" s="522"/>
      <c r="Y41" s="522"/>
      <c r="Z41" s="523">
        <f t="shared" si="40"/>
        <v>0</v>
      </c>
      <c r="AA41" s="522"/>
      <c r="AB41" s="522"/>
      <c r="AC41" s="523">
        <f t="shared" si="41"/>
        <v>0</v>
      </c>
      <c r="AD41" s="522"/>
      <c r="AE41" s="523">
        <f t="shared" si="42"/>
        <v>0</v>
      </c>
      <c r="AF41" s="524">
        <f t="shared" si="43"/>
        <v>0</v>
      </c>
      <c r="AG41" s="514"/>
      <c r="AH41" s="529">
        <v>0</v>
      </c>
      <c r="AI41" s="530">
        <f t="shared" si="44"/>
        <v>-8</v>
      </c>
      <c r="AJ41" s="530">
        <f t="shared" si="45"/>
        <v>-8</v>
      </c>
      <c r="AK41" s="530">
        <f t="shared" si="55"/>
        <v>-8</v>
      </c>
      <c r="AL41" s="530">
        <f t="shared" si="46"/>
        <v>0</v>
      </c>
      <c r="AM41" s="530">
        <f t="shared" si="47"/>
        <v>-8</v>
      </c>
      <c r="AN41" s="530">
        <f t="shared" si="48"/>
        <v>-8</v>
      </c>
      <c r="AO41" s="530">
        <f t="shared" si="49"/>
        <v>-8</v>
      </c>
      <c r="AP41" s="531">
        <f t="shared" si="50"/>
        <v>-48</v>
      </c>
      <c r="AQ41" s="55"/>
      <c r="AR41" s="1191"/>
      <c r="AS41" s="1192"/>
      <c r="AT41" s="532">
        <f t="shared" si="52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15" t="str">
        <f t="shared" si="33"/>
        <v>Patrick Palacios</v>
      </c>
      <c r="C42" s="372"/>
      <c r="D42" s="348"/>
      <c r="E42" s="119"/>
      <c r="F42" s="31">
        <f t="shared" si="34"/>
        <v>0</v>
      </c>
      <c r="G42" s="33"/>
      <c r="H42" s="346"/>
      <c r="I42" s="31">
        <f t="shared" si="35"/>
        <v>0</v>
      </c>
      <c r="J42" s="30"/>
      <c r="K42" s="32">
        <f t="shared" si="36"/>
        <v>0</v>
      </c>
      <c r="L42" s="20">
        <f t="shared" si="53"/>
        <v>0</v>
      </c>
      <c r="M42" s="342"/>
      <c r="N42" s="342"/>
      <c r="O42" s="30"/>
      <c r="P42" s="31">
        <f t="shared" si="37"/>
        <v>0</v>
      </c>
      <c r="Q42" s="346"/>
      <c r="R42" s="346"/>
      <c r="S42" s="31">
        <f t="shared" si="38"/>
        <v>0</v>
      </c>
      <c r="T42" s="30"/>
      <c r="U42" s="32">
        <f t="shared" si="39"/>
        <v>0</v>
      </c>
      <c r="V42" s="20">
        <f t="shared" si="54"/>
        <v>0</v>
      </c>
      <c r="W42" s="334"/>
      <c r="X42" s="342"/>
      <c r="Y42" s="30"/>
      <c r="Z42" s="31">
        <f t="shared" si="40"/>
        <v>0</v>
      </c>
      <c r="AA42" s="342"/>
      <c r="AB42" s="342"/>
      <c r="AC42" s="31">
        <f t="shared" si="41"/>
        <v>0</v>
      </c>
      <c r="AD42" s="30"/>
      <c r="AE42" s="32">
        <f t="shared" si="42"/>
        <v>0</v>
      </c>
      <c r="AF42" s="20">
        <f t="shared" si="43"/>
        <v>0</v>
      </c>
      <c r="AG42" s="55"/>
      <c r="AH42" s="490">
        <v>0</v>
      </c>
      <c r="AI42" s="527">
        <f t="shared" si="44"/>
        <v>0</v>
      </c>
      <c r="AJ42" s="527">
        <f t="shared" si="45"/>
        <v>0</v>
      </c>
      <c r="AK42" s="527">
        <f t="shared" si="55"/>
        <v>1.5</v>
      </c>
      <c r="AL42" s="527">
        <f t="shared" si="46"/>
        <v>0</v>
      </c>
      <c r="AM42" s="527">
        <f t="shared" si="47"/>
        <v>-8</v>
      </c>
      <c r="AN42" s="527">
        <f t="shared" si="48"/>
        <v>-8</v>
      </c>
      <c r="AO42" s="527">
        <f t="shared" si="49"/>
        <v>-8</v>
      </c>
      <c r="AP42" s="492">
        <f t="shared" si="50"/>
        <v>-22.5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3</v>
      </c>
      <c r="AU42" s="55"/>
      <c r="AV42" s="55"/>
      <c r="AW42" s="1189"/>
      <c r="AX42" s="1190"/>
    </row>
    <row r="43" spans="1:56" ht="14.1" customHeight="1">
      <c r="B43" s="513" t="str">
        <f t="shared" si="33"/>
        <v>Jose Cortez P.</v>
      </c>
      <c r="C43" s="459">
        <v>7</v>
      </c>
      <c r="D43" s="459">
        <v>18</v>
      </c>
      <c r="E43" s="459">
        <v>1</v>
      </c>
      <c r="F43" s="460">
        <f t="shared" si="34"/>
        <v>10</v>
      </c>
      <c r="G43" s="459"/>
      <c r="H43" s="459"/>
      <c r="I43" s="460">
        <f t="shared" si="35"/>
        <v>0</v>
      </c>
      <c r="J43" s="459"/>
      <c r="K43" s="32">
        <f t="shared" si="36"/>
        <v>8</v>
      </c>
      <c r="L43" s="461">
        <f t="shared" si="53"/>
        <v>2</v>
      </c>
      <c r="M43" s="459">
        <v>7</v>
      </c>
      <c r="N43" s="459">
        <v>18</v>
      </c>
      <c r="O43" s="459">
        <v>1</v>
      </c>
      <c r="P43" s="460">
        <f t="shared" si="37"/>
        <v>10</v>
      </c>
      <c r="Q43" s="489"/>
      <c r="R43" s="489"/>
      <c r="S43" s="460">
        <f t="shared" si="38"/>
        <v>0</v>
      </c>
      <c r="T43" s="459"/>
      <c r="U43" s="32">
        <f t="shared" si="39"/>
        <v>8</v>
      </c>
      <c r="V43" s="461">
        <f t="shared" si="54"/>
        <v>2</v>
      </c>
      <c r="W43" s="723">
        <v>7</v>
      </c>
      <c r="X43" s="719">
        <v>18</v>
      </c>
      <c r="Y43" s="719">
        <v>1</v>
      </c>
      <c r="Z43" s="720">
        <f t="shared" si="40"/>
        <v>10</v>
      </c>
      <c r="AA43" s="342"/>
      <c r="AB43" s="342"/>
      <c r="AC43" s="44">
        <f t="shared" si="41"/>
        <v>0</v>
      </c>
      <c r="AD43" s="30"/>
      <c r="AE43" s="32">
        <f t="shared" si="42"/>
        <v>8</v>
      </c>
      <c r="AF43" s="20">
        <f t="shared" si="43"/>
        <v>2</v>
      </c>
      <c r="AG43" s="55"/>
      <c r="AH43" s="143">
        <v>0</v>
      </c>
      <c r="AI43" s="144">
        <f t="shared" si="44"/>
        <v>0</v>
      </c>
      <c r="AJ43" s="144">
        <f t="shared" si="45"/>
        <v>0</v>
      </c>
      <c r="AK43" s="144">
        <f t="shared" si="55"/>
        <v>0</v>
      </c>
      <c r="AL43" s="113">
        <f t="shared" si="46"/>
        <v>0</v>
      </c>
      <c r="AM43" s="144">
        <f t="shared" si="47"/>
        <v>0</v>
      </c>
      <c r="AN43" s="144">
        <f t="shared" si="48"/>
        <v>0</v>
      </c>
      <c r="AO43" s="144">
        <f t="shared" si="49"/>
        <v>0</v>
      </c>
      <c r="AP43" s="145">
        <f t="shared" si="50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-20</v>
      </c>
      <c r="AX43" s="1186"/>
    </row>
    <row r="44" spans="1:56" ht="14.1" customHeight="1">
      <c r="B44" s="513" t="str">
        <f t="shared" si="33"/>
        <v>Rafael Armas R.</v>
      </c>
      <c r="C44" s="716">
        <v>7</v>
      </c>
      <c r="D44" s="716">
        <v>18</v>
      </c>
      <c r="E44" s="716">
        <v>1</v>
      </c>
      <c r="F44" s="717">
        <f t="shared" si="34"/>
        <v>10</v>
      </c>
      <c r="G44" s="716"/>
      <c r="H44" s="716"/>
      <c r="I44" s="717">
        <f t="shared" si="35"/>
        <v>0</v>
      </c>
      <c r="J44" s="716"/>
      <c r="K44" s="32">
        <f t="shared" si="36"/>
        <v>8</v>
      </c>
      <c r="L44" s="718">
        <f t="shared" si="53"/>
        <v>2</v>
      </c>
      <c r="M44" s="719">
        <v>7</v>
      </c>
      <c r="N44" s="719">
        <v>18</v>
      </c>
      <c r="O44" s="719">
        <v>1</v>
      </c>
      <c r="P44" s="720">
        <f t="shared" si="37"/>
        <v>10</v>
      </c>
      <c r="Q44" s="721"/>
      <c r="R44" s="721"/>
      <c r="S44" s="720">
        <f t="shared" si="38"/>
        <v>0</v>
      </c>
      <c r="T44" s="719"/>
      <c r="U44" s="32">
        <f t="shared" si="39"/>
        <v>8</v>
      </c>
      <c r="V44" s="722">
        <f t="shared" si="54"/>
        <v>2</v>
      </c>
      <c r="W44" s="723">
        <v>7</v>
      </c>
      <c r="X44" s="719">
        <v>18</v>
      </c>
      <c r="Y44" s="719">
        <v>1</v>
      </c>
      <c r="Z44" s="720">
        <f t="shared" si="40"/>
        <v>10</v>
      </c>
      <c r="AA44" s="719"/>
      <c r="AB44" s="724"/>
      <c r="AC44" s="720">
        <f t="shared" si="41"/>
        <v>0</v>
      </c>
      <c r="AD44" s="719"/>
      <c r="AE44" s="32">
        <f t="shared" si="42"/>
        <v>8</v>
      </c>
      <c r="AF44" s="722">
        <f t="shared" si="43"/>
        <v>2</v>
      </c>
      <c r="AG44" s="55"/>
      <c r="AH44" s="127">
        <v>0</v>
      </c>
      <c r="AI44" s="113">
        <f t="shared" si="44"/>
        <v>0</v>
      </c>
      <c r="AJ44" s="113">
        <f t="shared" si="45"/>
        <v>0</v>
      </c>
      <c r="AK44" s="128">
        <f t="shared" si="55"/>
        <v>0</v>
      </c>
      <c r="AL44" s="113">
        <f t="shared" si="46"/>
        <v>0</v>
      </c>
      <c r="AM44" s="113">
        <f t="shared" si="47"/>
        <v>0</v>
      </c>
      <c r="AN44" s="113">
        <f t="shared" si="48"/>
        <v>0</v>
      </c>
      <c r="AO44" s="113">
        <f t="shared" si="49"/>
        <v>0</v>
      </c>
      <c r="AP44" s="114">
        <f t="shared" si="50"/>
        <v>0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7</v>
      </c>
      <c r="AU44" s="55"/>
      <c r="AV44" s="55"/>
      <c r="AW44" s="1134">
        <v>-20</v>
      </c>
      <c r="AX44" s="1135"/>
    </row>
    <row r="45" spans="1:56" ht="14.1" customHeight="1" thickBot="1">
      <c r="B45" s="95" t="str">
        <f t="shared" si="33"/>
        <v xml:space="preserve"> </v>
      </c>
      <c r="C45" s="360"/>
      <c r="D45" s="361"/>
      <c r="E45" s="96"/>
      <c r="F45" s="97">
        <f t="shared" si="34"/>
        <v>0</v>
      </c>
      <c r="G45" s="153"/>
      <c r="H45" s="363"/>
      <c r="I45" s="97">
        <f t="shared" si="35"/>
        <v>0</v>
      </c>
      <c r="J45" s="96"/>
      <c r="K45" s="98">
        <f t="shared" si="36"/>
        <v>0</v>
      </c>
      <c r="L45" s="99">
        <f t="shared" si="53"/>
        <v>0</v>
      </c>
      <c r="M45" s="361"/>
      <c r="N45" s="361"/>
      <c r="O45" s="96"/>
      <c r="P45" s="97">
        <f t="shared" si="37"/>
        <v>0</v>
      </c>
      <c r="Q45" s="154"/>
      <c r="R45" s="154"/>
      <c r="S45" s="97">
        <f t="shared" si="38"/>
        <v>0</v>
      </c>
      <c r="T45" s="96"/>
      <c r="U45" s="98">
        <f t="shared" si="39"/>
        <v>0</v>
      </c>
      <c r="V45" s="99">
        <f t="shared" si="54"/>
        <v>0</v>
      </c>
      <c r="W45" s="360"/>
      <c r="X45" s="361"/>
      <c r="Y45" s="96"/>
      <c r="Z45" s="97">
        <f t="shared" si="40"/>
        <v>0</v>
      </c>
      <c r="AA45" s="361"/>
      <c r="AB45" s="361"/>
      <c r="AC45" s="97">
        <f t="shared" si="41"/>
        <v>0</v>
      </c>
      <c r="AD45" s="96"/>
      <c r="AE45" s="98">
        <f t="shared" si="42"/>
        <v>0</v>
      </c>
      <c r="AF45" s="99">
        <f t="shared" si="43"/>
        <v>0</v>
      </c>
      <c r="AG45" s="55"/>
      <c r="AH45" s="112">
        <v>0</v>
      </c>
      <c r="AI45" s="113">
        <f t="shared" si="44"/>
        <v>-8</v>
      </c>
      <c r="AJ45" s="113">
        <f t="shared" si="45"/>
        <v>-8</v>
      </c>
      <c r="AK45" s="113">
        <f t="shared" si="55"/>
        <v>-8</v>
      </c>
      <c r="AL45" s="113">
        <f t="shared" si="46"/>
        <v>0</v>
      </c>
      <c r="AM45" s="113">
        <f t="shared" si="47"/>
        <v>-8</v>
      </c>
      <c r="AN45" s="113">
        <f t="shared" si="48"/>
        <v>-8</v>
      </c>
      <c r="AO45" s="113">
        <f t="shared" si="49"/>
        <v>-8</v>
      </c>
      <c r="AP45" s="114">
        <f t="shared" si="50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233</v>
      </c>
      <c r="AS46" s="1162"/>
      <c r="AT46" s="167">
        <f>SUM(AT32:AT45)</f>
        <v>60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120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43244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43245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43246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43247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43248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43249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43250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784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6">+C71/7</f>
        <v>36.371428571428567</v>
      </c>
      <c r="F71" s="1049"/>
      <c r="G71" s="388"/>
      <c r="H71" s="388"/>
      <c r="I71" s="1052">
        <f t="shared" ref="I71:I78" si="57">+E71/8</f>
        <v>4.5464285714285708</v>
      </c>
      <c r="J71" s="1058"/>
      <c r="K71" s="1059">
        <f t="shared" ref="K71:K79" si="58">+E71*30</f>
        <v>1091.1428571428569</v>
      </c>
      <c r="L71" s="1059"/>
      <c r="M71" s="5"/>
      <c r="N71" s="1020">
        <f t="shared" ref="N71:N85" si="59">+I71/6*7</f>
        <v>5.3041666666666654</v>
      </c>
      <c r="O71" s="1020"/>
      <c r="P71" s="5"/>
      <c r="Q71" s="1056">
        <f t="shared" ref="Q71:Q85" si="60">+$I$69-I71</f>
        <v>0.68482142857142936</v>
      </c>
      <c r="R71" s="1057"/>
      <c r="U71" s="238">
        <f t="shared" ref="U71:U77" si="61">+AE32+U32+K32+AO11+AE11+U11+K11</f>
        <v>64.5</v>
      </c>
      <c r="V71" s="239">
        <v>48</v>
      </c>
      <c r="W71" s="240">
        <f t="shared" ref="W71:W85" si="62">+V71-U71</f>
        <v>-16.5</v>
      </c>
      <c r="X71" s="241">
        <f t="shared" ref="X71:X83" si="63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6"/>
        <v>41.071428571428569</v>
      </c>
      <c r="F72" s="1049"/>
      <c r="G72" s="388"/>
      <c r="H72" s="388"/>
      <c r="I72" s="1052">
        <f t="shared" si="57"/>
        <v>5.1339285714285712</v>
      </c>
      <c r="J72" s="1058"/>
      <c r="K72" s="1059">
        <f t="shared" si="58"/>
        <v>1232.1428571428571</v>
      </c>
      <c r="L72" s="1059"/>
      <c r="M72" s="5"/>
      <c r="N72" s="1020">
        <f t="shared" si="59"/>
        <v>5.989583333333333</v>
      </c>
      <c r="O72" s="1020"/>
      <c r="P72" s="5"/>
      <c r="Q72" s="1056">
        <f t="shared" si="60"/>
        <v>9.7321428571429003E-2</v>
      </c>
      <c r="R72" s="1057"/>
      <c r="U72" s="238">
        <f t="shared" si="61"/>
        <v>88</v>
      </c>
      <c r="V72" s="239">
        <v>48</v>
      </c>
      <c r="W72" s="240">
        <f t="shared" si="62"/>
        <v>-40</v>
      </c>
      <c r="X72" s="241">
        <f t="shared" si="63"/>
        <v>24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6"/>
        <v>41.071428571428569</v>
      </c>
      <c r="F73" s="1049"/>
      <c r="G73" s="388"/>
      <c r="H73" s="388"/>
      <c r="I73" s="1052">
        <f t="shared" si="57"/>
        <v>5.1339285714285712</v>
      </c>
      <c r="J73" s="1058"/>
      <c r="K73" s="1059">
        <f t="shared" si="58"/>
        <v>1232.1428571428571</v>
      </c>
      <c r="L73" s="1059"/>
      <c r="M73" s="5"/>
      <c r="N73" s="1020">
        <f t="shared" si="59"/>
        <v>5.989583333333333</v>
      </c>
      <c r="O73" s="1020"/>
      <c r="P73" s="5"/>
      <c r="Q73" s="1056">
        <f t="shared" si="60"/>
        <v>9.7321428571429003E-2</v>
      </c>
      <c r="R73" s="1057"/>
      <c r="U73" s="238">
        <f t="shared" si="61"/>
        <v>40</v>
      </c>
      <c r="V73" s="239">
        <v>48</v>
      </c>
      <c r="W73" s="240">
        <f t="shared" si="62"/>
        <v>8</v>
      </c>
      <c r="X73" s="241">
        <f t="shared" si="63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6"/>
        <v>33.33342857142857</v>
      </c>
      <c r="F74" s="1049"/>
      <c r="G74" s="388"/>
      <c r="H74" s="388"/>
      <c r="I74" s="1052">
        <f t="shared" si="57"/>
        <v>4.1666785714285712</v>
      </c>
      <c r="J74" s="1058"/>
      <c r="K74" s="1059">
        <f t="shared" si="58"/>
        <v>1000.0028571428571</v>
      </c>
      <c r="L74" s="1059"/>
      <c r="M74" s="5"/>
      <c r="N74" s="1020">
        <f t="shared" si="59"/>
        <v>4.8611250000000004</v>
      </c>
      <c r="O74" s="1020"/>
      <c r="P74" s="5"/>
      <c r="Q74" s="1056">
        <f t="shared" si="60"/>
        <v>1.0645714285714289</v>
      </c>
      <c r="R74" s="1057"/>
      <c r="S74" s="1066">
        <f>20*30/180*117</f>
        <v>390</v>
      </c>
      <c r="T74" s="1067"/>
      <c r="U74" s="238">
        <f t="shared" si="61"/>
        <v>50</v>
      </c>
      <c r="V74" s="239">
        <v>48</v>
      </c>
      <c r="W74" s="240">
        <f t="shared" si="62"/>
        <v>-2</v>
      </c>
      <c r="X74" s="241">
        <f t="shared" si="63"/>
        <v>24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6"/>
        <v>41.071428571428569</v>
      </c>
      <c r="F75" s="1049"/>
      <c r="G75" s="388"/>
      <c r="H75" s="388"/>
      <c r="I75" s="1052">
        <f t="shared" si="57"/>
        <v>5.1339285714285712</v>
      </c>
      <c r="J75" s="1058"/>
      <c r="K75" s="1059">
        <f t="shared" si="58"/>
        <v>1232.1428571428571</v>
      </c>
      <c r="L75" s="1059"/>
      <c r="M75" s="5"/>
      <c r="N75" s="1020">
        <f t="shared" si="59"/>
        <v>5.989583333333333</v>
      </c>
      <c r="O75" s="1020"/>
      <c r="P75" s="5"/>
      <c r="Q75" s="1056">
        <f t="shared" si="60"/>
        <v>9.7321428571429003E-2</v>
      </c>
      <c r="R75" s="1057"/>
      <c r="U75" s="238">
        <f t="shared" si="61"/>
        <v>48</v>
      </c>
      <c r="V75" s="239">
        <v>48</v>
      </c>
      <c r="W75" s="240">
        <f t="shared" si="62"/>
        <v>0</v>
      </c>
      <c r="X75" s="241">
        <f t="shared" si="63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6"/>
        <v>41.071428571428569</v>
      </c>
      <c r="F76" s="1049"/>
      <c r="G76" s="1068"/>
      <c r="H76" s="1069"/>
      <c r="I76" s="1052">
        <f t="shared" si="57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1"/>
        <v>45</v>
      </c>
      <c r="V76" s="239">
        <v>48</v>
      </c>
      <c r="W76" s="240">
        <f>+V76-U76</f>
        <v>3</v>
      </c>
      <c r="X76" s="241">
        <f t="shared" si="63"/>
        <v>0</v>
      </c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6"/>
        <v>29.571428571428573</v>
      </c>
      <c r="F77" s="1049"/>
      <c r="G77" s="1062"/>
      <c r="H77" s="1063"/>
      <c r="I77" s="1052">
        <f t="shared" si="57"/>
        <v>3.6964285714285716</v>
      </c>
      <c r="J77" s="1058"/>
      <c r="K77" s="1059">
        <f>+E77*30</f>
        <v>887.14285714285722</v>
      </c>
      <c r="L77" s="1059"/>
      <c r="M77" s="5"/>
      <c r="N77" s="1020">
        <f t="shared" si="59"/>
        <v>4.3125</v>
      </c>
      <c r="O77" s="1020"/>
      <c r="P77" s="5"/>
      <c r="Q77" s="1056">
        <f t="shared" si="60"/>
        <v>1.5348214285714286</v>
      </c>
      <c r="R77" s="1057"/>
      <c r="S77" s="1066">
        <f>20*30/180*117</f>
        <v>390</v>
      </c>
      <c r="T77" s="1067"/>
      <c r="U77" s="238">
        <f t="shared" si="61"/>
        <v>0</v>
      </c>
      <c r="V77" s="239">
        <v>48</v>
      </c>
      <c r="W77" s="240">
        <f t="shared" si="62"/>
        <v>48</v>
      </c>
      <c r="X77" s="241">
        <f t="shared" si="63"/>
        <v>0</v>
      </c>
      <c r="Y77" s="248"/>
      <c r="Z77" s="778"/>
      <c r="AA77" s="778"/>
      <c r="AB77" s="778"/>
      <c r="AC77" s="778"/>
      <c r="AD77" s="778"/>
      <c r="AE77" s="386"/>
      <c r="AF77" s="386"/>
      <c r="AG77" s="779"/>
      <c r="AH77" s="779"/>
      <c r="AI77" s="393"/>
      <c r="AJ77" s="393"/>
      <c r="AK77" s="393"/>
      <c r="AL77" s="393"/>
      <c r="AM77" s="779"/>
      <c r="AN77" s="779"/>
      <c r="AO77" s="779"/>
      <c r="AP77" s="779"/>
      <c r="AQ77" s="779"/>
      <c r="AR77" s="779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6"/>
        <v>31.000028571428572</v>
      </c>
      <c r="F78" s="1049"/>
      <c r="G78" s="1050"/>
      <c r="H78" s="1051"/>
      <c r="I78" s="1052">
        <f t="shared" si="57"/>
        <v>3.8750035714285715</v>
      </c>
      <c r="J78" s="1058"/>
      <c r="K78" s="1059">
        <f>+E78*30</f>
        <v>930.00085714285717</v>
      </c>
      <c r="L78" s="1059"/>
      <c r="M78" s="5"/>
      <c r="N78" s="1020">
        <f t="shared" si="59"/>
        <v>4.5208375000000007</v>
      </c>
      <c r="O78" s="1020"/>
      <c r="P78" s="5"/>
      <c r="Q78" s="1056">
        <f t="shared" si="60"/>
        <v>1.3562464285714286</v>
      </c>
      <c r="R78" s="1057"/>
      <c r="S78" s="784"/>
      <c r="T78" s="784"/>
      <c r="U78" s="238">
        <f>+AE40+U40+K40+AO19+AE19+U19+K19</f>
        <v>0</v>
      </c>
      <c r="V78" s="239">
        <v>48</v>
      </c>
      <c r="W78" s="240">
        <f t="shared" si="62"/>
        <v>48</v>
      </c>
      <c r="X78" s="241">
        <f t="shared" si="63"/>
        <v>0</v>
      </c>
      <c r="Y78" s="784"/>
      <c r="Z78" s="778"/>
      <c r="AA78" s="778"/>
      <c r="AB78" s="778"/>
      <c r="AC78" s="778"/>
      <c r="AD78" s="778"/>
      <c r="AE78" s="386"/>
      <c r="AF78" s="386"/>
      <c r="AG78" s="779"/>
      <c r="AH78" s="779"/>
      <c r="AI78" s="393"/>
      <c r="AJ78" s="393"/>
      <c r="AK78" s="393"/>
      <c r="AL78" s="393"/>
      <c r="AM78" s="779"/>
      <c r="AN78" s="779"/>
      <c r="AO78" s="779"/>
      <c r="AP78" s="779"/>
      <c r="AQ78" s="779"/>
      <c r="AR78" s="779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8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68</v>
      </c>
      <c r="V79" s="239">
        <v>48</v>
      </c>
      <c r="W79" s="240">
        <f>+V79-U79</f>
        <v>-20</v>
      </c>
      <c r="X79" s="241">
        <f t="shared" si="63"/>
        <v>0</v>
      </c>
      <c r="Z79" s="246"/>
      <c r="AA79" s="246"/>
      <c r="AB79" s="778"/>
      <c r="AC79" s="778"/>
      <c r="AD79" s="778"/>
      <c r="AE79" s="386"/>
      <c r="AF79" s="386"/>
      <c r="AG79" s="779"/>
      <c r="AH79" s="779"/>
      <c r="AI79" s="779"/>
      <c r="AJ79" s="779"/>
      <c r="AK79" s="779"/>
      <c r="AL79" s="779"/>
      <c r="AM79" s="779"/>
      <c r="AN79" s="779"/>
      <c r="AO79" s="779"/>
      <c r="AP79" s="779"/>
      <c r="AQ79" s="779"/>
      <c r="AR79" s="779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4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3"/>
        <v>0</v>
      </c>
      <c r="Z80" s="246"/>
      <c r="AA80" s="246"/>
      <c r="AB80" s="778"/>
      <c r="AC80" s="778"/>
      <c r="AD80" s="778"/>
      <c r="AE80" s="386"/>
      <c r="AF80" s="386"/>
      <c r="AG80" s="779"/>
      <c r="AH80" s="779"/>
      <c r="AI80" s="779"/>
      <c r="AJ80" s="779"/>
      <c r="AK80" s="779"/>
      <c r="AL80" s="779"/>
      <c r="AM80" s="779"/>
      <c r="AN80" s="779"/>
      <c r="AO80" s="779"/>
      <c r="AP80" s="779"/>
      <c r="AQ80" s="779"/>
      <c r="AR80" s="779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4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+AE42+U42+K42+AO21+AE21+U21+K21</f>
        <v>25.5</v>
      </c>
      <c r="V81" s="239">
        <v>48</v>
      </c>
      <c r="W81" s="240">
        <f>+V81-U81</f>
        <v>22.5</v>
      </c>
      <c r="X81" s="241">
        <f t="shared" si="63"/>
        <v>0</v>
      </c>
      <c r="Z81" s="246"/>
      <c r="AA81" s="246"/>
      <c r="AB81" s="778"/>
      <c r="AC81" s="778"/>
      <c r="AD81" s="778"/>
      <c r="AE81" s="386"/>
      <c r="AF81" s="386"/>
      <c r="AG81" s="779"/>
      <c r="AH81" s="779"/>
      <c r="AI81" s="779"/>
      <c r="AJ81" s="779"/>
      <c r="AK81" s="393"/>
      <c r="AL81" s="393"/>
      <c r="AM81" s="779"/>
      <c r="AN81" s="779"/>
      <c r="AO81" s="779"/>
      <c r="AP81" s="779"/>
      <c r="AQ81" s="779"/>
      <c r="AR81" s="779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4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59"/>
        <v>4.5208333333333339</v>
      </c>
      <c r="O82" s="1044"/>
      <c r="P82" s="5"/>
      <c r="Q82" s="1004">
        <f t="shared" si="60"/>
        <v>1.3562500000000002</v>
      </c>
      <c r="R82" s="1005"/>
      <c r="U82" s="238">
        <f>+AE44+U44+K44+AO23+AE23+U23+K23</f>
        <v>68</v>
      </c>
      <c r="V82" s="239">
        <v>48</v>
      </c>
      <c r="W82" s="240">
        <f t="shared" si="62"/>
        <v>-20</v>
      </c>
      <c r="X82" s="241">
        <f t="shared" si="63"/>
        <v>0</v>
      </c>
      <c r="Z82" s="246"/>
      <c r="AA82" s="246"/>
      <c r="AB82" s="778"/>
      <c r="AC82" s="778"/>
      <c r="AD82" s="778"/>
      <c r="AE82" s="386"/>
      <c r="AF82" s="386"/>
      <c r="AG82" s="779"/>
      <c r="AH82" s="779"/>
      <c r="AI82" s="779"/>
      <c r="AJ82" s="779"/>
      <c r="AK82" s="779"/>
      <c r="AL82" s="779"/>
      <c r="AM82" s="779"/>
      <c r="AN82" s="779"/>
      <c r="AO82" s="779"/>
      <c r="AP82" s="779"/>
      <c r="AQ82" s="779"/>
      <c r="AR82" s="779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4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3"/>
        <v>0</v>
      </c>
      <c r="Z83" s="246"/>
      <c r="AA83" s="246"/>
      <c r="AB83" s="778"/>
      <c r="AC83" s="778"/>
      <c r="AD83" s="778"/>
      <c r="AE83" s="386"/>
      <c r="AF83" s="386"/>
      <c r="AG83" s="779"/>
      <c r="AH83" s="779"/>
      <c r="AI83" s="779"/>
      <c r="AJ83" s="779"/>
      <c r="AK83" s="779"/>
      <c r="AL83" s="779"/>
      <c r="AM83" s="779"/>
      <c r="AN83" s="779"/>
      <c r="AO83" s="779"/>
      <c r="AP83" s="779"/>
      <c r="AQ83" s="779"/>
      <c r="AR83" s="779"/>
      <c r="AS83" s="386"/>
      <c r="AT83" s="386"/>
    </row>
    <row r="84" spans="1:46" ht="16.5">
      <c r="A84" s="247"/>
      <c r="B84" s="250" t="s">
        <v>30</v>
      </c>
      <c r="C84" s="1024">
        <f>+G84*6</f>
        <v>169.99979999999999</v>
      </c>
      <c r="D84" s="1025"/>
      <c r="E84" s="1026">
        <f t="shared" si="64"/>
        <v>24.285685714285712</v>
      </c>
      <c r="F84" s="1027"/>
      <c r="G84" s="1028">
        <f>28.3333</f>
        <v>28.333300000000001</v>
      </c>
      <c r="H84" s="1029"/>
      <c r="I84" s="1030">
        <f>+G84/8</f>
        <v>3.5416625000000002</v>
      </c>
      <c r="J84" s="1031"/>
      <c r="K84" s="1032">
        <f>+G84*30</f>
        <v>849.99900000000002</v>
      </c>
      <c r="L84" s="1032"/>
      <c r="M84" s="5"/>
      <c r="N84" s="1020">
        <f>+I84/6*7</f>
        <v>4.1319395833333337</v>
      </c>
      <c r="O84" s="1020"/>
      <c r="P84" s="5"/>
      <c r="Q84" s="1033">
        <f>+$I$69-I84</f>
        <v>1.6895875</v>
      </c>
      <c r="R84" s="1034"/>
      <c r="U84" s="238">
        <f>+AE44+U44+K44+AO23+AE23+U23+K23</f>
        <v>68</v>
      </c>
      <c r="V84" s="239">
        <v>48</v>
      </c>
      <c r="W84" s="240">
        <f t="shared" si="62"/>
        <v>-20</v>
      </c>
      <c r="X84" s="241">
        <f>+J23+T23+AD23+J44+T44+AD44</f>
        <v>0</v>
      </c>
      <c r="Y84" s="248"/>
      <c r="Z84" s="246"/>
      <c r="AA84" s="246"/>
      <c r="AB84" s="778"/>
      <c r="AC84" s="778"/>
      <c r="AD84" s="778"/>
      <c r="AE84" s="386"/>
      <c r="AF84" s="386"/>
      <c r="AG84" s="779"/>
      <c r="AH84" s="779"/>
      <c r="AI84" s="779"/>
      <c r="AJ84" s="779"/>
      <c r="AK84" s="777"/>
      <c r="AL84" s="777"/>
      <c r="AM84" s="777"/>
      <c r="AN84" s="777"/>
      <c r="AO84" s="777"/>
      <c r="AP84" s="777"/>
      <c r="AQ84" s="777"/>
      <c r="AR84" s="777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4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59"/>
        <v>11.423610416666666</v>
      </c>
      <c r="O85" s="1020"/>
      <c r="P85" s="5"/>
      <c r="Q85" s="1004">
        <f t="shared" si="60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62"/>
        <v>48</v>
      </c>
      <c r="X85" s="241">
        <f>+J27+T27+AD27+J48+T48+AD48</f>
        <v>0</v>
      </c>
      <c r="Z85" s="246"/>
      <c r="AA85" s="246"/>
      <c r="AB85" s="778"/>
      <c r="AC85" s="778"/>
      <c r="AD85" s="778"/>
      <c r="AE85" s="386"/>
      <c r="AF85" s="386"/>
      <c r="AG85" s="779"/>
      <c r="AH85" s="779"/>
      <c r="AI85" s="779"/>
      <c r="AJ85" s="779"/>
      <c r="AK85" s="779"/>
      <c r="AL85" s="779"/>
      <c r="AM85" s="779"/>
      <c r="AN85" s="779"/>
      <c r="AO85" s="779"/>
      <c r="AP85" s="779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779"/>
      <c r="AF89" s="779"/>
      <c r="AG89" s="386"/>
      <c r="AH89" s="386"/>
      <c r="AI89" s="386"/>
      <c r="AJ89" s="779"/>
      <c r="AK89" s="779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779"/>
      <c r="AF90" s="779"/>
      <c r="AG90" s="386"/>
      <c r="AH90" s="386"/>
      <c r="AI90" s="386"/>
      <c r="AJ90" s="779"/>
      <c r="AK90" s="779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779"/>
      <c r="AF92" s="779"/>
      <c r="AG92" s="386"/>
      <c r="AH92" s="386"/>
      <c r="AI92" s="386"/>
      <c r="AJ92" s="779"/>
      <c r="AK92" s="779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779"/>
      <c r="AF95" s="779"/>
      <c r="AG95" s="386"/>
      <c r="AH95" s="386"/>
      <c r="AI95" s="386"/>
      <c r="AJ95" s="779"/>
      <c r="AK95" s="779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777"/>
      <c r="AM97" s="779"/>
      <c r="AN97" s="777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779"/>
      <c r="AF107" s="779"/>
      <c r="AG107" s="386"/>
      <c r="AH107" s="386"/>
      <c r="AI107" s="386"/>
      <c r="AJ107" s="779"/>
      <c r="AK107" s="779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777"/>
      <c r="AM115" s="779"/>
      <c r="AN115" s="777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779"/>
      <c r="AF126" s="779"/>
      <c r="AG126" s="386"/>
      <c r="AH126" s="386"/>
      <c r="AI126" s="386"/>
      <c r="AJ126" s="779"/>
      <c r="AK126" s="779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779"/>
      <c r="AF127" s="779"/>
      <c r="AG127" s="386"/>
      <c r="AH127" s="386"/>
      <c r="AI127" s="386"/>
      <c r="AJ127" s="779"/>
      <c r="AK127" s="779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779"/>
      <c r="AF129" s="779"/>
      <c r="AG129" s="386"/>
      <c r="AH129" s="386"/>
      <c r="AI129" s="386"/>
      <c r="AJ129" s="779"/>
      <c r="AK129" s="779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779"/>
      <c r="AF132" s="779"/>
      <c r="AG132" s="386"/>
      <c r="AH132" s="386"/>
      <c r="AI132" s="386"/>
      <c r="AJ132" s="779"/>
      <c r="AK132" s="779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777"/>
      <c r="AM134" s="779"/>
      <c r="AN134" s="777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779"/>
      <c r="AF144" s="779"/>
      <c r="AG144" s="386"/>
      <c r="AH144" s="386"/>
      <c r="AI144" s="386"/>
      <c r="AJ144" s="779"/>
      <c r="AK144" s="779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779"/>
      <c r="AF145" s="779"/>
      <c r="AG145" s="386"/>
      <c r="AH145" s="386"/>
      <c r="AI145" s="386"/>
      <c r="AJ145" s="779"/>
      <c r="AK145" s="779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779"/>
      <c r="AF147" s="779"/>
      <c r="AG147" s="386"/>
      <c r="AH147" s="386"/>
      <c r="AI147" s="386"/>
      <c r="AJ147" s="779"/>
      <c r="AK147" s="779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779"/>
      <c r="AF150" s="779"/>
      <c r="AG150" s="386"/>
      <c r="AH150" s="386"/>
      <c r="AI150" s="386"/>
      <c r="AJ150" s="779"/>
      <c r="AK150" s="779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777"/>
      <c r="AM152" s="779"/>
      <c r="AN152" s="777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779"/>
      <c r="AF164" s="779"/>
      <c r="AG164" s="386"/>
      <c r="AH164" s="386"/>
      <c r="AI164" s="386"/>
      <c r="AJ164" s="779"/>
      <c r="AK164" s="779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777"/>
      <c r="AM172" s="779"/>
      <c r="AN172" s="777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779"/>
      <c r="AF183" s="779"/>
      <c r="AG183" s="386"/>
      <c r="AH183" s="386"/>
      <c r="AI183" s="386"/>
      <c r="AJ183" s="779"/>
      <c r="AK183" s="779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779"/>
      <c r="AF184" s="779"/>
      <c r="AG184" s="386"/>
      <c r="AH184" s="386"/>
      <c r="AI184" s="386"/>
      <c r="AJ184" s="779"/>
      <c r="AK184" s="779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779"/>
      <c r="AF186" s="779"/>
      <c r="AG186" s="386"/>
      <c r="AH186" s="386"/>
      <c r="AI186" s="386"/>
      <c r="AJ186" s="779"/>
      <c r="AK186" s="779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756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779"/>
      <c r="AF189" s="779"/>
      <c r="AG189" s="386"/>
      <c r="AH189" s="386"/>
      <c r="AI189" s="386"/>
      <c r="AJ189" s="779"/>
      <c r="AK189" s="779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777"/>
      <c r="AM191" s="779"/>
      <c r="AN191" s="777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784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784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784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784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784"/>
      <c r="AB203" s="784"/>
      <c r="AC203" s="784"/>
      <c r="AD203" s="784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778"/>
      <c r="AB204" s="778"/>
      <c r="AC204" s="778"/>
      <c r="AD204" s="778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778"/>
      <c r="AB205" s="778"/>
      <c r="AC205" s="778"/>
      <c r="AD205" s="778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5">+C206/7</f>
        <v>36.371428571428567</v>
      </c>
      <c r="F206" s="1049"/>
      <c r="G206" s="388"/>
      <c r="H206" s="388"/>
      <c r="I206" s="1052">
        <f t="shared" ref="I206:I213" si="66">+E206/8</f>
        <v>4.5464285714285708</v>
      </c>
      <c r="J206" s="1058"/>
      <c r="K206" s="1059">
        <f t="shared" ref="K206:K210" si="67">+E206*30</f>
        <v>1091.1428571428569</v>
      </c>
      <c r="L206" s="1059"/>
      <c r="M206" s="5"/>
      <c r="N206" s="1020">
        <f t="shared" ref="N206:N210" si="68">+I206/6*7</f>
        <v>5.3041666666666654</v>
      </c>
      <c r="O206" s="1020"/>
      <c r="P206" s="5"/>
      <c r="Q206" s="1056">
        <f t="shared" ref="Q206:Q210" si="69">+$I$69-I206</f>
        <v>0.68482142857142936</v>
      </c>
      <c r="R206" s="1057"/>
      <c r="U206" s="238">
        <f t="shared" ref="U206:U212" si="70">+AE167+U167+K167+AO146+AE146+U146+K146</f>
        <v>0</v>
      </c>
      <c r="V206" s="239">
        <v>48</v>
      </c>
      <c r="W206" s="240">
        <f t="shared" ref="W206:W210" si="71">+V206-U206</f>
        <v>48</v>
      </c>
      <c r="X206" s="241" t="e">
        <f t="shared" ref="X206:X212" si="72">+J146+T146+AD146+J167+T167+AD167</f>
        <v>#VALUE!</v>
      </c>
      <c r="Z206" s="389"/>
      <c r="AA206" s="778"/>
      <c r="AB206" s="778"/>
      <c r="AC206" s="778"/>
      <c r="AD206" s="778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5"/>
        <v>41.071428571428569</v>
      </c>
      <c r="F207" s="1049"/>
      <c r="G207" s="388"/>
      <c r="H207" s="388"/>
      <c r="I207" s="1052">
        <f t="shared" si="66"/>
        <v>5.1339285714285712</v>
      </c>
      <c r="J207" s="1058"/>
      <c r="K207" s="1059">
        <f t="shared" si="67"/>
        <v>1232.1428571428571</v>
      </c>
      <c r="L207" s="1059"/>
      <c r="M207" s="5"/>
      <c r="N207" s="1020">
        <f t="shared" si="68"/>
        <v>5.989583333333333</v>
      </c>
      <c r="O207" s="1020"/>
      <c r="P207" s="5"/>
      <c r="Q207" s="1056">
        <f t="shared" si="69"/>
        <v>9.7321428571429003E-2</v>
      </c>
      <c r="R207" s="1057"/>
      <c r="U207" s="238">
        <f t="shared" si="70"/>
        <v>0</v>
      </c>
      <c r="V207" s="239">
        <v>48</v>
      </c>
      <c r="W207" s="240">
        <f t="shared" si="71"/>
        <v>48</v>
      </c>
      <c r="X207" s="241" t="e">
        <f t="shared" si="72"/>
        <v>#VALUE!</v>
      </c>
      <c r="Z207" s="389"/>
      <c r="AA207" s="778"/>
      <c r="AB207" s="778"/>
      <c r="AC207" s="778"/>
      <c r="AD207" s="778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5"/>
        <v>41.071428571428569</v>
      </c>
      <c r="F208" s="1049"/>
      <c r="G208" s="388"/>
      <c r="H208" s="388"/>
      <c r="I208" s="1052">
        <f t="shared" si="66"/>
        <v>5.1339285714285712</v>
      </c>
      <c r="J208" s="1058"/>
      <c r="K208" s="1059">
        <f t="shared" si="67"/>
        <v>1232.1428571428571</v>
      </c>
      <c r="L208" s="1059"/>
      <c r="M208" s="5"/>
      <c r="N208" s="1020">
        <f t="shared" si="68"/>
        <v>5.989583333333333</v>
      </c>
      <c r="O208" s="1020"/>
      <c r="P208" s="5"/>
      <c r="Q208" s="1056">
        <f t="shared" si="69"/>
        <v>9.7321428571429003E-2</v>
      </c>
      <c r="R208" s="1057"/>
      <c r="U208" s="238">
        <f t="shared" si="70"/>
        <v>0</v>
      </c>
      <c r="V208" s="239">
        <v>48</v>
      </c>
      <c r="W208" s="240">
        <f t="shared" si="71"/>
        <v>48</v>
      </c>
      <c r="X208" s="241" t="e">
        <f t="shared" si="72"/>
        <v>#VALUE!</v>
      </c>
      <c r="Z208" s="389"/>
      <c r="AA208" s="778"/>
      <c r="AB208" s="778"/>
      <c r="AC208" s="778"/>
      <c r="AD208" s="778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5"/>
        <v>33.33342857142857</v>
      </c>
      <c r="F209" s="1049"/>
      <c r="G209" s="388"/>
      <c r="H209" s="388"/>
      <c r="I209" s="1052">
        <f t="shared" si="66"/>
        <v>4.1666785714285712</v>
      </c>
      <c r="J209" s="1058"/>
      <c r="K209" s="1059">
        <f t="shared" si="67"/>
        <v>1000.0028571428571</v>
      </c>
      <c r="L209" s="1059"/>
      <c r="M209" s="5"/>
      <c r="N209" s="1020">
        <f t="shared" si="68"/>
        <v>4.8611250000000004</v>
      </c>
      <c r="O209" s="1020"/>
      <c r="P209" s="5"/>
      <c r="Q209" s="1056">
        <f t="shared" si="69"/>
        <v>1.0645714285714289</v>
      </c>
      <c r="R209" s="1057"/>
      <c r="S209" s="1066">
        <f>20*30/180*117</f>
        <v>390</v>
      </c>
      <c r="T209" s="1067"/>
      <c r="U209" s="238">
        <f t="shared" si="70"/>
        <v>0</v>
      </c>
      <c r="V209" s="239">
        <v>48</v>
      </c>
      <c r="W209" s="240">
        <f t="shared" si="71"/>
        <v>48</v>
      </c>
      <c r="X209" s="241">
        <f t="shared" si="72"/>
        <v>0</v>
      </c>
      <c r="Z209" s="1045" t="s">
        <v>53</v>
      </c>
      <c r="AA209" s="1045"/>
      <c r="AB209" s="1045"/>
      <c r="AC209" s="1045"/>
      <c r="AD209" s="389" t="s">
        <v>54</v>
      </c>
      <c r="AE209" s="778"/>
      <c r="AF209" s="386"/>
      <c r="AG209" s="779"/>
      <c r="AH209" s="779"/>
      <c r="AI209" s="386"/>
      <c r="AJ209" s="386"/>
      <c r="AK209" s="777"/>
      <c r="AL209" s="777"/>
      <c r="AM209" s="777"/>
      <c r="AN209" s="777"/>
      <c r="AO209" s="777"/>
      <c r="AP209" s="777"/>
      <c r="AQ209" s="777"/>
      <c r="AR209" s="777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5"/>
        <v>41.071428571428569</v>
      </c>
      <c r="F210" s="1049"/>
      <c r="G210" s="388"/>
      <c r="H210" s="388"/>
      <c r="I210" s="1052">
        <f t="shared" si="66"/>
        <v>5.1339285714285712</v>
      </c>
      <c r="J210" s="1058"/>
      <c r="K210" s="1059">
        <f t="shared" si="67"/>
        <v>1232.1428571428571</v>
      </c>
      <c r="L210" s="1059"/>
      <c r="M210" s="5"/>
      <c r="N210" s="1020">
        <f t="shared" si="68"/>
        <v>5.989583333333333</v>
      </c>
      <c r="O210" s="1020"/>
      <c r="P210" s="5"/>
      <c r="Q210" s="1056">
        <f t="shared" si="69"/>
        <v>9.7321428571429003E-2</v>
      </c>
      <c r="R210" s="1057"/>
      <c r="U210" s="238">
        <f t="shared" si="70"/>
        <v>0</v>
      </c>
      <c r="V210" s="239">
        <v>48</v>
      </c>
      <c r="W210" s="240">
        <f t="shared" si="71"/>
        <v>48</v>
      </c>
      <c r="X210" s="241">
        <f t="shared" si="72"/>
        <v>0</v>
      </c>
      <c r="Z210" s="778"/>
      <c r="AA210" s="778"/>
      <c r="AB210" s="778"/>
      <c r="AC210" s="778"/>
      <c r="AD210" s="778"/>
      <c r="AE210" s="386"/>
      <c r="AF210" s="386"/>
      <c r="AG210" s="244"/>
      <c r="AH210" s="244"/>
      <c r="AI210" s="779"/>
      <c r="AJ210" s="779"/>
      <c r="AK210" s="779"/>
      <c r="AL210" s="779"/>
      <c r="AM210" s="779"/>
      <c r="AN210" s="779"/>
      <c r="AO210" s="779"/>
      <c r="AP210" s="779"/>
      <c r="AQ210" s="779"/>
      <c r="AR210" s="779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5"/>
        <v>41.071428571428569</v>
      </c>
      <c r="F211" s="1049"/>
      <c r="G211" s="1068"/>
      <c r="H211" s="1069"/>
      <c r="I211" s="1052">
        <f t="shared" si="66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70"/>
        <v>0</v>
      </c>
      <c r="V211" s="239">
        <v>48</v>
      </c>
      <c r="W211" s="240">
        <f>+V211-U211</f>
        <v>48</v>
      </c>
      <c r="X211" s="241">
        <f t="shared" si="72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779"/>
      <c r="AN211" s="779"/>
      <c r="AO211" s="779"/>
      <c r="AP211" s="779"/>
      <c r="AQ211" s="779"/>
      <c r="AR211" s="779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5"/>
        <v>29.571428571428573</v>
      </c>
      <c r="F212" s="1049"/>
      <c r="G212" s="1062"/>
      <c r="H212" s="1063"/>
      <c r="I212" s="1052">
        <f t="shared" si="66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3">+I212/6*7</f>
        <v>4.3125</v>
      </c>
      <c r="O212" s="1020"/>
      <c r="P212" s="5"/>
      <c r="Q212" s="1056">
        <f t="shared" ref="Q212:Q213" si="74">+$I$69-I212</f>
        <v>1.5348214285714286</v>
      </c>
      <c r="R212" s="1057"/>
      <c r="S212" s="1066">
        <f>20*30/180*117</f>
        <v>390</v>
      </c>
      <c r="T212" s="1067"/>
      <c r="U212" s="238">
        <f t="shared" si="70"/>
        <v>0</v>
      </c>
      <c r="V212" s="239">
        <v>48</v>
      </c>
      <c r="W212" s="240">
        <f t="shared" ref="W212:W213" si="75">+V212-U212</f>
        <v>48</v>
      </c>
      <c r="X212" s="241">
        <f t="shared" si="72"/>
        <v>0</v>
      </c>
      <c r="Y212" s="248"/>
      <c r="Z212" s="778"/>
      <c r="AA212" s="778"/>
      <c r="AB212" s="778"/>
      <c r="AC212" s="778"/>
      <c r="AD212" s="778"/>
      <c r="AE212" s="386"/>
      <c r="AF212" s="386"/>
      <c r="AG212" s="779"/>
      <c r="AH212" s="779"/>
      <c r="AI212" s="393"/>
      <c r="AJ212" s="393"/>
      <c r="AK212" s="393"/>
      <c r="AL212" s="393"/>
      <c r="AM212" s="779"/>
      <c r="AN212" s="779"/>
      <c r="AO212" s="779"/>
      <c r="AP212" s="779"/>
      <c r="AQ212" s="779"/>
      <c r="AR212" s="779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5"/>
        <v>28.333328571428574</v>
      </c>
      <c r="F213" s="1049"/>
      <c r="G213" s="1050">
        <v>25.761900000000001</v>
      </c>
      <c r="H213" s="1051"/>
      <c r="I213" s="1052">
        <f t="shared" si="66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3"/>
        <v>4.1319437500000005</v>
      </c>
      <c r="O213" s="1020"/>
      <c r="P213" s="5"/>
      <c r="Q213" s="1056">
        <f t="shared" si="74"/>
        <v>1.6895839285714285</v>
      </c>
      <c r="R213" s="1057"/>
      <c r="S213" s="784"/>
      <c r="T213" s="784"/>
      <c r="U213" s="238">
        <f>+AE175+U175+K175+AO154+AE154+U154+K154</f>
        <v>0</v>
      </c>
      <c r="V213" s="239">
        <v>48</v>
      </c>
      <c r="W213" s="240">
        <f t="shared" si="75"/>
        <v>48</v>
      </c>
      <c r="X213" s="241">
        <f>+J154+T154+AD154+J175+T175+AD175</f>
        <v>0</v>
      </c>
      <c r="Y213" s="784"/>
      <c r="Z213" s="778"/>
      <c r="AA213" s="778"/>
      <c r="AB213" s="778"/>
      <c r="AC213" s="778"/>
      <c r="AD213" s="778"/>
      <c r="AE213" s="386"/>
      <c r="AF213" s="386"/>
      <c r="AG213" s="779"/>
      <c r="AH213" s="779"/>
      <c r="AI213" s="393"/>
      <c r="AJ213" s="393"/>
      <c r="AK213" s="393"/>
      <c r="AL213" s="393"/>
      <c r="AM213" s="779"/>
      <c r="AN213" s="779"/>
      <c r="AO213" s="779"/>
      <c r="AP213" s="779"/>
      <c r="AQ213" s="779"/>
      <c r="AR213" s="779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6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778"/>
      <c r="AC214" s="778"/>
      <c r="AD214" s="778"/>
      <c r="AE214" s="386"/>
      <c r="AF214" s="386"/>
      <c r="AG214" s="779"/>
      <c r="AH214" s="779"/>
      <c r="AI214" s="779"/>
      <c r="AJ214" s="779"/>
      <c r="AK214" s="779"/>
      <c r="AL214" s="779"/>
      <c r="AM214" s="779"/>
      <c r="AN214" s="779"/>
      <c r="AO214" s="779"/>
      <c r="AP214" s="779"/>
      <c r="AQ214" s="779"/>
      <c r="AR214" s="779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7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778"/>
      <c r="AE215" s="386"/>
      <c r="AF215" s="386"/>
      <c r="AG215" s="244"/>
      <c r="AH215" s="244"/>
      <c r="AI215" s="779"/>
      <c r="AJ215" s="779"/>
      <c r="AK215" s="779"/>
      <c r="AL215" s="779"/>
      <c r="AM215" s="779"/>
      <c r="AN215" s="779"/>
      <c r="AO215" s="779"/>
      <c r="AP215" s="779"/>
      <c r="AQ215" s="779"/>
      <c r="AR215" s="779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7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778"/>
      <c r="AD216" s="778"/>
      <c r="AE216" s="386"/>
      <c r="AF216" s="386"/>
      <c r="AG216" s="779"/>
      <c r="AH216" s="779"/>
      <c r="AI216" s="393"/>
      <c r="AJ216" s="393"/>
      <c r="AK216" s="393"/>
      <c r="AL216" s="393"/>
      <c r="AM216" s="779"/>
      <c r="AN216" s="779"/>
      <c r="AO216" s="779"/>
      <c r="AP216" s="779"/>
      <c r="AQ216" s="779"/>
      <c r="AR216" s="779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7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8">+I217/6*7</f>
        <v>4.1319395833333337</v>
      </c>
      <c r="O217" s="1044"/>
      <c r="P217" s="5"/>
      <c r="Q217" s="1004">
        <f t="shared" ref="Q217" si="79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80">+V217-U217</f>
        <v>48</v>
      </c>
      <c r="X217" s="241">
        <f>+J157+T157+AD157+J178+T178+AD178</f>
        <v>0</v>
      </c>
      <c r="Z217" s="252"/>
      <c r="AA217" s="394"/>
      <c r="AB217" s="389"/>
      <c r="AC217" s="778"/>
      <c r="AD217" s="778"/>
      <c r="AE217" s="386"/>
      <c r="AF217" s="386"/>
      <c r="AG217" s="393"/>
      <c r="AH217" s="393"/>
      <c r="AI217" s="779"/>
      <c r="AJ217" s="779"/>
      <c r="AK217" s="779"/>
      <c r="AL217" s="779"/>
      <c r="AM217" s="779"/>
      <c r="AN217" s="779"/>
      <c r="AO217" s="779"/>
      <c r="AP217" s="779"/>
      <c r="AQ217" s="779"/>
      <c r="AR217" s="779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7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778"/>
      <c r="AC218" s="778"/>
      <c r="AD218" s="778">
        <v>200</v>
      </c>
      <c r="AE218" s="386"/>
      <c r="AF218" s="1023">
        <f>+AD218/6</f>
        <v>33.333333333333336</v>
      </c>
      <c r="AG218" s="1023"/>
      <c r="AH218" s="1023"/>
      <c r="AI218" s="779"/>
      <c r="AJ218" s="779"/>
      <c r="AK218" s="779"/>
      <c r="AL218" s="779"/>
      <c r="AM218" s="779"/>
      <c r="AN218" s="779"/>
      <c r="AO218" s="779"/>
      <c r="AP218" s="779"/>
      <c r="AQ218" s="779"/>
      <c r="AR218" s="779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7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81">+V219-U219</f>
        <v>48</v>
      </c>
      <c r="X219" s="241">
        <f>+J158+T158+AD158+J179+T179+AD179</f>
        <v>0</v>
      </c>
      <c r="Y219" s="248"/>
      <c r="Z219" s="778"/>
      <c r="AA219" s="778"/>
      <c r="AB219" s="778"/>
      <c r="AC219" s="778"/>
      <c r="AG219" s="779"/>
      <c r="AH219" s="779"/>
      <c r="AI219" s="386"/>
      <c r="AJ219" s="386"/>
      <c r="AK219" s="777"/>
      <c r="AL219" s="777"/>
      <c r="AM219" s="777"/>
      <c r="AN219" s="777"/>
      <c r="AO219" s="777"/>
      <c r="AP219" s="777"/>
      <c r="AQ219" s="777"/>
      <c r="AR219" s="777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7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2">+I220/6*7</f>
        <v>11.423610416666666</v>
      </c>
      <c r="O220" s="1020"/>
      <c r="P220" s="5"/>
      <c r="Q220" s="1004">
        <f t="shared" ref="Q220" si="83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81"/>
        <v>48</v>
      </c>
      <c r="X220" s="241">
        <f>+J162+T162+AD162+J183+T183+AD183</f>
        <v>0</v>
      </c>
      <c r="Z220" s="246"/>
      <c r="AA220" s="246"/>
      <c r="AB220" s="778"/>
      <c r="AC220" s="778"/>
      <c r="AD220" s="778"/>
      <c r="AE220" s="386"/>
      <c r="AF220" s="386"/>
      <c r="AG220" s="779"/>
      <c r="AH220" s="779"/>
      <c r="AI220" s="779"/>
      <c r="AJ220" s="779"/>
      <c r="AK220" s="779"/>
      <c r="AL220" s="779"/>
      <c r="AM220" s="779"/>
      <c r="AN220" s="779"/>
      <c r="AO220" s="779"/>
      <c r="AP220" s="779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783"/>
      <c r="E223" s="304"/>
      <c r="F223" s="305"/>
      <c r="G223" s="783"/>
      <c r="H223" s="783"/>
      <c r="I223" s="305"/>
      <c r="J223" s="783"/>
      <c r="K223" s="306"/>
      <c r="L223" s="306"/>
      <c r="M223" s="783"/>
      <c r="N223" s="783"/>
      <c r="O223" s="783"/>
      <c r="P223" s="783"/>
      <c r="Q223" s="783"/>
      <c r="R223" s="783"/>
      <c r="S223" s="783"/>
      <c r="T223" s="783"/>
      <c r="U223" s="783"/>
      <c r="V223" s="783"/>
      <c r="W223" s="783"/>
      <c r="X223" s="783"/>
      <c r="Y223" s="783"/>
      <c r="Z223" s="783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4">+I227+L227+O227</f>
        <v>33.762</v>
      </c>
      <c r="S227" s="1001"/>
      <c r="T227" s="1001"/>
      <c r="U227" s="961">
        <f t="shared" ref="U227:U234" si="85">+I227*7+(L227+O227)*6</f>
        <v>233.334</v>
      </c>
      <c r="V227" s="961"/>
      <c r="W227" s="962"/>
      <c r="X227" s="963">
        <f t="shared" ref="X227:X234" si="86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4"/>
        <v>28.762</v>
      </c>
      <c r="S228" s="998"/>
      <c r="T228" s="998"/>
      <c r="U228" s="953">
        <f t="shared" si="85"/>
        <v>198.334</v>
      </c>
      <c r="V228" s="953"/>
      <c r="W228" s="954"/>
      <c r="X228" s="947">
        <f t="shared" si="86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7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4"/>
        <v>41.5</v>
      </c>
      <c r="S229" s="998"/>
      <c r="T229" s="998"/>
      <c r="U229" s="953">
        <f t="shared" si="85"/>
        <v>287.5</v>
      </c>
      <c r="V229" s="953"/>
      <c r="W229" s="954"/>
      <c r="X229" s="947">
        <f t="shared" si="86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4"/>
        <v>41.5</v>
      </c>
      <c r="S230" s="998"/>
      <c r="T230" s="998"/>
      <c r="U230" s="953">
        <f t="shared" si="85"/>
        <v>287.5</v>
      </c>
      <c r="V230" s="953"/>
      <c r="W230" s="954"/>
      <c r="X230" s="947">
        <f t="shared" si="86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4"/>
        <v>41.5</v>
      </c>
      <c r="S231" s="998"/>
      <c r="T231" s="998"/>
      <c r="U231" s="953">
        <f t="shared" si="85"/>
        <v>287.5</v>
      </c>
      <c r="V231" s="953"/>
      <c r="W231" s="954"/>
      <c r="X231" s="947">
        <f t="shared" si="86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4"/>
        <v>36.799999999999997</v>
      </c>
      <c r="S232" s="998"/>
      <c r="T232" s="998"/>
      <c r="U232" s="953">
        <f t="shared" si="85"/>
        <v>254.59999999999997</v>
      </c>
      <c r="V232" s="953"/>
      <c r="W232" s="954"/>
      <c r="X232" s="947">
        <f t="shared" si="86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4"/>
        <v>41.5</v>
      </c>
      <c r="S233" s="998"/>
      <c r="T233" s="998"/>
      <c r="U233" s="953">
        <f t="shared" si="85"/>
        <v>287.5</v>
      </c>
      <c r="V233" s="953"/>
      <c r="W233" s="954"/>
      <c r="X233" s="947">
        <f t="shared" si="86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4"/>
        <v>37.095199999999998</v>
      </c>
      <c r="S234" s="998"/>
      <c r="T234" s="998"/>
      <c r="U234" s="953">
        <f t="shared" si="85"/>
        <v>256.66639999999995</v>
      </c>
      <c r="V234" s="953"/>
      <c r="W234" s="954"/>
      <c r="X234" s="947">
        <f t="shared" si="86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779"/>
      <c r="AF243" s="779"/>
      <c r="AG243" s="386"/>
      <c r="AH243" s="386"/>
      <c r="AI243" s="386"/>
      <c r="AJ243" s="779"/>
      <c r="AK243" s="779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779"/>
      <c r="AF244" s="779"/>
      <c r="AG244" s="386"/>
      <c r="AH244" s="386"/>
      <c r="AI244" s="386"/>
      <c r="AJ244" s="779"/>
      <c r="AK244" s="779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779"/>
      <c r="AF246" s="779"/>
      <c r="AG246" s="386"/>
      <c r="AH246" s="386"/>
      <c r="AI246" s="386"/>
      <c r="AJ246" s="779"/>
      <c r="AK246" s="779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779"/>
      <c r="AF249" s="779"/>
      <c r="AG249" s="386"/>
      <c r="AH249" s="386"/>
      <c r="AI249" s="386"/>
      <c r="AJ249" s="779"/>
      <c r="AK249" s="779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777"/>
      <c r="AM251" s="779"/>
      <c r="AN251" s="777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783"/>
      <c r="E260" s="304"/>
      <c r="F260" s="305"/>
      <c r="G260" s="783"/>
      <c r="H260" s="783"/>
      <c r="I260" s="305"/>
      <c r="J260" s="783"/>
      <c r="K260" s="306"/>
      <c r="L260" s="306"/>
      <c r="M260" s="783"/>
      <c r="N260" s="783"/>
      <c r="O260" s="783"/>
      <c r="P260" s="783"/>
      <c r="Q260" s="783"/>
      <c r="R260" s="783"/>
      <c r="S260" s="783"/>
      <c r="T260" s="783"/>
      <c r="U260" s="783"/>
      <c r="V260" s="783"/>
      <c r="W260" s="783"/>
      <c r="X260" s="783"/>
      <c r="Y260" s="783"/>
      <c r="Z260" s="783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8">+I264+L264+O264</f>
        <v>41.5</v>
      </c>
      <c r="S264" s="960"/>
      <c r="T264" s="960"/>
      <c r="U264" s="961">
        <f t="shared" ref="U264:U270" si="89">+I264*7+(L264+O264)*6</f>
        <v>287.5</v>
      </c>
      <c r="V264" s="961"/>
      <c r="W264" s="962"/>
      <c r="X264" s="963">
        <f t="shared" ref="X264:X270" si="90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1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8"/>
        <v>41.5</v>
      </c>
      <c r="S265" s="938"/>
      <c r="T265" s="938"/>
      <c r="U265" s="953">
        <f t="shared" si="89"/>
        <v>287.5</v>
      </c>
      <c r="V265" s="953"/>
      <c r="W265" s="954"/>
      <c r="X265" s="947">
        <f t="shared" si="90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1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8"/>
        <v>41.5</v>
      </c>
      <c r="S266" s="938"/>
      <c r="T266" s="938"/>
      <c r="U266" s="953">
        <f t="shared" si="89"/>
        <v>287.5</v>
      </c>
      <c r="V266" s="953"/>
      <c r="W266" s="954"/>
      <c r="X266" s="947">
        <f t="shared" si="90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1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8"/>
        <v>38</v>
      </c>
      <c r="S267" s="938"/>
      <c r="T267" s="938"/>
      <c r="U267" s="953">
        <f t="shared" si="89"/>
        <v>263</v>
      </c>
      <c r="V267" s="953"/>
      <c r="W267" s="954"/>
      <c r="X267" s="947">
        <f t="shared" si="90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1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8"/>
        <v>36.799999999999997</v>
      </c>
      <c r="S268" s="938"/>
      <c r="T268" s="938"/>
      <c r="U268" s="953">
        <f t="shared" si="89"/>
        <v>254.59999999999997</v>
      </c>
      <c r="V268" s="953"/>
      <c r="W268" s="954"/>
      <c r="X268" s="947">
        <f t="shared" si="90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1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8"/>
        <v>36.799999999999997</v>
      </c>
      <c r="S269" s="938"/>
      <c r="T269" s="938"/>
      <c r="U269" s="953">
        <f t="shared" si="89"/>
        <v>254.59999999999997</v>
      </c>
      <c r="V269" s="953"/>
      <c r="W269" s="954"/>
      <c r="X269" s="947">
        <f t="shared" si="90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1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8"/>
        <v>29</v>
      </c>
      <c r="S270" s="938"/>
      <c r="T270" s="938"/>
      <c r="U270" s="953">
        <f t="shared" si="89"/>
        <v>200</v>
      </c>
      <c r="V270" s="953"/>
      <c r="W270" s="954"/>
      <c r="X270" s="947">
        <f t="shared" si="90"/>
        <v>857.14285714285722</v>
      </c>
      <c r="Y270" s="948"/>
      <c r="Z270" s="949"/>
      <c r="AA270" s="935">
        <v>25</v>
      </c>
      <c r="AB270" s="936"/>
      <c r="AC270" s="936"/>
      <c r="AD270" s="937">
        <f t="shared" si="91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2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199:AP202 AH60 AP60 AH32:AH48 AP32:AP48">
    <cfRule type="cellIs" dxfId="505" priority="16" stopIfTrue="1" operator="lessThanOrEqual">
      <formula>0</formula>
    </cfRule>
  </conditionalFormatting>
  <conditionalFormatting sqref="L287:L288 K258:L258 K287:K290 L290 K158:L159 K275:L278 K179:L179 K85:L141 L79:L81 K79:K83 K198:L240">
    <cfRule type="cellIs" dxfId="504" priority="15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503" priority="14" stopIfTrue="1" operator="lessThan">
      <formula>0</formula>
    </cfRule>
  </conditionalFormatting>
  <conditionalFormatting sqref="AJ56:AJ57 F60 Z60 F56:F58 P60:P66 P56:P58 Z56:Z58 F11:F25 Z11:Z26 P11:P26 F32:F48 P32:P53 AJ11:AJ26 P199:P201 Z32:Z48">
    <cfRule type="cellIs" dxfId="502" priority="13" stopIfTrue="1" operator="lessThanOrEqual">
      <formula>0</formula>
    </cfRule>
  </conditionalFormatting>
  <conditionalFormatting sqref="AM56:AM57 AC60 I60 AC56:AC58 S60:S66 S56:S58 I56:I58 AM11:AM26 S11:S26 I11:I25 AC11:AC26 AC32:AC48 I32:I48 S32:S53 S199:S201">
    <cfRule type="cellIs" dxfId="501" priority="12" stopIfTrue="1" operator="lessThanOrEqual">
      <formula>0</formula>
    </cfRule>
  </conditionalFormatting>
  <conditionalFormatting sqref="K56:L58 AO56:AO57 AE56:AE57 K60:L60 AE60:AF60 U60:V66 AE58:AF58 U56:V58 K46:L48 AE46:AF48 U46:V54 K44:L44 AE44:AF44 AE41:AF41 U41:V41 U32:V32 K25:L26 AE32:AF32 AE25:AF26 K22:L23 K32:L32 U22:V23 U33:U40 AE33:AE40 AE14:AF14 K11:L11 AE11:AE13 U11:V11 K17:L17 V17 K12:K16 AO11:AO26 U25:V26 AE45 V43:V44 K45 K24 U24 K18:K21 U12:U21 AE15:AE24 U42:U45 AE42:AE43 K33:K43 U199:V201">
    <cfRule type="cellIs" dxfId="500" priority="11" stopIfTrue="1" operator="lessThanOrEqual">
      <formula>0</formula>
    </cfRule>
  </conditionalFormatting>
  <conditionalFormatting sqref="AA66:AB68 AA71:AB73 W209:X218 Z49:AA53 Z61:AA61 W85:X85 W74:X83 Z199:AA201 W220:X220">
    <cfRule type="cellIs" dxfId="499" priority="10" stopIfTrue="1" operator="lessThan">
      <formula>0</formula>
    </cfRule>
  </conditionalFormatting>
  <conditionalFormatting sqref="X49:X53 X61:X66 U85 U74:U83 X199:X201 U220 U209:U218">
    <cfRule type="cellIs" dxfId="498" priority="9" stopIfTrue="1" operator="greaterThan">
      <formula>48</formula>
    </cfRule>
  </conditionalFormatting>
  <conditionalFormatting sqref="C275:C279 C287:D290 C158:D158 D275:D286 C86:D141 C240:D240 C221:D221">
    <cfRule type="cellIs" dxfId="497" priority="8" stopIfTrue="1" operator="lessThan">
      <formula>$C$71</formula>
    </cfRule>
  </conditionalFormatting>
  <conditionalFormatting sqref="AI60:AO60 AI32:AO48">
    <cfRule type="cellIs" dxfId="496" priority="6" stopIfTrue="1" operator="equal">
      <formula>0</formula>
    </cfRule>
    <cfRule type="cellIs" dxfId="495" priority="7" stopIfTrue="1" operator="lessThan">
      <formula>0</formula>
    </cfRule>
  </conditionalFormatting>
  <conditionalFormatting sqref="AT60 AT32:AT45">
    <cfRule type="cellIs" dxfId="494" priority="4" stopIfTrue="1" operator="greaterThan">
      <formula>0</formula>
    </cfRule>
    <cfRule type="cellIs" dxfId="493" priority="5" stopIfTrue="1" operator="lessThan">
      <formula>1</formula>
    </cfRule>
  </conditionalFormatting>
  <conditionalFormatting sqref="K84:L84 K71:L81 K219:L219 K206:L216">
    <cfRule type="cellIs" dxfId="492" priority="3" stopIfTrue="1" operator="greaterThanOrEqual">
      <formula>$K$69</formula>
    </cfRule>
  </conditionalFormatting>
  <conditionalFormatting sqref="AF56:AF57 L12:L24 V12:V24 AF11:AF24 AF33:AF45 V32:V45 L32:L45">
    <cfRule type="cellIs" dxfId="491" priority="1" stopIfTrue="1" operator="equal">
      <formula>0</formula>
    </cfRule>
    <cfRule type="cellIs" dxfId="490" priority="2" stopIfTrue="1" operator="lessThan">
      <formula>0</formula>
    </cfRule>
  </conditionalFormatting>
  <hyperlinks>
    <hyperlink ref="AB211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E16:AT21 AE24:AT42 AE22:AF22 AJ22:AT22 AE23:AF23 AJ23:AT23" formula="1"/>
  </ignoredError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277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D13" sqref="D13"/>
    </sheetView>
  </sheetViews>
  <sheetFormatPr baseColWidth="10" defaultRowHeight="15"/>
  <cols>
    <col min="1" max="1" width="2.28515625" style="1" customWidth="1"/>
    <col min="2" max="2" width="13.7109375" style="6" customWidth="1"/>
    <col min="3" max="4" width="4.28515625" style="753" customWidth="1"/>
    <col min="5" max="5" width="4.28515625" style="3" customWidth="1"/>
    <col min="6" max="6" width="4.28515625" style="4" customWidth="1"/>
    <col min="7" max="8" width="4.28515625" style="753" customWidth="1"/>
    <col min="9" max="9" width="4.28515625" style="4" customWidth="1"/>
    <col min="10" max="10" width="4.28515625" style="753" customWidth="1"/>
    <col min="11" max="12" width="4.28515625" style="5" customWidth="1"/>
    <col min="13" max="26" width="4.28515625" style="753" customWidth="1"/>
    <col min="27" max="39" width="4.28515625" style="6" customWidth="1"/>
    <col min="40" max="40" width="4.7109375" style="6" customWidth="1"/>
    <col min="41" max="41" width="4.28515625" style="6" customWidth="1"/>
    <col min="42" max="42" width="4.7109375" style="6" customWidth="1"/>
    <col min="43" max="43" width="0.5703125" style="6" customWidth="1"/>
    <col min="44" max="45" width="4.140625" style="6" customWidth="1"/>
    <col min="46" max="46" width="7.7109375" style="6" customWidth="1"/>
    <col min="47" max="47" width="0.85546875" style="6" customWidth="1"/>
    <col min="48" max="54" width="2.7109375" style="6" customWidth="1"/>
    <col min="55" max="55" width="0.85546875" style="6" customWidth="1"/>
    <col min="56" max="56" width="8.42578125" style="6" bestFit="1" customWidth="1"/>
    <col min="57" max="57" width="10.28515625" style="6" customWidth="1"/>
    <col min="58" max="59" width="11.42578125" style="6"/>
    <col min="60" max="62" width="12.7109375" style="6" customWidth="1"/>
    <col min="63" max="16384" width="11.42578125" style="6"/>
  </cols>
  <sheetData>
    <row r="1" spans="1:58" ht="6.95" customHeight="1">
      <c r="B1" s="2">
        <f>+W26</f>
        <v>43243</v>
      </c>
      <c r="C1" s="753" t="s">
        <v>0</v>
      </c>
      <c r="AN1" s="7"/>
      <c r="AO1" s="7"/>
      <c r="AR1" s="1340">
        <f>+AR46+AT46</f>
        <v>287</v>
      </c>
      <c r="AS1" s="1341"/>
      <c r="AT1" s="1341"/>
      <c r="AU1" s="1342"/>
    </row>
    <row r="2" spans="1:58" ht="6.95" customHeight="1">
      <c r="AJ2" s="7"/>
      <c r="AK2" s="7"/>
      <c r="AL2" s="7"/>
      <c r="AM2" s="7"/>
      <c r="AN2" s="7"/>
      <c r="AO2" s="7"/>
      <c r="AR2" s="1343"/>
      <c r="AS2" s="1344"/>
      <c r="AT2" s="1344"/>
      <c r="AU2" s="1345"/>
    </row>
    <row r="3" spans="1:58" s="9" customFormat="1" ht="20.100000000000001" customHeight="1">
      <c r="A3" s="1"/>
      <c r="B3" s="1346">
        <f>+B1+1</f>
        <v>43244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8"/>
      <c r="AT3" s="10"/>
    </row>
    <row r="4" spans="1:58" ht="3" customHeight="1" thickBot="1">
      <c r="B4" s="11"/>
      <c r="C4" s="753">
        <v>0</v>
      </c>
    </row>
    <row r="5" spans="1:58" ht="10.9" customHeight="1">
      <c r="B5" s="1244" t="s">
        <v>1</v>
      </c>
      <c r="C5" s="1140">
        <v>43237</v>
      </c>
      <c r="D5" s="1140"/>
      <c r="E5" s="1140"/>
      <c r="F5" s="1140"/>
      <c r="G5" s="1140"/>
      <c r="H5" s="1140"/>
      <c r="I5" s="1140"/>
      <c r="J5" s="1140"/>
      <c r="K5" s="1347"/>
      <c r="L5" s="1348"/>
      <c r="M5" s="1351">
        <f>1+C5</f>
        <v>43238</v>
      </c>
      <c r="N5" s="1351"/>
      <c r="O5" s="1351"/>
      <c r="P5" s="1351"/>
      <c r="Q5" s="1351"/>
      <c r="R5" s="1351"/>
      <c r="S5" s="1351"/>
      <c r="T5" s="1351"/>
      <c r="U5" s="1347"/>
      <c r="V5" s="1348"/>
      <c r="W5" s="1353">
        <f>1+M5</f>
        <v>43239</v>
      </c>
      <c r="X5" s="1351"/>
      <c r="Y5" s="1351"/>
      <c r="Z5" s="1351"/>
      <c r="AA5" s="1351"/>
      <c r="AB5" s="1351"/>
      <c r="AC5" s="1351"/>
      <c r="AD5" s="1351"/>
      <c r="AE5" s="1355"/>
      <c r="AF5" s="1356"/>
      <c r="AG5" s="1359">
        <f>1+W5</f>
        <v>43240</v>
      </c>
      <c r="AH5" s="1360"/>
      <c r="AI5" s="1360"/>
      <c r="AJ5" s="1360"/>
      <c r="AK5" s="1360"/>
      <c r="AL5" s="1360"/>
      <c r="AM5" s="1360"/>
      <c r="AN5" s="1360"/>
      <c r="AO5" s="1183" t="s">
        <v>2</v>
      </c>
      <c r="AP5" s="1325" t="s">
        <v>3</v>
      </c>
      <c r="AQ5" s="1326"/>
      <c r="AR5" s="1326"/>
      <c r="AS5" s="1327"/>
      <c r="AT5" s="1334" t="s">
        <v>4</v>
      </c>
      <c r="AV5" s="1313" t="s">
        <v>5</v>
      </c>
      <c r="AW5" s="1313"/>
      <c r="AX5" s="1313"/>
      <c r="AY5" s="1313"/>
      <c r="AZ5" s="1313"/>
      <c r="BA5" s="1313"/>
      <c r="BB5" s="1313"/>
      <c r="BC5" s="12"/>
      <c r="BD5" s="1336" t="s">
        <v>6</v>
      </c>
      <c r="BE5" s="1337" t="s">
        <v>7</v>
      </c>
      <c r="BF5" s="1310" t="s">
        <v>8</v>
      </c>
    </row>
    <row r="6" spans="1:58" ht="10.9" customHeight="1">
      <c r="B6" s="1245"/>
      <c r="C6" s="1142"/>
      <c r="D6" s="1142"/>
      <c r="E6" s="1142"/>
      <c r="F6" s="1142"/>
      <c r="G6" s="1142"/>
      <c r="H6" s="1142"/>
      <c r="I6" s="1142"/>
      <c r="J6" s="1142"/>
      <c r="K6" s="1349"/>
      <c r="L6" s="1350"/>
      <c r="M6" s="1352"/>
      <c r="N6" s="1352"/>
      <c r="O6" s="1352"/>
      <c r="P6" s="1352"/>
      <c r="Q6" s="1352"/>
      <c r="R6" s="1352"/>
      <c r="S6" s="1352"/>
      <c r="T6" s="1352"/>
      <c r="U6" s="1349"/>
      <c r="V6" s="1350"/>
      <c r="W6" s="1354"/>
      <c r="X6" s="1352"/>
      <c r="Y6" s="1352"/>
      <c r="Z6" s="1352"/>
      <c r="AA6" s="1352"/>
      <c r="AB6" s="1352"/>
      <c r="AC6" s="1352"/>
      <c r="AD6" s="1352"/>
      <c r="AE6" s="1357"/>
      <c r="AF6" s="1358"/>
      <c r="AG6" s="1361"/>
      <c r="AH6" s="1362"/>
      <c r="AI6" s="1362"/>
      <c r="AJ6" s="1362"/>
      <c r="AK6" s="1362"/>
      <c r="AL6" s="1362"/>
      <c r="AM6" s="1362"/>
      <c r="AN6" s="1362"/>
      <c r="AO6" s="1184"/>
      <c r="AP6" s="1328"/>
      <c r="AQ6" s="1329"/>
      <c r="AR6" s="1329"/>
      <c r="AS6" s="1330"/>
      <c r="AT6" s="1335"/>
      <c r="AV6" s="1313" t="s">
        <v>9</v>
      </c>
      <c r="AW6" s="1313"/>
      <c r="AX6" s="1313"/>
      <c r="AY6" s="1313"/>
      <c r="AZ6" s="1313"/>
      <c r="BA6" s="1313"/>
      <c r="BB6" s="1313"/>
      <c r="BC6" s="12"/>
      <c r="BD6" s="1336"/>
      <c r="BE6" s="1337"/>
      <c r="BF6" s="1311"/>
    </row>
    <row r="7" spans="1:58" ht="15.2" customHeight="1">
      <c r="B7" s="1245"/>
      <c r="C7" s="1202" t="s">
        <v>10</v>
      </c>
      <c r="D7" s="1314"/>
      <c r="E7" s="1265" t="s">
        <v>11</v>
      </c>
      <c r="F7" s="1266" t="s">
        <v>12</v>
      </c>
      <c r="G7" s="1319" t="s">
        <v>10</v>
      </c>
      <c r="H7" s="1320"/>
      <c r="I7" s="1266" t="s">
        <v>12</v>
      </c>
      <c r="J7" s="1269" t="s">
        <v>13</v>
      </c>
      <c r="K7" s="1221" t="s">
        <v>14</v>
      </c>
      <c r="L7" s="1323" t="s">
        <v>15</v>
      </c>
      <c r="M7" s="1363" t="s">
        <v>10</v>
      </c>
      <c r="N7" s="1320"/>
      <c r="O7" s="1265" t="s">
        <v>11</v>
      </c>
      <c r="P7" s="1266" t="s">
        <v>12</v>
      </c>
      <c r="Q7" s="1319" t="s">
        <v>10</v>
      </c>
      <c r="R7" s="1320"/>
      <c r="S7" s="1266" t="s">
        <v>12</v>
      </c>
      <c r="T7" s="1269" t="s">
        <v>13</v>
      </c>
      <c r="U7" s="1221" t="s">
        <v>14</v>
      </c>
      <c r="V7" s="1323" t="s">
        <v>15</v>
      </c>
      <c r="W7" s="1366" t="s">
        <v>10</v>
      </c>
      <c r="X7" s="1262"/>
      <c r="Y7" s="1265" t="s">
        <v>11</v>
      </c>
      <c r="Z7" s="1266" t="s">
        <v>12</v>
      </c>
      <c r="AA7" s="1304" t="s">
        <v>10</v>
      </c>
      <c r="AB7" s="1262"/>
      <c r="AC7" s="1266" t="s">
        <v>12</v>
      </c>
      <c r="AD7" s="1269" t="s">
        <v>13</v>
      </c>
      <c r="AE7" s="1338" t="s">
        <v>14</v>
      </c>
      <c r="AF7" s="1323" t="s">
        <v>15</v>
      </c>
      <c r="AG7" s="1304" t="s">
        <v>10</v>
      </c>
      <c r="AH7" s="1262"/>
      <c r="AI7" s="1265" t="s">
        <v>11</v>
      </c>
      <c r="AJ7" s="1301" t="s">
        <v>12</v>
      </c>
      <c r="AK7" s="1304" t="s">
        <v>10</v>
      </c>
      <c r="AL7" s="1262"/>
      <c r="AM7" s="1266" t="s">
        <v>12</v>
      </c>
      <c r="AN7" s="1305" t="s">
        <v>16</v>
      </c>
      <c r="AO7" s="1307" t="s">
        <v>14</v>
      </c>
      <c r="AP7" s="1328"/>
      <c r="AQ7" s="1329"/>
      <c r="AR7" s="1329"/>
      <c r="AS7" s="1330"/>
      <c r="AT7" s="1335"/>
      <c r="AV7" s="1296">
        <f>+C5</f>
        <v>43237</v>
      </c>
      <c r="AW7" s="1296">
        <f>+M5</f>
        <v>43238</v>
      </c>
      <c r="AX7" s="1296">
        <f>+W5</f>
        <v>43239</v>
      </c>
      <c r="AY7" s="1309">
        <f>+AG5</f>
        <v>43240</v>
      </c>
      <c r="AZ7" s="1296">
        <f>+C26</f>
        <v>43241</v>
      </c>
      <c r="BA7" s="1296">
        <f>+M26</f>
        <v>43242</v>
      </c>
      <c r="BB7" s="1296">
        <f>+W26</f>
        <v>43243</v>
      </c>
      <c r="BC7" s="13"/>
      <c r="BD7" s="1336"/>
      <c r="BE7" s="1337"/>
      <c r="BF7" s="1311"/>
    </row>
    <row r="8" spans="1:58" ht="15.2" customHeight="1">
      <c r="B8" s="1245"/>
      <c r="C8" s="1315"/>
      <c r="D8" s="1316"/>
      <c r="E8" s="1208"/>
      <c r="F8" s="1210"/>
      <c r="G8" s="1321"/>
      <c r="H8" s="1321"/>
      <c r="I8" s="1210"/>
      <c r="J8" s="1239"/>
      <c r="K8" s="1198"/>
      <c r="L8" s="1323"/>
      <c r="M8" s="1364"/>
      <c r="N8" s="1321"/>
      <c r="O8" s="1208"/>
      <c r="P8" s="1210"/>
      <c r="Q8" s="1321"/>
      <c r="R8" s="1321"/>
      <c r="S8" s="1210"/>
      <c r="T8" s="1239"/>
      <c r="U8" s="1198"/>
      <c r="V8" s="1323"/>
      <c r="W8" s="1367"/>
      <c r="X8" s="1262"/>
      <c r="Y8" s="1208"/>
      <c r="Z8" s="1210"/>
      <c r="AA8" s="1267"/>
      <c r="AB8" s="1262"/>
      <c r="AC8" s="1210"/>
      <c r="AD8" s="1239"/>
      <c r="AE8" s="1338"/>
      <c r="AF8" s="1323"/>
      <c r="AG8" s="1267"/>
      <c r="AH8" s="1262"/>
      <c r="AI8" s="1208"/>
      <c r="AJ8" s="1302"/>
      <c r="AK8" s="1267"/>
      <c r="AL8" s="1262"/>
      <c r="AM8" s="1210"/>
      <c r="AN8" s="1305"/>
      <c r="AO8" s="1307"/>
      <c r="AP8" s="1328"/>
      <c r="AQ8" s="1329"/>
      <c r="AR8" s="1329"/>
      <c r="AS8" s="1330"/>
      <c r="AT8" s="1335"/>
      <c r="AV8" s="1296"/>
      <c r="AW8" s="1296"/>
      <c r="AX8" s="1296"/>
      <c r="AY8" s="1309"/>
      <c r="AZ8" s="1296"/>
      <c r="BA8" s="1296"/>
      <c r="BB8" s="1296"/>
      <c r="BC8" s="13"/>
      <c r="BD8" s="1336"/>
      <c r="BE8" s="1337"/>
      <c r="BF8" s="1311"/>
    </row>
    <row r="9" spans="1:58" ht="15.2" customHeight="1">
      <c r="B9" s="1245"/>
      <c r="C9" s="1315"/>
      <c r="D9" s="1316"/>
      <c r="E9" s="1208"/>
      <c r="F9" s="1210"/>
      <c r="G9" s="1321"/>
      <c r="H9" s="1321"/>
      <c r="I9" s="1210"/>
      <c r="J9" s="1239"/>
      <c r="K9" s="1198"/>
      <c r="L9" s="1323"/>
      <c r="M9" s="1364"/>
      <c r="N9" s="1321"/>
      <c r="O9" s="1208"/>
      <c r="P9" s="1210"/>
      <c r="Q9" s="1321"/>
      <c r="R9" s="1321"/>
      <c r="S9" s="1210"/>
      <c r="T9" s="1239"/>
      <c r="U9" s="1198"/>
      <c r="V9" s="1323"/>
      <c r="W9" s="1367"/>
      <c r="X9" s="1262"/>
      <c r="Y9" s="1208"/>
      <c r="Z9" s="1210"/>
      <c r="AA9" s="1267"/>
      <c r="AB9" s="1262"/>
      <c r="AC9" s="1210"/>
      <c r="AD9" s="1239"/>
      <c r="AE9" s="1338"/>
      <c r="AF9" s="1323"/>
      <c r="AG9" s="1267"/>
      <c r="AH9" s="1262"/>
      <c r="AI9" s="1208"/>
      <c r="AJ9" s="1302"/>
      <c r="AK9" s="1267"/>
      <c r="AL9" s="1262"/>
      <c r="AM9" s="1210"/>
      <c r="AN9" s="1305"/>
      <c r="AO9" s="1307"/>
      <c r="AP9" s="1328"/>
      <c r="AQ9" s="1329"/>
      <c r="AR9" s="1329"/>
      <c r="AS9" s="1330"/>
      <c r="AT9" s="1335"/>
      <c r="AV9" s="1296"/>
      <c r="AW9" s="1296"/>
      <c r="AX9" s="1296"/>
      <c r="AY9" s="1309"/>
      <c r="AZ9" s="1296"/>
      <c r="BA9" s="1296"/>
      <c r="BB9" s="1296"/>
      <c r="BC9" s="13"/>
      <c r="BD9" s="1336"/>
      <c r="BE9" s="1337"/>
      <c r="BF9" s="1311"/>
    </row>
    <row r="10" spans="1:58" ht="15.2" customHeight="1" thickBot="1">
      <c r="B10" s="1246"/>
      <c r="C10" s="1317"/>
      <c r="D10" s="1318"/>
      <c r="E10" s="1209"/>
      <c r="F10" s="1211"/>
      <c r="G10" s="1322"/>
      <c r="H10" s="1322"/>
      <c r="I10" s="1211"/>
      <c r="J10" s="1240"/>
      <c r="K10" s="1199"/>
      <c r="L10" s="1324"/>
      <c r="M10" s="1365"/>
      <c r="N10" s="1322"/>
      <c r="O10" s="1209"/>
      <c r="P10" s="1211"/>
      <c r="Q10" s="1322"/>
      <c r="R10" s="1322"/>
      <c r="S10" s="1211"/>
      <c r="T10" s="1240"/>
      <c r="U10" s="1199"/>
      <c r="V10" s="1324"/>
      <c r="W10" s="1368"/>
      <c r="X10" s="1264"/>
      <c r="Y10" s="1209"/>
      <c r="Z10" s="1211"/>
      <c r="AA10" s="1268"/>
      <c r="AB10" s="1264"/>
      <c r="AC10" s="1211"/>
      <c r="AD10" s="1240"/>
      <c r="AE10" s="1339"/>
      <c r="AF10" s="1324"/>
      <c r="AG10" s="1268"/>
      <c r="AH10" s="1264"/>
      <c r="AI10" s="1209"/>
      <c r="AJ10" s="1303"/>
      <c r="AK10" s="1268"/>
      <c r="AL10" s="1264"/>
      <c r="AM10" s="1211"/>
      <c r="AN10" s="1306"/>
      <c r="AO10" s="1308"/>
      <c r="AP10" s="1331"/>
      <c r="AQ10" s="1332"/>
      <c r="AR10" s="1332"/>
      <c r="AS10" s="1333"/>
      <c r="AT10" s="14">
        <v>4</v>
      </c>
      <c r="AV10" s="1296"/>
      <c r="AW10" s="1296"/>
      <c r="AX10" s="1296"/>
      <c r="AY10" s="1309"/>
      <c r="AZ10" s="1296"/>
      <c r="BA10" s="1296"/>
      <c r="BB10" s="1296"/>
      <c r="BC10" s="13"/>
      <c r="BD10" s="1336"/>
      <c r="BE10" s="1337"/>
      <c r="BF10" s="1312"/>
    </row>
    <row r="11" spans="1:58" ht="14.1" customHeight="1">
      <c r="A11" s="1">
        <v>1</v>
      </c>
      <c r="B11" s="15" t="str">
        <f t="shared" ref="B11:B24" si="0">+B71</f>
        <v>Eduardo Segura D.</v>
      </c>
      <c r="C11" s="334"/>
      <c r="D11" s="335"/>
      <c r="E11" s="16"/>
      <c r="F11" s="17">
        <f t="shared" ref="F11:F20" si="1">+D11-C11-E11</f>
        <v>0</v>
      </c>
      <c r="G11" s="335"/>
      <c r="H11" s="18"/>
      <c r="I11" s="17">
        <f t="shared" ref="I11:I20" si="2">+H11-G11</f>
        <v>0</v>
      </c>
      <c r="J11" s="16"/>
      <c r="K11" s="19">
        <f t="shared" ref="K11:K20" si="3">+I11+F11-L11</f>
        <v>0</v>
      </c>
      <c r="L11" s="20">
        <f t="shared" ref="L11:L24" si="4">IF(C11&gt;0,(F11+I11)+IF(K$5&gt;0,F11,-8),0)+IF(U$5&gt;0,I11,0)</f>
        <v>0</v>
      </c>
      <c r="M11" s="336">
        <v>7</v>
      </c>
      <c r="N11" s="335">
        <v>16</v>
      </c>
      <c r="O11" s="16">
        <v>1</v>
      </c>
      <c r="P11" s="17">
        <f t="shared" ref="P11:P20" si="5">+N11-M11-O11</f>
        <v>8</v>
      </c>
      <c r="Q11" s="21"/>
      <c r="R11" s="22"/>
      <c r="S11" s="17">
        <f t="shared" ref="S11:S20" si="6">+R11-Q11</f>
        <v>0</v>
      </c>
      <c r="T11" s="16"/>
      <c r="U11" s="19">
        <f t="shared" ref="U11:U20" si="7">+S11+P11-V11</f>
        <v>8</v>
      </c>
      <c r="V11" s="20">
        <f t="shared" ref="V11:V20" si="8">IF(M11&gt;0,(P11+S11)+IF(U$5&gt;0,P11,-8),0)+IF(AE$5&gt;0,S11,0)</f>
        <v>0</v>
      </c>
      <c r="W11" s="337">
        <v>8</v>
      </c>
      <c r="X11" s="337">
        <v>16</v>
      </c>
      <c r="Y11" s="23">
        <v>1</v>
      </c>
      <c r="Z11" s="17">
        <f t="shared" ref="Z11:Z20" si="9">+X11-W11-Y11</f>
        <v>7</v>
      </c>
      <c r="AA11" s="337"/>
      <c r="AB11" s="330">
        <v>0.5</v>
      </c>
      <c r="AC11" s="17">
        <f t="shared" ref="AC11:AC20" si="10">+AB11-AA11</f>
        <v>0.5</v>
      </c>
      <c r="AD11" s="16"/>
      <c r="AE11" s="19">
        <f t="shared" ref="AE11:AE20" si="11">+AC11+Z11-IF(AE$5&gt;0,AF11/2,AF11)</f>
        <v>8.5</v>
      </c>
      <c r="AF11" s="20">
        <f>IF(W11&gt;0,IF(AE$5&gt;0,(Z11+AC11)*2,(Z11+AC11-8)),0)*IF(Z11&lt;9,IF(AE$5&gt;0,1,2),1)+IF(Z11&gt;8,AC11,0)</f>
        <v>-1</v>
      </c>
      <c r="AG11" s="337">
        <v>7</v>
      </c>
      <c r="AH11" s="337">
        <v>16</v>
      </c>
      <c r="AI11" s="23">
        <v>1</v>
      </c>
      <c r="AJ11" s="24">
        <f t="shared" ref="AJ11:AJ24" si="12">+AH11-AG11-AI11</f>
        <v>8</v>
      </c>
      <c r="AK11" s="335"/>
      <c r="AL11" s="335"/>
      <c r="AM11" s="17">
        <f t="shared" ref="AM11:AM20" si="13">+AL11-AK11</f>
        <v>0</v>
      </c>
      <c r="AN11" s="22"/>
      <c r="AO11" s="25">
        <f t="shared" ref="AO11:AO20" si="14">(AJ11*2+AM11)</f>
        <v>16</v>
      </c>
      <c r="AP11" s="1297">
        <f t="shared" ref="AP11:AP24" si="15">+L11+V11+AF11+AO11+L32+V32+AF32-AN11</f>
        <v>13</v>
      </c>
      <c r="AQ11" s="1298"/>
      <c r="AR11" s="1299">
        <f t="shared" ref="AR11:AR20" si="16">ROUND(BD11*AP11,1)</f>
        <v>59.1</v>
      </c>
      <c r="AS11" s="1300"/>
      <c r="AT11" s="338">
        <f t="shared" ref="AT11:AT24" si="17">IF(AT32&gt;0,AT32*$AT$10,0)</f>
        <v>24</v>
      </c>
      <c r="AV11" s="26">
        <f t="shared" ref="AV11:AV20" si="18">+L11</f>
        <v>0</v>
      </c>
      <c r="AW11" s="26">
        <f t="shared" ref="AW11:AW20" si="19">+V11</f>
        <v>0</v>
      </c>
      <c r="AX11" s="26">
        <f t="shared" ref="AX11:AX20" si="20">+AF11</f>
        <v>-1</v>
      </c>
      <c r="AY11" s="27">
        <f t="shared" ref="AY11:AY20" si="21">+AO11</f>
        <v>16</v>
      </c>
      <c r="AZ11" s="26">
        <f t="shared" ref="AZ11:AZ19" si="22">+L32</f>
        <v>0</v>
      </c>
      <c r="BA11" s="26">
        <f t="shared" ref="BA11:BA19" si="23">+V32</f>
        <v>-2</v>
      </c>
      <c r="BB11" s="26">
        <f t="shared" ref="BB11:BB19" si="24">+AF32</f>
        <v>0</v>
      </c>
      <c r="BC11" s="28"/>
      <c r="BD11" s="339">
        <f t="shared" ref="BD11:BD17" si="25">+I71</f>
        <v>4.5464285714285708</v>
      </c>
      <c r="BE11" s="340">
        <f t="shared" ref="BE11:BE20" si="26">+BD11*AP11</f>
        <v>59.103571428571421</v>
      </c>
      <c r="BF11" s="341">
        <f t="shared" ref="BF11:BF20" si="27">+BD11*AY11</f>
        <v>72.742857142857133</v>
      </c>
    </row>
    <row r="12" spans="1:58" ht="14.1" customHeight="1">
      <c r="A12" s="1">
        <v>2</v>
      </c>
      <c r="B12" s="29" t="str">
        <f t="shared" si="0"/>
        <v>Cesar Mendez M.</v>
      </c>
      <c r="C12" s="334">
        <v>7</v>
      </c>
      <c r="D12" s="342">
        <v>18</v>
      </c>
      <c r="E12" s="30">
        <v>1</v>
      </c>
      <c r="F12" s="31">
        <f t="shared" si="1"/>
        <v>10</v>
      </c>
      <c r="G12" s="342"/>
      <c r="H12" s="342"/>
      <c r="I12" s="31">
        <f t="shared" si="2"/>
        <v>0</v>
      </c>
      <c r="J12" s="30"/>
      <c r="K12" s="32">
        <f t="shared" si="3"/>
        <v>8</v>
      </c>
      <c r="L12" s="20">
        <f t="shared" si="4"/>
        <v>2</v>
      </c>
      <c r="M12" s="748">
        <v>7</v>
      </c>
      <c r="N12" s="342">
        <v>16</v>
      </c>
      <c r="O12" s="30">
        <v>1</v>
      </c>
      <c r="P12" s="31">
        <f t="shared" si="5"/>
        <v>8</v>
      </c>
      <c r="Q12" s="33"/>
      <c r="R12" s="342"/>
      <c r="S12" s="31">
        <f t="shared" si="6"/>
        <v>0</v>
      </c>
      <c r="T12" s="30"/>
      <c r="U12" s="32">
        <f t="shared" si="7"/>
        <v>8</v>
      </c>
      <c r="V12" s="20">
        <f t="shared" si="8"/>
        <v>0</v>
      </c>
      <c r="W12" s="342">
        <v>7</v>
      </c>
      <c r="X12" s="342">
        <v>24</v>
      </c>
      <c r="Y12" s="30">
        <v>2</v>
      </c>
      <c r="Z12" s="31">
        <f t="shared" si="9"/>
        <v>15</v>
      </c>
      <c r="AA12" s="344">
        <v>0</v>
      </c>
      <c r="AB12" s="348">
        <v>7</v>
      </c>
      <c r="AC12" s="36">
        <f t="shared" si="10"/>
        <v>7</v>
      </c>
      <c r="AD12" s="30">
        <v>8</v>
      </c>
      <c r="AE12" s="32">
        <f t="shared" si="11"/>
        <v>1</v>
      </c>
      <c r="AF12" s="20">
        <f>IF(W12&gt;0,IF(AE$5&gt;0,(Z12+AC12)*2,(Z12+AC12-8)),0)*IF(Z12&lt;9,IF(AE$5&gt;0,1,2),1)+IF(Z12&gt;8,AC12,0)</f>
        <v>21</v>
      </c>
      <c r="AG12" s="37">
        <v>7</v>
      </c>
      <c r="AH12" s="342">
        <v>24</v>
      </c>
      <c r="AI12" s="30">
        <v>3</v>
      </c>
      <c r="AJ12" s="38">
        <f>+AH12-AG12-AI12</f>
        <v>14</v>
      </c>
      <c r="AK12" s="342">
        <v>0</v>
      </c>
      <c r="AL12" s="342">
        <v>7</v>
      </c>
      <c r="AM12" s="31">
        <f t="shared" si="13"/>
        <v>7</v>
      </c>
      <c r="AN12" s="39"/>
      <c r="AO12" s="40">
        <f t="shared" si="14"/>
        <v>35</v>
      </c>
      <c r="AP12" s="1282">
        <f t="shared" si="15"/>
        <v>72</v>
      </c>
      <c r="AQ12" s="1283"/>
      <c r="AR12" s="1284">
        <f t="shared" si="16"/>
        <v>369.6</v>
      </c>
      <c r="AS12" s="1285"/>
      <c r="AT12" s="345">
        <f t="shared" si="17"/>
        <v>28</v>
      </c>
      <c r="AV12" s="26">
        <f t="shared" si="18"/>
        <v>2</v>
      </c>
      <c r="AW12" s="26">
        <f t="shared" si="19"/>
        <v>0</v>
      </c>
      <c r="AX12" s="26">
        <f t="shared" si="20"/>
        <v>21</v>
      </c>
      <c r="AY12" s="27">
        <f t="shared" si="21"/>
        <v>35</v>
      </c>
      <c r="AZ12" s="26">
        <f t="shared" si="22"/>
        <v>4</v>
      </c>
      <c r="BA12" s="26">
        <f t="shared" si="23"/>
        <v>6</v>
      </c>
      <c r="BB12" s="26">
        <f t="shared" si="24"/>
        <v>4</v>
      </c>
      <c r="BC12" s="28"/>
      <c r="BD12" s="339">
        <f t="shared" si="25"/>
        <v>5.1339285714285712</v>
      </c>
      <c r="BE12" s="340">
        <f t="shared" si="26"/>
        <v>369.64285714285711</v>
      </c>
      <c r="BF12" s="341">
        <f t="shared" si="27"/>
        <v>179.6875</v>
      </c>
    </row>
    <row r="13" spans="1:58" ht="14.1" customHeight="1">
      <c r="A13" s="1">
        <v>3</v>
      </c>
      <c r="B13" s="29" t="str">
        <f t="shared" si="0"/>
        <v>Miguel Tejada Ll.</v>
      </c>
      <c r="C13" s="334">
        <v>7</v>
      </c>
      <c r="D13" s="342">
        <v>16</v>
      </c>
      <c r="E13" s="30">
        <v>1</v>
      </c>
      <c r="F13" s="31">
        <f t="shared" si="1"/>
        <v>8</v>
      </c>
      <c r="G13" s="342"/>
      <c r="H13" s="342"/>
      <c r="I13" s="31">
        <f t="shared" si="2"/>
        <v>0</v>
      </c>
      <c r="J13" s="30"/>
      <c r="K13" s="32">
        <f t="shared" si="3"/>
        <v>8</v>
      </c>
      <c r="L13" s="20">
        <f t="shared" si="4"/>
        <v>0</v>
      </c>
      <c r="M13" s="748">
        <v>7</v>
      </c>
      <c r="N13" s="342">
        <v>16</v>
      </c>
      <c r="O13" s="30">
        <v>1</v>
      </c>
      <c r="P13" s="31">
        <f t="shared" si="5"/>
        <v>8</v>
      </c>
      <c r="Q13" s="33"/>
      <c r="R13" s="346"/>
      <c r="S13" s="31">
        <f t="shared" si="6"/>
        <v>0</v>
      </c>
      <c r="T13" s="30"/>
      <c r="U13" s="32">
        <f t="shared" si="7"/>
        <v>8</v>
      </c>
      <c r="V13" s="20">
        <f t="shared" si="8"/>
        <v>0</v>
      </c>
      <c r="W13" s="342">
        <v>7</v>
      </c>
      <c r="X13" s="342">
        <v>16</v>
      </c>
      <c r="Y13" s="30">
        <v>1</v>
      </c>
      <c r="Z13" s="31">
        <f t="shared" si="9"/>
        <v>8</v>
      </c>
      <c r="AA13" s="344"/>
      <c r="AB13" s="41"/>
      <c r="AC13" s="36">
        <f t="shared" si="10"/>
        <v>0</v>
      </c>
      <c r="AD13" s="30"/>
      <c r="AE13" s="32">
        <f t="shared" si="11"/>
        <v>8</v>
      </c>
      <c r="AF13" s="20">
        <f>IF(W13&gt;0,IF(AE$5&gt;0,(Z13+AC13)*2,(Z13+AC13-8)),0)*IF(Z13&lt;9,IF(AE$5&gt;0,1,2),1)+IF(Z13&gt;8,AC13,0)</f>
        <v>0</v>
      </c>
      <c r="AG13" s="33"/>
      <c r="AH13" s="346"/>
      <c r="AI13" s="42"/>
      <c r="AJ13" s="38">
        <f>+AH13-AG13-AI13</f>
        <v>0</v>
      </c>
      <c r="AK13" s="342"/>
      <c r="AL13" s="346"/>
      <c r="AM13" s="31">
        <f t="shared" si="13"/>
        <v>0</v>
      </c>
      <c r="AN13" s="43"/>
      <c r="AO13" s="40">
        <f t="shared" si="14"/>
        <v>0</v>
      </c>
      <c r="AP13" s="1282">
        <f t="shared" si="15"/>
        <v>6</v>
      </c>
      <c r="AQ13" s="1283"/>
      <c r="AR13" s="1284">
        <f t="shared" si="16"/>
        <v>30.8</v>
      </c>
      <c r="AS13" s="1285"/>
      <c r="AT13" s="345">
        <f t="shared" si="17"/>
        <v>24</v>
      </c>
      <c r="AV13" s="26">
        <f t="shared" si="18"/>
        <v>0</v>
      </c>
      <c r="AW13" s="26">
        <f t="shared" si="19"/>
        <v>0</v>
      </c>
      <c r="AX13" s="26">
        <f t="shared" si="20"/>
        <v>0</v>
      </c>
      <c r="AY13" s="27">
        <f t="shared" si="21"/>
        <v>0</v>
      </c>
      <c r="AZ13" s="26">
        <f t="shared" si="22"/>
        <v>2</v>
      </c>
      <c r="BA13" s="26">
        <f t="shared" si="23"/>
        <v>2</v>
      </c>
      <c r="BB13" s="26">
        <f t="shared" si="24"/>
        <v>2</v>
      </c>
      <c r="BC13" s="28"/>
      <c r="BD13" s="339">
        <f t="shared" si="25"/>
        <v>5.1339285714285712</v>
      </c>
      <c r="BE13" s="340">
        <f t="shared" si="26"/>
        <v>30.803571428571427</v>
      </c>
      <c r="BF13" s="341">
        <f t="shared" si="27"/>
        <v>0</v>
      </c>
    </row>
    <row r="14" spans="1:58" ht="14.1" customHeight="1">
      <c r="A14" s="1">
        <v>4</v>
      </c>
      <c r="B14" s="29" t="str">
        <f t="shared" si="0"/>
        <v>Alejandro Dueñas</v>
      </c>
      <c r="C14" s="334">
        <v>7</v>
      </c>
      <c r="D14" s="346">
        <v>18</v>
      </c>
      <c r="E14" s="42">
        <v>1</v>
      </c>
      <c r="F14" s="44">
        <f t="shared" si="1"/>
        <v>10</v>
      </c>
      <c r="G14" s="346"/>
      <c r="H14" s="346"/>
      <c r="I14" s="44">
        <f t="shared" si="2"/>
        <v>0</v>
      </c>
      <c r="J14" s="42"/>
      <c r="K14" s="45">
        <f t="shared" si="3"/>
        <v>8</v>
      </c>
      <c r="L14" s="20">
        <f t="shared" si="4"/>
        <v>2</v>
      </c>
      <c r="M14" s="347">
        <v>7</v>
      </c>
      <c r="N14" s="346">
        <v>18</v>
      </c>
      <c r="O14" s="42">
        <v>1</v>
      </c>
      <c r="P14" s="44">
        <f t="shared" si="5"/>
        <v>10</v>
      </c>
      <c r="Q14" s="346"/>
      <c r="R14" s="348"/>
      <c r="S14" s="44">
        <f t="shared" si="6"/>
        <v>0</v>
      </c>
      <c r="T14" s="42"/>
      <c r="U14" s="45">
        <f t="shared" si="7"/>
        <v>8</v>
      </c>
      <c r="V14" s="20">
        <f t="shared" si="8"/>
        <v>2</v>
      </c>
      <c r="W14" s="347">
        <v>7</v>
      </c>
      <c r="X14" s="346">
        <v>24</v>
      </c>
      <c r="Y14" s="42">
        <v>2</v>
      </c>
      <c r="Z14" s="44">
        <f t="shared" si="9"/>
        <v>15</v>
      </c>
      <c r="AA14" s="344">
        <v>0</v>
      </c>
      <c r="AB14" s="348">
        <v>7</v>
      </c>
      <c r="AC14" s="36">
        <f t="shared" si="10"/>
        <v>7</v>
      </c>
      <c r="AD14" s="42">
        <v>8</v>
      </c>
      <c r="AE14" s="45">
        <f t="shared" si="11"/>
        <v>1</v>
      </c>
      <c r="AF14" s="20">
        <f>IF(W14&gt;0,IF(AE$5&gt;0,(Z14+AC14)*2,(Z14+AC14-8)),0)*IF(Z14&lt;9,IF(AE$5&gt;0,1,2),1)+IF(Z14&gt;8,AC14,0)</f>
        <v>21</v>
      </c>
      <c r="AG14" s="37">
        <v>20</v>
      </c>
      <c r="AH14" s="342">
        <v>24</v>
      </c>
      <c r="AI14" s="30">
        <v>1</v>
      </c>
      <c r="AJ14" s="38">
        <f t="shared" si="12"/>
        <v>3</v>
      </c>
      <c r="AK14" s="342">
        <v>0</v>
      </c>
      <c r="AL14" s="342">
        <v>7</v>
      </c>
      <c r="AM14" s="31">
        <f t="shared" si="13"/>
        <v>7</v>
      </c>
      <c r="AN14" s="47"/>
      <c r="AO14" s="40">
        <f t="shared" si="14"/>
        <v>13</v>
      </c>
      <c r="AP14" s="1282">
        <f t="shared" si="15"/>
        <v>46</v>
      </c>
      <c r="AQ14" s="1283"/>
      <c r="AR14" s="1284">
        <f t="shared" si="16"/>
        <v>191.7</v>
      </c>
      <c r="AS14" s="1285"/>
      <c r="AT14" s="345">
        <f t="shared" si="17"/>
        <v>28</v>
      </c>
      <c r="AV14" s="26">
        <f t="shared" si="18"/>
        <v>2</v>
      </c>
      <c r="AW14" s="26">
        <f t="shared" si="19"/>
        <v>2</v>
      </c>
      <c r="AX14" s="26">
        <f t="shared" si="20"/>
        <v>21</v>
      </c>
      <c r="AY14" s="27">
        <f t="shared" si="21"/>
        <v>13</v>
      </c>
      <c r="AZ14" s="26">
        <f t="shared" si="22"/>
        <v>4</v>
      </c>
      <c r="BA14" s="26">
        <f t="shared" si="23"/>
        <v>0</v>
      </c>
      <c r="BB14" s="26">
        <f t="shared" si="24"/>
        <v>4</v>
      </c>
      <c r="BC14" s="28"/>
      <c r="BD14" s="339">
        <f t="shared" si="25"/>
        <v>4.1666785714285712</v>
      </c>
      <c r="BE14" s="340">
        <f t="shared" si="26"/>
        <v>191.66721428571427</v>
      </c>
      <c r="BF14" s="341">
        <f t="shared" si="27"/>
        <v>54.166821428571424</v>
      </c>
    </row>
    <row r="15" spans="1:58" ht="14.1" customHeight="1">
      <c r="A15" s="1">
        <v>5</v>
      </c>
      <c r="B15" s="48" t="str">
        <f t="shared" si="0"/>
        <v>Juan Manrique V.</v>
      </c>
      <c r="C15" s="334"/>
      <c r="D15" s="342"/>
      <c r="E15" s="30"/>
      <c r="F15" s="31">
        <f t="shared" si="1"/>
        <v>0</v>
      </c>
      <c r="G15" s="342"/>
      <c r="H15" s="342"/>
      <c r="I15" s="31">
        <f t="shared" si="2"/>
        <v>0</v>
      </c>
      <c r="J15" s="30"/>
      <c r="K15" s="32">
        <f t="shared" si="3"/>
        <v>0</v>
      </c>
      <c r="L15" s="20">
        <f t="shared" si="4"/>
        <v>0</v>
      </c>
      <c r="M15" s="748">
        <v>8</v>
      </c>
      <c r="N15" s="342">
        <v>19</v>
      </c>
      <c r="O15" s="30">
        <v>1</v>
      </c>
      <c r="P15" s="31">
        <f t="shared" si="5"/>
        <v>10</v>
      </c>
      <c r="Q15" s="33"/>
      <c r="R15" s="346"/>
      <c r="S15" s="31">
        <f t="shared" si="6"/>
        <v>0</v>
      </c>
      <c r="T15" s="30"/>
      <c r="U15" s="32">
        <f t="shared" si="7"/>
        <v>8</v>
      </c>
      <c r="V15" s="20">
        <f t="shared" si="8"/>
        <v>2</v>
      </c>
      <c r="W15" s="342">
        <v>8</v>
      </c>
      <c r="X15" s="342">
        <v>17</v>
      </c>
      <c r="Y15" s="30">
        <v>1</v>
      </c>
      <c r="Z15" s="31">
        <f t="shared" si="9"/>
        <v>8</v>
      </c>
      <c r="AA15" s="346"/>
      <c r="AB15" s="49"/>
      <c r="AC15" s="31">
        <f t="shared" si="10"/>
        <v>0</v>
      </c>
      <c r="AD15" s="30"/>
      <c r="AE15" s="32">
        <f t="shared" si="11"/>
        <v>8</v>
      </c>
      <c r="AF15" s="20">
        <f>IF(W15&gt;0,IF(AE$5&gt;0,(Z15+AC15)*2,(Z15+AC15-8)),0)*IF(Z15&lt;9,IF(AE$5&gt;0,1,2),1)+IF(Z15&gt;8,AC15,0)</f>
        <v>0</v>
      </c>
      <c r="AG15" s="37">
        <v>8</v>
      </c>
      <c r="AH15" s="342">
        <v>16</v>
      </c>
      <c r="AI15" s="30">
        <v>1</v>
      </c>
      <c r="AJ15" s="38">
        <f t="shared" si="12"/>
        <v>7</v>
      </c>
      <c r="AK15" s="342"/>
      <c r="AL15" s="342"/>
      <c r="AM15" s="31">
        <f t="shared" si="13"/>
        <v>0</v>
      </c>
      <c r="AN15" s="39">
        <v>4</v>
      </c>
      <c r="AO15" s="40">
        <f t="shared" si="14"/>
        <v>14</v>
      </c>
      <c r="AP15" s="1294">
        <f t="shared" si="15"/>
        <v>15</v>
      </c>
      <c r="AQ15" s="1295"/>
      <c r="AR15" s="1284">
        <f t="shared" si="16"/>
        <v>77</v>
      </c>
      <c r="AS15" s="1285"/>
      <c r="AT15" s="345">
        <f t="shared" si="17"/>
        <v>24</v>
      </c>
      <c r="AV15" s="26">
        <f t="shared" si="18"/>
        <v>0</v>
      </c>
      <c r="AW15" s="26">
        <f t="shared" si="19"/>
        <v>2</v>
      </c>
      <c r="AX15" s="26">
        <f t="shared" si="20"/>
        <v>0</v>
      </c>
      <c r="AY15" s="27">
        <f t="shared" si="21"/>
        <v>14</v>
      </c>
      <c r="AZ15" s="26">
        <f t="shared" si="22"/>
        <v>1</v>
      </c>
      <c r="BA15" s="26">
        <f t="shared" si="23"/>
        <v>1</v>
      </c>
      <c r="BB15" s="26">
        <f t="shared" si="24"/>
        <v>1</v>
      </c>
      <c r="BC15" s="28"/>
      <c r="BD15" s="339">
        <f t="shared" si="25"/>
        <v>5.1339285714285712</v>
      </c>
      <c r="BE15" s="349">
        <f t="shared" si="26"/>
        <v>77.008928571428569</v>
      </c>
      <c r="BF15" s="350">
        <f t="shared" si="27"/>
        <v>71.875</v>
      </c>
    </row>
    <row r="16" spans="1:58" s="55" customFormat="1" ht="14.1" customHeight="1">
      <c r="A16" s="50">
        <v>6</v>
      </c>
      <c r="B16" s="51" t="str">
        <f t="shared" si="0"/>
        <v xml:space="preserve"> Irving Huaringa B.</v>
      </c>
      <c r="C16" s="334">
        <v>7</v>
      </c>
      <c r="D16" s="342">
        <v>16</v>
      </c>
      <c r="E16" s="30">
        <v>1</v>
      </c>
      <c r="F16" s="31">
        <f>+D16-C16-E16</f>
        <v>8</v>
      </c>
      <c r="G16" s="342"/>
      <c r="H16" s="342"/>
      <c r="I16" s="31">
        <f>+H16-G16</f>
        <v>0</v>
      </c>
      <c r="J16" s="30"/>
      <c r="K16" s="32">
        <f>+I16+F16-L16</f>
        <v>8</v>
      </c>
      <c r="L16" s="20">
        <f>IF(C16&gt;0,(F16+I16)+IF(K$5&gt;0,F16,-8),0)+IF(U$5&gt;0,I16,0)</f>
        <v>0</v>
      </c>
      <c r="M16" s="342">
        <v>8</v>
      </c>
      <c r="N16" s="342">
        <v>16</v>
      </c>
      <c r="O16" s="30">
        <v>1</v>
      </c>
      <c r="P16" s="31">
        <f>+N16-M16-O16</f>
        <v>7</v>
      </c>
      <c r="Q16" s="33"/>
      <c r="R16" s="52"/>
      <c r="S16" s="31">
        <f>+R16-Q16</f>
        <v>0</v>
      </c>
      <c r="T16" s="30"/>
      <c r="U16" s="32">
        <f>+S16+P16-V16</f>
        <v>8</v>
      </c>
      <c r="V16" s="20">
        <f>IF(M16&gt;0,(P16+S16)+IF(U$5&gt;0,P16,-8),0)+IF(AE$5&gt;0,S16,0)</f>
        <v>-1</v>
      </c>
      <c r="W16" s="342">
        <v>7</v>
      </c>
      <c r="X16" s="346">
        <v>13</v>
      </c>
      <c r="Y16" s="42">
        <v>1</v>
      </c>
      <c r="Z16" s="44">
        <f>+X16-W16-Y16</f>
        <v>5</v>
      </c>
      <c r="AA16" s="47"/>
      <c r="AB16" s="53"/>
      <c r="AC16" s="31">
        <f>+AB16-AA16</f>
        <v>0</v>
      </c>
      <c r="AD16" s="30"/>
      <c r="AE16" s="32">
        <f>+AC16+Z16-IF(AE$5&gt;0,AF16/2,AF16)</f>
        <v>5</v>
      </c>
      <c r="AF16" s="20">
        <f>IF(W16&gt;0,IF(AE$5&gt;0,(Z16+AC16)*2,(Z16+AC16-5)),0)*IF(Z16&lt;6,IF(AE$5&gt;0,1,2),1)+IF(Z16&gt;5,AC16,0)</f>
        <v>0</v>
      </c>
      <c r="AG16" s="37"/>
      <c r="AH16" s="342"/>
      <c r="AI16" s="30"/>
      <c r="AJ16" s="38">
        <f>+AH16-AG16-AI16</f>
        <v>0</v>
      </c>
      <c r="AK16" s="342"/>
      <c r="AL16" s="342"/>
      <c r="AM16" s="31">
        <f>+AL16-AK16</f>
        <v>0</v>
      </c>
      <c r="AN16" s="30"/>
      <c r="AO16" s="40">
        <f>(AJ16*2+AM16)</f>
        <v>0</v>
      </c>
      <c r="AP16" s="1282">
        <f t="shared" si="15"/>
        <v>-3</v>
      </c>
      <c r="AQ16" s="1283"/>
      <c r="AR16" s="1284">
        <f>ROUND(BD16*AP16,1)</f>
        <v>-15.4</v>
      </c>
      <c r="AS16" s="1285"/>
      <c r="AT16" s="345">
        <f t="shared" si="17"/>
        <v>24</v>
      </c>
      <c r="AU16" s="6"/>
      <c r="AV16" s="26">
        <f>+L16</f>
        <v>0</v>
      </c>
      <c r="AW16" s="26">
        <f>+V16</f>
        <v>-1</v>
      </c>
      <c r="AX16" s="26">
        <f>+AF16</f>
        <v>0</v>
      </c>
      <c r="AY16" s="27">
        <f>+AO16</f>
        <v>0</v>
      </c>
      <c r="AZ16" s="26">
        <f t="shared" si="22"/>
        <v>-1</v>
      </c>
      <c r="BA16" s="26">
        <f t="shared" si="23"/>
        <v>-1</v>
      </c>
      <c r="BB16" s="26">
        <f t="shared" si="24"/>
        <v>0</v>
      </c>
      <c r="BC16" s="54"/>
      <c r="BD16" s="339">
        <f t="shared" si="25"/>
        <v>5.1339285714285712</v>
      </c>
      <c r="BE16" s="351">
        <f>+BD16*AP16</f>
        <v>-15.401785714285714</v>
      </c>
      <c r="BF16" s="352">
        <f>+BD16*AY16</f>
        <v>0</v>
      </c>
    </row>
    <row r="17" spans="1:58" ht="14.1" customHeight="1">
      <c r="A17" s="1">
        <v>7</v>
      </c>
      <c r="B17" s="48" t="str">
        <f t="shared" si="0"/>
        <v xml:space="preserve">  -  .  -  </v>
      </c>
      <c r="C17" s="334"/>
      <c r="D17" s="342"/>
      <c r="E17" s="30"/>
      <c r="F17" s="31">
        <f>+D17-C17-E17</f>
        <v>0</v>
      </c>
      <c r="G17" s="342"/>
      <c r="H17" s="342"/>
      <c r="I17" s="31">
        <f>+H17-G17</f>
        <v>0</v>
      </c>
      <c r="J17" s="30"/>
      <c r="K17" s="32">
        <f>+I17+F17-L17</f>
        <v>0</v>
      </c>
      <c r="L17" s="20">
        <f>IF(C17&gt;0,(F17+I17)+IF(K$5&gt;0,F17,-8),0)+IF(U$5&gt;0,I17,0)</f>
        <v>0</v>
      </c>
      <c r="M17" s="334"/>
      <c r="N17" s="342"/>
      <c r="O17" s="30"/>
      <c r="P17" s="31">
        <f>+N17-M17-O17</f>
        <v>0</v>
      </c>
      <c r="Q17" s="346"/>
      <c r="R17" s="346"/>
      <c r="S17" s="31">
        <f>+R17-Q17</f>
        <v>0</v>
      </c>
      <c r="T17" s="30"/>
      <c r="U17" s="32">
        <f>+S17+P17-V17</f>
        <v>0</v>
      </c>
      <c r="V17" s="20">
        <f>IF(M17&gt;0,(P17+S17)+IF(U$5&gt;0,P17,-8),0)+IF(AE$5&gt;0,S17,0)</f>
        <v>0</v>
      </c>
      <c r="W17" s="342"/>
      <c r="X17" s="342"/>
      <c r="Y17" s="30"/>
      <c r="Z17" s="44">
        <f>+X17-W17-Y17</f>
        <v>0</v>
      </c>
      <c r="AA17" s="346"/>
      <c r="AB17" s="344"/>
      <c r="AC17" s="31">
        <f>+AB17-AA17</f>
        <v>0</v>
      </c>
      <c r="AD17" s="30"/>
      <c r="AE17" s="32">
        <f>+AC17+Z17-IF(AE$5&gt;0,AF17/2,AF17)</f>
        <v>0</v>
      </c>
      <c r="AF17" s="20">
        <f t="shared" ref="AF17:AF24" si="28">IF(W17&gt;0,IF(AE$5&gt;0,(Z17+AC17)*2,(Z17+AC17-8)),0)*IF(Z17&lt;9,IF(AE$5&gt;0,1,2),1)+IF(Z17&gt;8,AC17,0)</f>
        <v>0</v>
      </c>
      <c r="AG17" s="37"/>
      <c r="AH17" s="342"/>
      <c r="AI17" s="30"/>
      <c r="AJ17" s="38">
        <f t="shared" si="12"/>
        <v>0</v>
      </c>
      <c r="AK17" s="342"/>
      <c r="AL17" s="342"/>
      <c r="AM17" s="31">
        <f t="shared" si="13"/>
        <v>0</v>
      </c>
      <c r="AN17" s="39"/>
      <c r="AO17" s="40">
        <f t="shared" si="14"/>
        <v>0</v>
      </c>
      <c r="AP17" s="1282">
        <f t="shared" si="15"/>
        <v>0</v>
      </c>
      <c r="AQ17" s="1283"/>
      <c r="AR17" s="1284">
        <f t="shared" si="16"/>
        <v>0</v>
      </c>
      <c r="AS17" s="1285"/>
      <c r="AT17" s="345">
        <f t="shared" si="17"/>
        <v>0</v>
      </c>
      <c r="AV17" s="26">
        <f t="shared" si="18"/>
        <v>0</v>
      </c>
      <c r="AW17" s="26">
        <f t="shared" si="19"/>
        <v>0</v>
      </c>
      <c r="AX17" s="26">
        <f t="shared" si="20"/>
        <v>0</v>
      </c>
      <c r="AY17" s="27">
        <f t="shared" si="21"/>
        <v>0</v>
      </c>
      <c r="AZ17" s="26">
        <f t="shared" si="22"/>
        <v>0</v>
      </c>
      <c r="BA17" s="26">
        <f t="shared" si="23"/>
        <v>0</v>
      </c>
      <c r="BB17" s="26">
        <f t="shared" si="24"/>
        <v>0</v>
      </c>
      <c r="BC17" s="28"/>
      <c r="BD17" s="339">
        <f t="shared" si="25"/>
        <v>3.6964285714285716</v>
      </c>
      <c r="BE17" s="349">
        <f t="shared" si="26"/>
        <v>0</v>
      </c>
      <c r="BF17" s="350">
        <f t="shared" si="27"/>
        <v>0</v>
      </c>
    </row>
    <row r="18" spans="1:58" ht="14.1" customHeight="1">
      <c r="A18" s="1">
        <v>8</v>
      </c>
      <c r="B18" s="512" t="str">
        <f t="shared" si="0"/>
        <v>Pedro Hostos S,</v>
      </c>
      <c r="C18" s="334">
        <v>7</v>
      </c>
      <c r="D18" s="342">
        <v>18</v>
      </c>
      <c r="E18" s="30">
        <v>1</v>
      </c>
      <c r="F18" s="31">
        <f>+D18-C18-E18</f>
        <v>10</v>
      </c>
      <c r="G18" s="342"/>
      <c r="H18" s="342"/>
      <c r="I18" s="31">
        <f>+H18-G18</f>
        <v>0</v>
      </c>
      <c r="J18" s="30"/>
      <c r="K18" s="32">
        <f>+I18+F18-L18</f>
        <v>8</v>
      </c>
      <c r="L18" s="20">
        <f>IF(C18&gt;0,(F18+I18)+IF(K$5&gt;0,F18,-8),0)+IF(U$5&gt;0,I18,0)</f>
        <v>2</v>
      </c>
      <c r="M18" s="342">
        <v>7</v>
      </c>
      <c r="N18" s="342">
        <v>18</v>
      </c>
      <c r="O18" s="30">
        <v>1</v>
      </c>
      <c r="P18" s="31">
        <f>+N18-M18-O18</f>
        <v>10</v>
      </c>
      <c r="Q18" s="33"/>
      <c r="R18" s="346"/>
      <c r="S18" s="31">
        <f>+R18-Q18</f>
        <v>0</v>
      </c>
      <c r="T18" s="30"/>
      <c r="U18" s="32">
        <f>+S18+P18-V18</f>
        <v>8</v>
      </c>
      <c r="V18" s="20">
        <f>IF(M18&gt;0,(P18+S18)+IF(U$5&gt;0,P18,-8),0)+IF(AE$5&gt;0,S18,0)</f>
        <v>2</v>
      </c>
      <c r="W18" s="30">
        <v>7</v>
      </c>
      <c r="X18" s="342">
        <v>18</v>
      </c>
      <c r="Y18" s="30">
        <v>1</v>
      </c>
      <c r="Z18" s="31">
        <f>+X18-W18-Y18</f>
        <v>10</v>
      </c>
      <c r="AA18" s="346"/>
      <c r="AB18" s="41"/>
      <c r="AC18" s="31">
        <f>+AB18-AA18</f>
        <v>0</v>
      </c>
      <c r="AD18" s="30"/>
      <c r="AE18" s="32">
        <f>+AC18+Z18-IF(AE$5&gt;0,AF18/2,AF18)</f>
        <v>8</v>
      </c>
      <c r="AF18" s="20">
        <f t="shared" si="28"/>
        <v>2</v>
      </c>
      <c r="AG18" s="37"/>
      <c r="AH18" s="342"/>
      <c r="AI18" s="30"/>
      <c r="AJ18" s="38">
        <f t="shared" si="12"/>
        <v>0</v>
      </c>
      <c r="AK18" s="342"/>
      <c r="AL18" s="342"/>
      <c r="AM18" s="31">
        <f>+AL18-AK18</f>
        <v>0</v>
      </c>
      <c r="AN18" s="30"/>
      <c r="AO18" s="40">
        <f>(AJ18*2+AM18)</f>
        <v>0</v>
      </c>
      <c r="AP18" s="1282">
        <f t="shared" si="15"/>
        <v>12</v>
      </c>
      <c r="AQ18" s="1283"/>
      <c r="AR18" s="1284">
        <f t="shared" si="16"/>
        <v>46.5</v>
      </c>
      <c r="AS18" s="1285"/>
      <c r="AT18" s="345">
        <f t="shared" si="17"/>
        <v>24</v>
      </c>
      <c r="AV18" s="26">
        <f t="shared" si="18"/>
        <v>2</v>
      </c>
      <c r="AW18" s="26">
        <f t="shared" si="19"/>
        <v>2</v>
      </c>
      <c r="AX18" s="26">
        <f t="shared" si="20"/>
        <v>2</v>
      </c>
      <c r="AY18" s="27">
        <f t="shared" si="21"/>
        <v>0</v>
      </c>
      <c r="AZ18" s="26">
        <f t="shared" si="22"/>
        <v>2</v>
      </c>
      <c r="BA18" s="26">
        <f t="shared" si="23"/>
        <v>2</v>
      </c>
      <c r="BB18" s="26">
        <f t="shared" si="24"/>
        <v>2</v>
      </c>
      <c r="BC18" s="28"/>
      <c r="BD18" s="339">
        <f>+I78</f>
        <v>3.8750035714285715</v>
      </c>
      <c r="BE18" s="349">
        <f t="shared" si="26"/>
        <v>46.500042857142859</v>
      </c>
      <c r="BF18" s="350">
        <f t="shared" si="27"/>
        <v>0</v>
      </c>
    </row>
    <row r="19" spans="1:58" s="55" customFormat="1" ht="14.1" customHeight="1">
      <c r="A19" s="50"/>
      <c r="B19" s="58" t="str">
        <f t="shared" si="0"/>
        <v xml:space="preserve">  -  .  -  </v>
      </c>
      <c r="C19" s="334"/>
      <c r="D19" s="342"/>
      <c r="E19" s="30"/>
      <c r="F19" s="31">
        <f t="shared" si="1"/>
        <v>0</v>
      </c>
      <c r="G19" s="342"/>
      <c r="H19" s="342"/>
      <c r="I19" s="31">
        <f t="shared" si="2"/>
        <v>0</v>
      </c>
      <c r="J19" s="30"/>
      <c r="K19" s="32">
        <f t="shared" si="3"/>
        <v>0</v>
      </c>
      <c r="L19" s="20">
        <f t="shared" si="4"/>
        <v>0</v>
      </c>
      <c r="M19" s="342"/>
      <c r="N19" s="342"/>
      <c r="O19" s="30"/>
      <c r="P19" s="31">
        <f t="shared" si="5"/>
        <v>0</v>
      </c>
      <c r="Q19" s="33"/>
      <c r="R19" s="346"/>
      <c r="S19" s="31">
        <f t="shared" si="6"/>
        <v>0</v>
      </c>
      <c r="T19" s="30"/>
      <c r="U19" s="32">
        <f t="shared" si="7"/>
        <v>0</v>
      </c>
      <c r="V19" s="20">
        <f t="shared" si="8"/>
        <v>0</v>
      </c>
      <c r="W19" s="342"/>
      <c r="X19" s="346"/>
      <c r="Y19" s="42"/>
      <c r="Z19" s="44">
        <f t="shared" si="9"/>
        <v>0</v>
      </c>
      <c r="AA19" s="346"/>
      <c r="AB19" s="53"/>
      <c r="AC19" s="44">
        <f t="shared" si="10"/>
        <v>0</v>
      </c>
      <c r="AD19" s="42"/>
      <c r="AE19" s="45">
        <f t="shared" si="11"/>
        <v>0</v>
      </c>
      <c r="AF19" s="59">
        <f t="shared" si="28"/>
        <v>0</v>
      </c>
      <c r="AG19" s="37"/>
      <c r="AH19" s="342"/>
      <c r="AI19" s="30"/>
      <c r="AJ19" s="38">
        <f t="shared" si="12"/>
        <v>0</v>
      </c>
      <c r="AK19" s="342"/>
      <c r="AL19" s="346"/>
      <c r="AM19" s="31">
        <f t="shared" si="13"/>
        <v>0</v>
      </c>
      <c r="AN19" s="18"/>
      <c r="AO19" s="40">
        <f t="shared" si="14"/>
        <v>0</v>
      </c>
      <c r="AP19" s="1282">
        <f t="shared" si="15"/>
        <v>0</v>
      </c>
      <c r="AQ19" s="1283"/>
      <c r="AR19" s="1284">
        <f t="shared" si="16"/>
        <v>0</v>
      </c>
      <c r="AS19" s="1285"/>
      <c r="AT19" s="345">
        <f t="shared" si="17"/>
        <v>0</v>
      </c>
      <c r="AV19" s="26">
        <f t="shared" si="18"/>
        <v>0</v>
      </c>
      <c r="AW19" s="26">
        <f t="shared" si="19"/>
        <v>0</v>
      </c>
      <c r="AX19" s="26">
        <f t="shared" si="20"/>
        <v>0</v>
      </c>
      <c r="AY19" s="27">
        <f t="shared" si="21"/>
        <v>0</v>
      </c>
      <c r="AZ19" s="26">
        <f t="shared" si="22"/>
        <v>0</v>
      </c>
      <c r="BA19" s="26">
        <f t="shared" si="23"/>
        <v>0</v>
      </c>
      <c r="BB19" s="26">
        <f t="shared" si="24"/>
        <v>0</v>
      </c>
      <c r="BC19" s="28"/>
      <c r="BD19" s="339">
        <f>+I78</f>
        <v>3.8750035714285715</v>
      </c>
      <c r="BE19" s="349">
        <f t="shared" si="26"/>
        <v>0</v>
      </c>
      <c r="BF19" s="350">
        <f t="shared" si="27"/>
        <v>0</v>
      </c>
    </row>
    <row r="20" spans="1:58" s="55" customFormat="1" ht="14.1" customHeight="1" thickBot="1">
      <c r="A20" s="50"/>
      <c r="B20" s="521" t="str">
        <f t="shared" si="0"/>
        <v xml:space="preserve">  -  .  -  </v>
      </c>
      <c r="C20" s="526"/>
      <c r="D20" s="522"/>
      <c r="E20" s="522"/>
      <c r="F20" s="523">
        <f t="shared" si="1"/>
        <v>0</v>
      </c>
      <c r="G20" s="522"/>
      <c r="H20" s="522"/>
      <c r="I20" s="523">
        <f t="shared" si="2"/>
        <v>0</v>
      </c>
      <c r="J20" s="522"/>
      <c r="K20" s="523">
        <f t="shared" si="3"/>
        <v>0</v>
      </c>
      <c r="L20" s="524">
        <f t="shared" si="4"/>
        <v>0</v>
      </c>
      <c r="M20" s="750"/>
      <c r="N20" s="522"/>
      <c r="O20" s="522"/>
      <c r="P20" s="523">
        <f t="shared" si="5"/>
        <v>0</v>
      </c>
      <c r="Q20" s="522"/>
      <c r="R20" s="522"/>
      <c r="S20" s="523">
        <f t="shared" si="6"/>
        <v>0</v>
      </c>
      <c r="T20" s="522"/>
      <c r="U20" s="523">
        <f t="shared" si="7"/>
        <v>0</v>
      </c>
      <c r="V20" s="524">
        <f t="shared" si="8"/>
        <v>0</v>
      </c>
      <c r="W20" s="522"/>
      <c r="X20" s="522"/>
      <c r="Y20" s="522"/>
      <c r="Z20" s="523">
        <f t="shared" si="9"/>
        <v>0</v>
      </c>
      <c r="AA20" s="522"/>
      <c r="AB20" s="541"/>
      <c r="AC20" s="523">
        <f t="shared" si="10"/>
        <v>0</v>
      </c>
      <c r="AD20" s="522"/>
      <c r="AE20" s="523">
        <f t="shared" si="11"/>
        <v>0</v>
      </c>
      <c r="AF20" s="524">
        <f t="shared" si="28"/>
        <v>0</v>
      </c>
      <c r="AG20" s="522"/>
      <c r="AH20" s="522"/>
      <c r="AI20" s="522"/>
      <c r="AJ20" s="542">
        <f t="shared" si="12"/>
        <v>0</v>
      </c>
      <c r="AK20" s="522"/>
      <c r="AL20" s="522"/>
      <c r="AM20" s="523">
        <f t="shared" si="13"/>
        <v>0</v>
      </c>
      <c r="AN20" s="522"/>
      <c r="AO20" s="543">
        <f t="shared" si="14"/>
        <v>0</v>
      </c>
      <c r="AP20" s="1286">
        <f t="shared" si="15"/>
        <v>0</v>
      </c>
      <c r="AQ20" s="1287"/>
      <c r="AR20" s="1288">
        <f t="shared" si="16"/>
        <v>0</v>
      </c>
      <c r="AS20" s="1289"/>
      <c r="AT20" s="544">
        <f t="shared" si="17"/>
        <v>0</v>
      </c>
      <c r="AV20" s="545">
        <f t="shared" si="18"/>
        <v>0</v>
      </c>
      <c r="AW20" s="545">
        <f t="shared" si="19"/>
        <v>0</v>
      </c>
      <c r="AX20" s="545">
        <f t="shared" si="20"/>
        <v>0</v>
      </c>
      <c r="AY20" s="546">
        <f t="shared" si="21"/>
        <v>0</v>
      </c>
      <c r="AZ20" s="545">
        <f>+L41</f>
        <v>0</v>
      </c>
      <c r="BA20" s="545">
        <f>+V41</f>
        <v>0</v>
      </c>
      <c r="BB20" s="545">
        <f>+AF41</f>
        <v>0</v>
      </c>
      <c r="BC20" s="28"/>
      <c r="BD20" s="547">
        <f>+I80</f>
        <v>4.6964285714285712</v>
      </c>
      <c r="BE20" s="548">
        <f t="shared" si="26"/>
        <v>0</v>
      </c>
      <c r="BF20" s="549">
        <f t="shared" si="27"/>
        <v>0</v>
      </c>
    </row>
    <row r="21" spans="1:58" s="81" customFormat="1" ht="14.1" customHeight="1" thickTop="1">
      <c r="A21" s="72">
        <v>9</v>
      </c>
      <c r="B21" s="15" t="str">
        <f t="shared" si="0"/>
        <v>Patrick Palacios</v>
      </c>
      <c r="C21" s="347">
        <v>7</v>
      </c>
      <c r="D21" s="346">
        <v>16</v>
      </c>
      <c r="E21" s="42">
        <v>1</v>
      </c>
      <c r="F21" s="44">
        <f>+D21-C21-E21</f>
        <v>8</v>
      </c>
      <c r="G21" s="346"/>
      <c r="H21" s="346"/>
      <c r="I21" s="44">
        <f>+H21-G21</f>
        <v>0</v>
      </c>
      <c r="J21" s="42"/>
      <c r="K21" s="45">
        <f>+I21+F21-L21</f>
        <v>8</v>
      </c>
      <c r="L21" s="59">
        <f t="shared" si="4"/>
        <v>0</v>
      </c>
      <c r="M21" s="346">
        <v>7</v>
      </c>
      <c r="N21" s="346">
        <v>16</v>
      </c>
      <c r="O21" s="42">
        <v>1</v>
      </c>
      <c r="P21" s="44">
        <f>+N21-M21-O21</f>
        <v>8</v>
      </c>
      <c r="Q21" s="33"/>
      <c r="R21" s="346"/>
      <c r="S21" s="44">
        <f>+R21-Q21</f>
        <v>0</v>
      </c>
      <c r="T21" s="42"/>
      <c r="U21" s="45">
        <f>+S21+P21-V21</f>
        <v>8</v>
      </c>
      <c r="V21" s="59">
        <f>IF(M21&gt;0,(P21+S21)+IF(U$5&gt;0,P21,-8),0)+IF(AE$5&gt;0,S21,0)</f>
        <v>0</v>
      </c>
      <c r="W21" s="42"/>
      <c r="X21" s="346"/>
      <c r="Y21" s="42"/>
      <c r="Z21" s="44">
        <f>+X21-W21-Y21</f>
        <v>0</v>
      </c>
      <c r="AA21" s="346"/>
      <c r="AB21" s="41"/>
      <c r="AC21" s="44">
        <f>+AB21-AA21</f>
        <v>0</v>
      </c>
      <c r="AD21" s="42"/>
      <c r="AE21" s="45">
        <f>+AC21+Z21-IF(AE$5&gt;0,AF21/2,AF21)</f>
        <v>0</v>
      </c>
      <c r="AF21" s="59">
        <f t="shared" si="28"/>
        <v>0</v>
      </c>
      <c r="AG21" s="516"/>
      <c r="AH21" s="516"/>
      <c r="AI21" s="516"/>
      <c r="AJ21" s="535">
        <f t="shared" si="12"/>
        <v>0</v>
      </c>
      <c r="AK21" s="516"/>
      <c r="AL21" s="516"/>
      <c r="AM21" s="517">
        <f>+AL21-AK21</f>
        <v>0</v>
      </c>
      <c r="AN21" s="516"/>
      <c r="AO21" s="536">
        <f>(AJ21*2+AM21)</f>
        <v>0</v>
      </c>
      <c r="AP21" s="1274">
        <f t="shared" si="15"/>
        <v>-1</v>
      </c>
      <c r="AQ21" s="1275"/>
      <c r="AR21" s="1276">
        <f>ROUND(BD21*AP21,1)</f>
        <v>-3.9</v>
      </c>
      <c r="AS21" s="1277"/>
      <c r="AT21" s="537">
        <f t="shared" si="17"/>
        <v>20</v>
      </c>
      <c r="AU21" s="55"/>
      <c r="AV21" s="538">
        <f>+L21</f>
        <v>0</v>
      </c>
      <c r="AW21" s="538">
        <f>+V21</f>
        <v>0</v>
      </c>
      <c r="AX21" s="538">
        <f>+AF21</f>
        <v>0</v>
      </c>
      <c r="AY21" s="538">
        <f>+AO21</f>
        <v>0</v>
      </c>
      <c r="AZ21" s="538">
        <f>+L42</f>
        <v>-1</v>
      </c>
      <c r="BA21" s="538">
        <f>+V42</f>
        <v>0</v>
      </c>
      <c r="BB21" s="538">
        <f>+AF42</f>
        <v>0</v>
      </c>
      <c r="BC21" s="28"/>
      <c r="BD21" s="539">
        <f>+I81</f>
        <v>3.875</v>
      </c>
      <c r="BE21" s="539">
        <f>+BD21*AP21</f>
        <v>-3.875</v>
      </c>
      <c r="BF21" s="539">
        <f>+BD21*AY21</f>
        <v>0</v>
      </c>
    </row>
    <row r="22" spans="1:58" s="55" customFormat="1" ht="14.1" customHeight="1">
      <c r="A22" s="50">
        <v>10</v>
      </c>
      <c r="B22" s="513" t="str">
        <f t="shared" si="0"/>
        <v>Jose Cortez P.</v>
      </c>
      <c r="C22" s="458">
        <v>7</v>
      </c>
      <c r="D22" s="459">
        <v>18</v>
      </c>
      <c r="E22" s="459">
        <v>1</v>
      </c>
      <c r="F22" s="460">
        <f>+D22-C22-E22</f>
        <v>10</v>
      </c>
      <c r="G22" s="459"/>
      <c r="H22" s="459"/>
      <c r="I22" s="460">
        <f>+H22-G22</f>
        <v>0</v>
      </c>
      <c r="J22" s="459"/>
      <c r="K22" s="32">
        <f t="shared" ref="K22:K23" si="29">+I22+F22-L22</f>
        <v>8</v>
      </c>
      <c r="L22" s="461">
        <f t="shared" si="4"/>
        <v>2</v>
      </c>
      <c r="M22" s="749">
        <v>7</v>
      </c>
      <c r="N22" s="459">
        <v>18</v>
      </c>
      <c r="O22" s="459">
        <v>1</v>
      </c>
      <c r="P22" s="460">
        <f>+N22-M22-O22</f>
        <v>10</v>
      </c>
      <c r="Q22" s="459"/>
      <c r="R22" s="459"/>
      <c r="S22" s="460">
        <f>+R22-Q22</f>
        <v>0</v>
      </c>
      <c r="T22" s="459"/>
      <c r="U22" s="32">
        <f t="shared" ref="U22:U23" si="30">+S22+P22-V22</f>
        <v>8</v>
      </c>
      <c r="V22" s="461">
        <f>IF(M22&gt;0,(P22+S22)+IF(U$5&gt;0,P22,-8),0)+IF(AE$5&gt;0,S22,0)</f>
        <v>2</v>
      </c>
      <c r="W22" s="459">
        <v>7</v>
      </c>
      <c r="X22" s="459">
        <v>18</v>
      </c>
      <c r="Y22" s="459">
        <v>1</v>
      </c>
      <c r="Z22" s="460">
        <f>+X22-W22-Y22</f>
        <v>10</v>
      </c>
      <c r="AA22" s="459"/>
      <c r="AB22" s="463"/>
      <c r="AC22" s="460">
        <f>+AB22-AA22</f>
        <v>0</v>
      </c>
      <c r="AD22" s="459"/>
      <c r="AE22" s="32">
        <f t="shared" ref="AE22:AE23" si="31">+AC22+Z22-IF(AE$5&gt;0,AF22/2,AF22)</f>
        <v>8</v>
      </c>
      <c r="AF22" s="461">
        <f t="shared" si="28"/>
        <v>2</v>
      </c>
      <c r="AG22" s="459">
        <v>7</v>
      </c>
      <c r="AH22" s="459">
        <v>18</v>
      </c>
      <c r="AI22" s="459">
        <v>1</v>
      </c>
      <c r="AJ22" s="38">
        <f t="shared" si="12"/>
        <v>10</v>
      </c>
      <c r="AK22" s="459"/>
      <c r="AL22" s="459"/>
      <c r="AM22" s="460">
        <f>+AL22-AK22</f>
        <v>0</v>
      </c>
      <c r="AN22" s="459"/>
      <c r="AO22" s="465">
        <f>(AJ22*2+AM22)</f>
        <v>20</v>
      </c>
      <c r="AP22" s="1290">
        <f t="shared" si="15"/>
        <v>32</v>
      </c>
      <c r="AQ22" s="1291"/>
      <c r="AR22" s="1292">
        <f>ROUND(BD22*AP22,1)</f>
        <v>124</v>
      </c>
      <c r="AS22" s="1293"/>
      <c r="AT22" s="488">
        <f t="shared" si="17"/>
        <v>28</v>
      </c>
      <c r="AV22" s="69">
        <f>+L22</f>
        <v>2</v>
      </c>
      <c r="AW22" s="69">
        <f>+V22</f>
        <v>2</v>
      </c>
      <c r="AX22" s="69">
        <f>+AF22</f>
        <v>2</v>
      </c>
      <c r="AY22" s="70">
        <f>+AO22</f>
        <v>20</v>
      </c>
      <c r="AZ22" s="69">
        <f>+L43</f>
        <v>2</v>
      </c>
      <c r="BA22" s="69">
        <f>+V43</f>
        <v>2</v>
      </c>
      <c r="BB22" s="69">
        <f>+AF43</f>
        <v>2</v>
      </c>
      <c r="BC22" s="28"/>
      <c r="BD22" s="339">
        <f>+I82</f>
        <v>3.875</v>
      </c>
      <c r="BE22" s="351">
        <f>+BD22*AP22</f>
        <v>124</v>
      </c>
      <c r="BF22" s="352">
        <f>+BD22*AY22</f>
        <v>77.5</v>
      </c>
    </row>
    <row r="23" spans="1:58" s="55" customFormat="1" ht="14.1" customHeight="1">
      <c r="A23" s="50"/>
      <c r="B23" s="513" t="str">
        <f t="shared" si="0"/>
        <v>Rafael Armas R.</v>
      </c>
      <c r="C23" s="458">
        <v>7</v>
      </c>
      <c r="D23" s="459">
        <v>18</v>
      </c>
      <c r="E23" s="459">
        <v>1</v>
      </c>
      <c r="F23" s="460">
        <f>+D23-C23-E23</f>
        <v>10</v>
      </c>
      <c r="G23" s="459"/>
      <c r="H23" s="459"/>
      <c r="I23" s="460">
        <f>+H23-G23</f>
        <v>0</v>
      </c>
      <c r="J23" s="459"/>
      <c r="K23" s="32">
        <f t="shared" si="29"/>
        <v>8</v>
      </c>
      <c r="L23" s="461">
        <f t="shared" si="4"/>
        <v>2</v>
      </c>
      <c r="M23" s="749">
        <v>7</v>
      </c>
      <c r="N23" s="459">
        <v>18</v>
      </c>
      <c r="O23" s="459">
        <v>1</v>
      </c>
      <c r="P23" s="460">
        <f>+N23-M23-O23</f>
        <v>10</v>
      </c>
      <c r="Q23" s="459"/>
      <c r="R23" s="459"/>
      <c r="S23" s="460">
        <f>+R23-Q23</f>
        <v>0</v>
      </c>
      <c r="T23" s="459"/>
      <c r="U23" s="32">
        <f t="shared" si="30"/>
        <v>8</v>
      </c>
      <c r="V23" s="461">
        <f>IF(M23&gt;0,(P23+S23)+IF(U$5&gt;0,P23,-8),0)+IF(AE$5&gt;0,S23,0)</f>
        <v>2</v>
      </c>
      <c r="W23" s="459">
        <v>7</v>
      </c>
      <c r="X23" s="459">
        <v>18</v>
      </c>
      <c r="Y23" s="459">
        <v>1</v>
      </c>
      <c r="Z23" s="460">
        <f>+X23-W23-Y23</f>
        <v>10</v>
      </c>
      <c r="AA23" s="459"/>
      <c r="AB23" s="463"/>
      <c r="AC23" s="460">
        <f>+AB23-AA23</f>
        <v>0</v>
      </c>
      <c r="AD23" s="459"/>
      <c r="AE23" s="32">
        <f t="shared" si="31"/>
        <v>8</v>
      </c>
      <c r="AF23" s="461">
        <f t="shared" si="28"/>
        <v>2</v>
      </c>
      <c r="AG23" s="459">
        <v>7</v>
      </c>
      <c r="AH23" s="459">
        <v>18</v>
      </c>
      <c r="AI23" s="459">
        <v>1</v>
      </c>
      <c r="AJ23" s="38">
        <f t="shared" si="12"/>
        <v>10</v>
      </c>
      <c r="AK23" s="459"/>
      <c r="AL23" s="459"/>
      <c r="AM23" s="460">
        <f>+AL23-AK23</f>
        <v>0</v>
      </c>
      <c r="AN23" s="725"/>
      <c r="AO23" s="465">
        <f>(AJ23*2+AM23)</f>
        <v>20</v>
      </c>
      <c r="AP23" s="1282">
        <f t="shared" si="15"/>
        <v>32</v>
      </c>
      <c r="AQ23" s="1283"/>
      <c r="AR23" s="1272">
        <f>ROUND(BD23*AP23,1)</f>
        <v>124</v>
      </c>
      <c r="AS23" s="1273"/>
      <c r="AT23" s="359">
        <f t="shared" si="17"/>
        <v>28</v>
      </c>
      <c r="AV23" s="69">
        <f>+L23</f>
        <v>2</v>
      </c>
      <c r="AW23" s="69">
        <f>+V23</f>
        <v>2</v>
      </c>
      <c r="AX23" s="69">
        <f>+AF23</f>
        <v>2</v>
      </c>
      <c r="AY23" s="70">
        <f>+AO23</f>
        <v>20</v>
      </c>
      <c r="AZ23" s="69">
        <f>+L44</f>
        <v>2</v>
      </c>
      <c r="BA23" s="69">
        <f>+V44</f>
        <v>2</v>
      </c>
      <c r="BB23" s="69">
        <f>+AF44</f>
        <v>2</v>
      </c>
      <c r="BC23" s="54"/>
      <c r="BD23" s="339">
        <f>+I83</f>
        <v>3.875</v>
      </c>
      <c r="BE23" s="351">
        <f>+BD23*AP23</f>
        <v>124</v>
      </c>
      <c r="BF23" s="352">
        <f>+BD23*AY23</f>
        <v>77.5</v>
      </c>
    </row>
    <row r="24" spans="1:58" ht="14.1" customHeight="1" thickBot="1">
      <c r="B24" s="95" t="str">
        <f t="shared" si="0"/>
        <v xml:space="preserve"> </v>
      </c>
      <c r="C24" s="360"/>
      <c r="D24" s="361"/>
      <c r="E24" s="96"/>
      <c r="F24" s="97">
        <f>+D24-C24-E24</f>
        <v>0</v>
      </c>
      <c r="G24" s="361"/>
      <c r="H24" s="361"/>
      <c r="I24" s="97">
        <f>+H24-G24</f>
        <v>0</v>
      </c>
      <c r="J24" s="96"/>
      <c r="K24" s="98">
        <f>+I24+F24-L24</f>
        <v>0</v>
      </c>
      <c r="L24" s="99">
        <f t="shared" si="4"/>
        <v>0</v>
      </c>
      <c r="M24" s="362"/>
      <c r="N24" s="361"/>
      <c r="O24" s="96"/>
      <c r="P24" s="97">
        <f>+N24-M24-O24</f>
        <v>0</v>
      </c>
      <c r="Q24" s="363"/>
      <c r="R24" s="363"/>
      <c r="S24" s="97">
        <f>+R24-Q24</f>
        <v>0</v>
      </c>
      <c r="T24" s="96"/>
      <c r="U24" s="98">
        <f>+S24+P24-V24</f>
        <v>0</v>
      </c>
      <c r="V24" s="99">
        <f>IF(M24&gt;0,(P24+S24)+IF(U$5&gt;0,P24,-8),0)+IF(AE$5&gt;0,S24,0)</f>
        <v>0</v>
      </c>
      <c r="W24" s="361"/>
      <c r="X24" s="361"/>
      <c r="Y24" s="96"/>
      <c r="Z24" s="97">
        <f>+X24-W24-Y24</f>
        <v>0</v>
      </c>
      <c r="AA24" s="363"/>
      <c r="AB24" s="100"/>
      <c r="AC24" s="97">
        <f>+AB24-AA24</f>
        <v>0</v>
      </c>
      <c r="AD24" s="96"/>
      <c r="AE24" s="98">
        <f>+AC24+Z24-IF(AE$5&gt;0,AF24/2,AF24)</f>
        <v>0</v>
      </c>
      <c r="AF24" s="99">
        <f t="shared" si="28"/>
        <v>0</v>
      </c>
      <c r="AG24" s="101"/>
      <c r="AH24" s="361"/>
      <c r="AI24" s="96"/>
      <c r="AJ24" s="102">
        <f t="shared" si="12"/>
        <v>0</v>
      </c>
      <c r="AK24" s="361"/>
      <c r="AL24" s="361"/>
      <c r="AM24" s="97">
        <f>+AL24-AK24</f>
        <v>0</v>
      </c>
      <c r="AN24" s="96"/>
      <c r="AO24" s="103">
        <f>(AJ24*2+AM24)</f>
        <v>0</v>
      </c>
      <c r="AP24" s="1278">
        <f t="shared" si="15"/>
        <v>0</v>
      </c>
      <c r="AQ24" s="1279"/>
      <c r="AR24" s="1280">
        <f>ROUND(BD24*AP24,1)</f>
        <v>0</v>
      </c>
      <c r="AS24" s="1281"/>
      <c r="AT24" s="364">
        <f t="shared" si="17"/>
        <v>0</v>
      </c>
      <c r="AV24" s="26">
        <f>+L24</f>
        <v>0</v>
      </c>
      <c r="AW24" s="26">
        <f>+V24</f>
        <v>0</v>
      </c>
      <c r="AX24" s="26">
        <f>+AF24</f>
        <v>0</v>
      </c>
      <c r="AY24" s="27">
        <f>+AO24</f>
        <v>0</v>
      </c>
      <c r="AZ24" s="26">
        <f>+L45</f>
        <v>0</v>
      </c>
      <c r="BA24" s="26">
        <f>+V45</f>
        <v>0</v>
      </c>
      <c r="BB24" s="26">
        <f>+AF45</f>
        <v>0</v>
      </c>
      <c r="BC24" s="28"/>
      <c r="BD24" s="339">
        <f>+I84</f>
        <v>3.5416625000000002</v>
      </c>
      <c r="BE24" s="340">
        <f>+BD24*AP24</f>
        <v>0</v>
      </c>
      <c r="BF24" s="341">
        <f>+BD24*AY24</f>
        <v>0</v>
      </c>
    </row>
    <row r="25" spans="1:58" ht="6.95" customHeight="1" thickBot="1">
      <c r="BC25" s="104"/>
      <c r="BD25" s="365"/>
      <c r="BE25" s="1241">
        <f>SUM(BE11:BE24)</f>
        <v>1003.4494</v>
      </c>
      <c r="BF25" s="1242">
        <f>SUM(BF11:BF24)</f>
        <v>533.47217857142857</v>
      </c>
    </row>
    <row r="26" spans="1:58" ht="10.9" customHeight="1">
      <c r="B26" s="1244" t="s">
        <v>1</v>
      </c>
      <c r="C26" s="1140">
        <f>1+AG5</f>
        <v>43241</v>
      </c>
      <c r="D26" s="1140"/>
      <c r="E26" s="1140"/>
      <c r="F26" s="1140"/>
      <c r="G26" s="1140"/>
      <c r="H26" s="1140"/>
      <c r="I26" s="1140"/>
      <c r="J26" s="1140"/>
      <c r="K26" s="1247"/>
      <c r="L26" s="1248"/>
      <c r="M26" s="1147">
        <f>1+C26</f>
        <v>43242</v>
      </c>
      <c r="N26" s="1148"/>
      <c r="O26" s="1148"/>
      <c r="P26" s="1148"/>
      <c r="Q26" s="1148"/>
      <c r="R26" s="1148"/>
      <c r="S26" s="1148"/>
      <c r="T26" s="1149"/>
      <c r="U26" s="1251"/>
      <c r="V26" s="1252"/>
      <c r="W26" s="1140">
        <f>1+M26</f>
        <v>43243</v>
      </c>
      <c r="X26" s="1140"/>
      <c r="Y26" s="1140"/>
      <c r="Z26" s="1140"/>
      <c r="AA26" s="1140"/>
      <c r="AB26" s="1140"/>
      <c r="AC26" s="1140"/>
      <c r="AD26" s="1140"/>
      <c r="AE26" s="1153"/>
      <c r="AF26" s="1154"/>
      <c r="AH26" s="1255" t="s">
        <v>18</v>
      </c>
      <c r="AI26" s="1220">
        <f>+C5</f>
        <v>43237</v>
      </c>
      <c r="AJ26" s="1218">
        <f t="shared" ref="AJ26:AO26" si="32">1+AI26</f>
        <v>43238</v>
      </c>
      <c r="AK26" s="1218">
        <f t="shared" si="32"/>
        <v>43239</v>
      </c>
      <c r="AL26" s="1219">
        <f t="shared" si="32"/>
        <v>43240</v>
      </c>
      <c r="AM26" s="1219">
        <f t="shared" si="32"/>
        <v>43241</v>
      </c>
      <c r="AN26" s="1220">
        <f t="shared" si="32"/>
        <v>43242</v>
      </c>
      <c r="AO26" s="1220">
        <f t="shared" si="32"/>
        <v>43243</v>
      </c>
      <c r="AP26" s="1222" t="s">
        <v>19</v>
      </c>
      <c r="AQ26" s="1223"/>
      <c r="AR26" s="1224" t="s">
        <v>20</v>
      </c>
      <c r="AS26" s="1225"/>
      <c r="AT26" s="1230" t="s">
        <v>21</v>
      </c>
      <c r="AW26" s="1233">
        <f>+AL26</f>
        <v>43240</v>
      </c>
      <c r="AX26" s="1234"/>
      <c r="AZ26" s="1256" t="s">
        <v>22</v>
      </c>
      <c r="BA26" s="1256"/>
      <c r="BB26" s="1256"/>
      <c r="BC26" s="1256"/>
      <c r="BD26" s="365"/>
      <c r="BE26" s="1241"/>
      <c r="BF26" s="1243"/>
    </row>
    <row r="27" spans="1:58" ht="10.9" customHeight="1">
      <c r="B27" s="1245"/>
      <c r="C27" s="1142"/>
      <c r="D27" s="1142"/>
      <c r="E27" s="1142"/>
      <c r="F27" s="1142"/>
      <c r="G27" s="1142"/>
      <c r="H27" s="1142"/>
      <c r="I27" s="1142"/>
      <c r="J27" s="1142"/>
      <c r="K27" s="1249"/>
      <c r="L27" s="1250"/>
      <c r="M27" s="1150"/>
      <c r="N27" s="1151"/>
      <c r="O27" s="1151"/>
      <c r="P27" s="1151"/>
      <c r="Q27" s="1151"/>
      <c r="R27" s="1151"/>
      <c r="S27" s="1151"/>
      <c r="T27" s="1152"/>
      <c r="U27" s="1253"/>
      <c r="V27" s="1254"/>
      <c r="W27" s="1142"/>
      <c r="X27" s="1142"/>
      <c r="Y27" s="1142"/>
      <c r="Z27" s="1142"/>
      <c r="AA27" s="1142"/>
      <c r="AB27" s="1142"/>
      <c r="AC27" s="1142"/>
      <c r="AD27" s="1142"/>
      <c r="AE27" s="1155"/>
      <c r="AF27" s="1156"/>
      <c r="AH27" s="1255"/>
      <c r="AI27" s="1220"/>
      <c r="AJ27" s="1218"/>
      <c r="AK27" s="1218"/>
      <c r="AL27" s="1219"/>
      <c r="AM27" s="1219"/>
      <c r="AN27" s="1220"/>
      <c r="AO27" s="1220"/>
      <c r="AP27" s="1222"/>
      <c r="AQ27" s="1223"/>
      <c r="AR27" s="1226"/>
      <c r="AS27" s="1227"/>
      <c r="AT27" s="1231"/>
      <c r="AW27" s="1235"/>
      <c r="AX27" s="1236"/>
      <c r="AZ27" s="1257">
        <f>SUM(AV11:BB24)</f>
        <v>228</v>
      </c>
      <c r="BA27" s="1258"/>
      <c r="BB27" s="1258"/>
      <c r="BC27" s="105"/>
      <c r="BD27" s="365"/>
      <c r="BE27" s="366"/>
    </row>
    <row r="28" spans="1:58" ht="15.2" customHeight="1">
      <c r="B28" s="1245"/>
      <c r="C28" s="1202" t="s">
        <v>10</v>
      </c>
      <c r="D28" s="1260"/>
      <c r="E28" s="1265" t="s">
        <v>11</v>
      </c>
      <c r="F28" s="1266" t="s">
        <v>12</v>
      </c>
      <c r="G28" s="1212" t="s">
        <v>10</v>
      </c>
      <c r="H28" s="1260"/>
      <c r="I28" s="1266" t="s">
        <v>12</v>
      </c>
      <c r="J28" s="1269" t="s">
        <v>13</v>
      </c>
      <c r="K28" s="1221" t="s">
        <v>14</v>
      </c>
      <c r="L28" s="1200" t="s">
        <v>15</v>
      </c>
      <c r="M28" s="1202" t="s">
        <v>10</v>
      </c>
      <c r="N28" s="1203"/>
      <c r="O28" s="1208" t="s">
        <v>11</v>
      </c>
      <c r="P28" s="1210" t="s">
        <v>12</v>
      </c>
      <c r="Q28" s="1212" t="s">
        <v>10</v>
      </c>
      <c r="R28" s="1213"/>
      <c r="S28" s="1210" t="s">
        <v>12</v>
      </c>
      <c r="T28" s="1239" t="s">
        <v>13</v>
      </c>
      <c r="U28" s="1198" t="s">
        <v>14</v>
      </c>
      <c r="V28" s="1200" t="s">
        <v>15</v>
      </c>
      <c r="W28" s="1202" t="s">
        <v>10</v>
      </c>
      <c r="X28" s="1203"/>
      <c r="Y28" s="1208" t="s">
        <v>11</v>
      </c>
      <c r="Z28" s="1210" t="s">
        <v>12</v>
      </c>
      <c r="AA28" s="1212" t="s">
        <v>10</v>
      </c>
      <c r="AB28" s="1213"/>
      <c r="AC28" s="1210" t="s">
        <v>12</v>
      </c>
      <c r="AD28" s="1239" t="s">
        <v>13</v>
      </c>
      <c r="AE28" s="1198" t="s">
        <v>14</v>
      </c>
      <c r="AF28" s="1200"/>
      <c r="AH28" s="1255"/>
      <c r="AI28" s="1220"/>
      <c r="AJ28" s="1218"/>
      <c r="AK28" s="1218"/>
      <c r="AL28" s="1219"/>
      <c r="AM28" s="1219"/>
      <c r="AN28" s="1220"/>
      <c r="AO28" s="1220"/>
      <c r="AP28" s="1222"/>
      <c r="AQ28" s="1223"/>
      <c r="AR28" s="1226"/>
      <c r="AS28" s="1227"/>
      <c r="AT28" s="1231"/>
      <c r="AW28" s="1235"/>
      <c r="AX28" s="1236"/>
      <c r="AZ28" s="1259"/>
      <c r="BA28" s="1259"/>
      <c r="BB28" s="1259"/>
      <c r="BC28" s="105"/>
      <c r="BD28" s="365"/>
      <c r="BE28" s="365"/>
    </row>
    <row r="29" spans="1:58" ht="15.2" customHeight="1">
      <c r="B29" s="1245"/>
      <c r="C29" s="1261"/>
      <c r="D29" s="1262"/>
      <c r="E29" s="1208"/>
      <c r="F29" s="1210"/>
      <c r="G29" s="1267"/>
      <c r="H29" s="1262"/>
      <c r="I29" s="1210"/>
      <c r="J29" s="1239"/>
      <c r="K29" s="1198"/>
      <c r="L29" s="1200"/>
      <c r="M29" s="1204"/>
      <c r="N29" s="1205"/>
      <c r="O29" s="1208"/>
      <c r="P29" s="1210"/>
      <c r="Q29" s="1214"/>
      <c r="R29" s="1215"/>
      <c r="S29" s="1210"/>
      <c r="T29" s="1239"/>
      <c r="U29" s="1198"/>
      <c r="V29" s="1200"/>
      <c r="W29" s="1204"/>
      <c r="X29" s="1205"/>
      <c r="Y29" s="1208"/>
      <c r="Z29" s="1210"/>
      <c r="AA29" s="1214"/>
      <c r="AB29" s="1215"/>
      <c r="AC29" s="1210"/>
      <c r="AD29" s="1239"/>
      <c r="AE29" s="1198"/>
      <c r="AF29" s="1200"/>
      <c r="AH29" s="1255"/>
      <c r="AI29" s="1220"/>
      <c r="AJ29" s="1218"/>
      <c r="AK29" s="1218"/>
      <c r="AL29" s="1219"/>
      <c r="AM29" s="1219"/>
      <c r="AN29" s="1220"/>
      <c r="AO29" s="1220"/>
      <c r="AP29" s="1222"/>
      <c r="AQ29" s="1223"/>
      <c r="AR29" s="1226"/>
      <c r="AS29" s="1227"/>
      <c r="AT29" s="1231"/>
      <c r="AW29" s="1235"/>
      <c r="AX29" s="1236"/>
      <c r="AY29" s="6" t="s">
        <v>23</v>
      </c>
      <c r="BD29" s="367">
        <f>+AZ27-AW47</f>
        <v>110</v>
      </c>
      <c r="BE29" s="368" t="s">
        <v>24</v>
      </c>
    </row>
    <row r="30" spans="1:58" ht="15.2" customHeight="1">
      <c r="B30" s="1245"/>
      <c r="C30" s="1261"/>
      <c r="D30" s="1262"/>
      <c r="E30" s="1208"/>
      <c r="F30" s="1210"/>
      <c r="G30" s="1267"/>
      <c r="H30" s="1262"/>
      <c r="I30" s="1210"/>
      <c r="J30" s="1239"/>
      <c r="K30" s="1198"/>
      <c r="L30" s="1200"/>
      <c r="M30" s="1204"/>
      <c r="N30" s="1205"/>
      <c r="O30" s="1208"/>
      <c r="P30" s="1210"/>
      <c r="Q30" s="1214"/>
      <c r="R30" s="1215"/>
      <c r="S30" s="1210"/>
      <c r="T30" s="1239"/>
      <c r="U30" s="1198"/>
      <c r="V30" s="1200"/>
      <c r="W30" s="1204"/>
      <c r="X30" s="1205"/>
      <c r="Y30" s="1208"/>
      <c r="Z30" s="1210"/>
      <c r="AA30" s="1214"/>
      <c r="AB30" s="1215"/>
      <c r="AC30" s="1210"/>
      <c r="AD30" s="1239"/>
      <c r="AE30" s="1198"/>
      <c r="AF30" s="1200"/>
      <c r="AH30" s="1255"/>
      <c r="AI30" s="1220"/>
      <c r="AJ30" s="1218"/>
      <c r="AK30" s="1218"/>
      <c r="AL30" s="1219"/>
      <c r="AM30" s="1219"/>
      <c r="AN30" s="1220"/>
      <c r="AO30" s="1220"/>
      <c r="AP30" s="1222"/>
      <c r="AQ30" s="1223"/>
      <c r="AR30" s="1226"/>
      <c r="AS30" s="1227"/>
      <c r="AT30" s="1231"/>
      <c r="AW30" s="1235"/>
      <c r="AX30" s="1236"/>
    </row>
    <row r="31" spans="1:58" ht="15.2" customHeight="1" thickBot="1">
      <c r="B31" s="1246"/>
      <c r="C31" s="1263"/>
      <c r="D31" s="1264"/>
      <c r="E31" s="1209"/>
      <c r="F31" s="1211"/>
      <c r="G31" s="1268"/>
      <c r="H31" s="1264"/>
      <c r="I31" s="1211"/>
      <c r="J31" s="1240"/>
      <c r="K31" s="1199"/>
      <c r="L31" s="1201"/>
      <c r="M31" s="1206"/>
      <c r="N31" s="1207"/>
      <c r="O31" s="1209"/>
      <c r="P31" s="1211"/>
      <c r="Q31" s="1216"/>
      <c r="R31" s="1217"/>
      <c r="S31" s="1211"/>
      <c r="T31" s="1240"/>
      <c r="U31" s="1199"/>
      <c r="V31" s="1201"/>
      <c r="W31" s="1206"/>
      <c r="X31" s="1207"/>
      <c r="Y31" s="1209"/>
      <c r="Z31" s="1211"/>
      <c r="AA31" s="1216"/>
      <c r="AB31" s="1217"/>
      <c r="AC31" s="1211"/>
      <c r="AD31" s="1240"/>
      <c r="AE31" s="1199"/>
      <c r="AF31" s="1201"/>
      <c r="AH31" s="1255"/>
      <c r="AI31" s="1220"/>
      <c r="AJ31" s="1218"/>
      <c r="AK31" s="1218"/>
      <c r="AL31" s="1219"/>
      <c r="AM31" s="1219"/>
      <c r="AN31" s="1220"/>
      <c r="AO31" s="1220"/>
      <c r="AP31" s="1222"/>
      <c r="AQ31" s="1223"/>
      <c r="AR31" s="1228"/>
      <c r="AS31" s="1229"/>
      <c r="AT31" s="1232"/>
      <c r="AW31" s="1237"/>
      <c r="AX31" s="1238"/>
    </row>
    <row r="32" spans="1:58" ht="14.1" customHeight="1">
      <c r="B32" s="15" t="str">
        <f t="shared" ref="B32:B45" si="33">+B11</f>
        <v>Eduardo Segura D.</v>
      </c>
      <c r="C32" s="334">
        <v>7</v>
      </c>
      <c r="D32" s="342">
        <v>16</v>
      </c>
      <c r="E32" s="30">
        <v>1</v>
      </c>
      <c r="F32" s="31">
        <f t="shared" ref="F32:F45" si="34">+D32-C32-E32</f>
        <v>8</v>
      </c>
      <c r="G32" s="33"/>
      <c r="H32" s="47"/>
      <c r="I32" s="31">
        <f t="shared" ref="I32:I45" si="35">+H32-G32</f>
        <v>0</v>
      </c>
      <c r="J32" s="30"/>
      <c r="K32" s="32">
        <f t="shared" ref="K32:K45" si="36">+I32+F32-L32</f>
        <v>8</v>
      </c>
      <c r="L32" s="20">
        <f>IF(C32&gt;0,(F32+I32)+IF(K$26&gt;0,F32,-8),0)+IF(U$26&gt;0,I32,0)</f>
        <v>0</v>
      </c>
      <c r="M32" s="342">
        <v>8</v>
      </c>
      <c r="N32" s="342">
        <v>15</v>
      </c>
      <c r="O32" s="30">
        <v>1</v>
      </c>
      <c r="P32" s="31">
        <f t="shared" ref="P32:P45" si="37">+N32-M32-O32</f>
        <v>6</v>
      </c>
      <c r="Q32" s="106"/>
      <c r="R32" s="107"/>
      <c r="S32" s="31">
        <f t="shared" ref="S32:S45" si="38">+R32-Q32</f>
        <v>0</v>
      </c>
      <c r="T32" s="30"/>
      <c r="U32" s="32">
        <f t="shared" ref="U32:U45" si="39">+S32+P32-V32</f>
        <v>8</v>
      </c>
      <c r="V32" s="20">
        <f>IF(M32&gt;0,(P32+S32)+IF(U$26&gt;0,P32,-8),0)+IF(AE$26&gt;0,S32,0)</f>
        <v>-2</v>
      </c>
      <c r="W32" s="369">
        <v>7</v>
      </c>
      <c r="X32" s="370">
        <v>16</v>
      </c>
      <c r="Y32" s="108">
        <v>1</v>
      </c>
      <c r="Z32" s="109">
        <f t="shared" ref="Z32:Z45" si="40">+X32-W32-Y32</f>
        <v>8</v>
      </c>
      <c r="AA32" s="370"/>
      <c r="AB32" s="18"/>
      <c r="AC32" s="109">
        <f t="shared" ref="AC32:AC45" si="41">+AB32-AA32</f>
        <v>0</v>
      </c>
      <c r="AD32" s="108"/>
      <c r="AE32" s="110">
        <f t="shared" ref="AE32:AE45" si="42">+AC32+Z32-AF32</f>
        <v>8</v>
      </c>
      <c r="AF32" s="111">
        <f t="shared" ref="AF32:AF45" si="43">IF(W32&gt;0,(Z32+AC32)+IF(AE$26&gt;0,0+Z32,-8),0)</f>
        <v>0</v>
      </c>
      <c r="AG32" s="55"/>
      <c r="AH32" s="112">
        <v>0</v>
      </c>
      <c r="AI32" s="113">
        <f t="shared" ref="AI32:AI45" si="44">+K11+(IF(ISBLANK($K$5),-8,0))</f>
        <v>-8</v>
      </c>
      <c r="AJ32" s="113">
        <f t="shared" ref="AJ32:AJ45" si="45">IF(ISBLANK($U$5),-8,0)+U11</f>
        <v>0</v>
      </c>
      <c r="AK32" s="113">
        <f>IF(ISBLANK($AE$5),-8,0)+AE11</f>
        <v>0.5</v>
      </c>
      <c r="AL32" s="113">
        <f t="shared" ref="AL32:AL45" si="46">IF(ISBLANK($AO$5),-8,0)+AO11+AW32</f>
        <v>0</v>
      </c>
      <c r="AM32" s="113">
        <f t="shared" ref="AM32:AM45" si="47">IF(ISBLANK($K$26),-8,0)+K32</f>
        <v>0</v>
      </c>
      <c r="AN32" s="113">
        <f t="shared" ref="AN32:AN45" si="48">IF(ISBLANK($U$26),-8,0)+U32</f>
        <v>0</v>
      </c>
      <c r="AO32" s="113">
        <f t="shared" ref="AO32:AO45" si="49">IF(ISBLANK($AE$26),-8,0)+AE32</f>
        <v>0</v>
      </c>
      <c r="AP32" s="114">
        <f t="shared" ref="AP32:AP45" si="50">SUM(AH32:AO32)</f>
        <v>-7.5</v>
      </c>
      <c r="AQ32" s="55"/>
      <c r="AR32" s="1159">
        <f t="shared" ref="AR32:AR40" si="51">+X71*Q71</f>
        <v>0</v>
      </c>
      <c r="AS32" s="1197"/>
      <c r="AT32" s="117">
        <f t="shared" ref="AT32:AT41" si="52">IF(K11+L11&gt;0,1,0)+IF(U11+V11&gt;0,1,0)+IF(AE11+AF11&gt;0,1,0)+IF(AO11&gt;3,1,0)+IF(K32+L32&gt;0,1,0)+IF(U32+V32&gt;0,1,0)+IF(AE32+AF32&gt;0,1,0)</f>
        <v>6</v>
      </c>
      <c r="AU32" s="55"/>
      <c r="AV32" s="55"/>
      <c r="AW32" s="1134">
        <v>-16</v>
      </c>
      <c r="AX32" s="1135"/>
      <c r="BD32" s="115"/>
    </row>
    <row r="33" spans="1:56" ht="14.1" customHeight="1">
      <c r="B33" s="29" t="str">
        <f t="shared" si="33"/>
        <v>Cesar Mendez M.</v>
      </c>
      <c r="C33" s="334">
        <v>18</v>
      </c>
      <c r="D33" s="342">
        <v>24</v>
      </c>
      <c r="E33" s="30">
        <v>1</v>
      </c>
      <c r="F33" s="31">
        <f t="shared" si="34"/>
        <v>5</v>
      </c>
      <c r="G33" s="33">
        <v>0</v>
      </c>
      <c r="H33" s="346">
        <v>7</v>
      </c>
      <c r="I33" s="31">
        <f t="shared" si="35"/>
        <v>7</v>
      </c>
      <c r="J33" s="30">
        <v>8</v>
      </c>
      <c r="K33" s="32">
        <f t="shared" si="36"/>
        <v>8</v>
      </c>
      <c r="L33" s="20">
        <f>IF(C33&gt;0,(F33+I33)+IF(K$26&gt;0,F33,-8),0)+IF(U$26&gt;0,I33,0)</f>
        <v>4</v>
      </c>
      <c r="M33" s="342">
        <v>7</v>
      </c>
      <c r="N33" s="342">
        <v>22</v>
      </c>
      <c r="O33" s="30">
        <v>1</v>
      </c>
      <c r="P33" s="31">
        <f t="shared" si="37"/>
        <v>14</v>
      </c>
      <c r="Q33" s="346"/>
      <c r="R33" s="346"/>
      <c r="S33" s="31">
        <f t="shared" si="38"/>
        <v>0</v>
      </c>
      <c r="T33" s="30"/>
      <c r="U33" s="32">
        <f t="shared" si="39"/>
        <v>8</v>
      </c>
      <c r="V33" s="20">
        <f>IF(M33&gt;0,(P33+S33)+IF(U$26&gt;0,P33,-8),0)+IF(AE$26&gt;0,S33,0)</f>
        <v>6</v>
      </c>
      <c r="W33" s="334">
        <v>7</v>
      </c>
      <c r="X33" s="342">
        <v>20</v>
      </c>
      <c r="Y33" s="30">
        <v>1</v>
      </c>
      <c r="Z33" s="31">
        <f t="shared" si="40"/>
        <v>12</v>
      </c>
      <c r="AA33" s="342"/>
      <c r="AB33" s="346"/>
      <c r="AC33" s="31">
        <f t="shared" si="41"/>
        <v>0</v>
      </c>
      <c r="AD33" s="30"/>
      <c r="AE33" s="32">
        <f t="shared" si="42"/>
        <v>8</v>
      </c>
      <c r="AF33" s="20">
        <f t="shared" si="43"/>
        <v>4</v>
      </c>
      <c r="AG33" s="55"/>
      <c r="AH33" s="112">
        <v>0</v>
      </c>
      <c r="AI33" s="113">
        <f t="shared" si="44"/>
        <v>0</v>
      </c>
      <c r="AJ33" s="113">
        <f t="shared" si="45"/>
        <v>0</v>
      </c>
      <c r="AK33" s="113">
        <f>IF(ISBLANK($AE$5),-8,0)+AE12</f>
        <v>-7</v>
      </c>
      <c r="AL33" s="113">
        <f t="shared" si="46"/>
        <v>0</v>
      </c>
      <c r="AM33" s="113">
        <f t="shared" si="47"/>
        <v>0</v>
      </c>
      <c r="AN33" s="113">
        <f t="shared" si="48"/>
        <v>0</v>
      </c>
      <c r="AO33" s="113">
        <f t="shared" si="49"/>
        <v>0</v>
      </c>
      <c r="AP33" s="114">
        <f t="shared" si="50"/>
        <v>-7</v>
      </c>
      <c r="AQ33" s="55"/>
      <c r="AR33" s="1159">
        <f t="shared" si="51"/>
        <v>1.557142857142864</v>
      </c>
      <c r="AS33" s="1160"/>
      <c r="AT33" s="117">
        <f t="shared" si="52"/>
        <v>7</v>
      </c>
      <c r="AU33" s="55"/>
      <c r="AV33" s="55"/>
      <c r="AW33" s="1134">
        <v>-35</v>
      </c>
      <c r="AX33" s="1135"/>
    </row>
    <row r="34" spans="1:56" ht="14.1" customHeight="1">
      <c r="B34" s="29" t="str">
        <f t="shared" si="33"/>
        <v>Miguel Tejada Ll.</v>
      </c>
      <c r="C34" s="334">
        <v>7</v>
      </c>
      <c r="D34" s="342">
        <v>18</v>
      </c>
      <c r="E34" s="30">
        <v>1</v>
      </c>
      <c r="F34" s="31">
        <f t="shared" si="34"/>
        <v>10</v>
      </c>
      <c r="G34" s="346"/>
      <c r="H34" s="346"/>
      <c r="I34" s="31">
        <f t="shared" si="35"/>
        <v>0</v>
      </c>
      <c r="J34" s="30"/>
      <c r="K34" s="32">
        <f t="shared" si="36"/>
        <v>8</v>
      </c>
      <c r="L34" s="20">
        <f t="shared" ref="L34:L45" si="53">IF(C34&gt;0,(F34+I34)+IF(K$26&gt;0,F34,-8),0)+IF(U$26&gt;0,I34,0)</f>
        <v>2</v>
      </c>
      <c r="M34" s="334">
        <v>7</v>
      </c>
      <c r="N34" s="342">
        <v>18</v>
      </c>
      <c r="O34" s="30">
        <v>1</v>
      </c>
      <c r="P34" s="31">
        <f t="shared" si="37"/>
        <v>10</v>
      </c>
      <c r="Q34" s="106"/>
      <c r="R34" s="106"/>
      <c r="S34" s="31">
        <f t="shared" si="38"/>
        <v>0</v>
      </c>
      <c r="T34" s="30"/>
      <c r="U34" s="32">
        <f t="shared" si="39"/>
        <v>8</v>
      </c>
      <c r="V34" s="20">
        <f t="shared" ref="V34:V45" si="54">IF(M34&gt;0,(P34+S34)+IF(U$26&gt;0,P34,-8),0)+IF(AE$26&gt;0,S34,0)</f>
        <v>2</v>
      </c>
      <c r="W34" s="334">
        <v>7</v>
      </c>
      <c r="X34" s="342">
        <v>18</v>
      </c>
      <c r="Y34" s="30">
        <v>1</v>
      </c>
      <c r="Z34" s="31">
        <f t="shared" si="40"/>
        <v>10</v>
      </c>
      <c r="AA34" s="342"/>
      <c r="AB34" s="116"/>
      <c r="AC34" s="31">
        <f t="shared" si="41"/>
        <v>0</v>
      </c>
      <c r="AD34" s="30"/>
      <c r="AE34" s="32">
        <f t="shared" si="42"/>
        <v>8</v>
      </c>
      <c r="AF34" s="20">
        <f t="shared" si="43"/>
        <v>2</v>
      </c>
      <c r="AG34" s="55"/>
      <c r="AH34" s="112">
        <v>0</v>
      </c>
      <c r="AI34" s="113">
        <f t="shared" si="44"/>
        <v>0</v>
      </c>
      <c r="AJ34" s="113">
        <f t="shared" si="45"/>
        <v>0</v>
      </c>
      <c r="AK34" s="113">
        <f>IF(ISBLANK($AE$5),-8,0)+AE13</f>
        <v>0</v>
      </c>
      <c r="AL34" s="113">
        <f t="shared" si="46"/>
        <v>0</v>
      </c>
      <c r="AM34" s="113">
        <f t="shared" si="47"/>
        <v>0</v>
      </c>
      <c r="AN34" s="113">
        <f t="shared" si="48"/>
        <v>0</v>
      </c>
      <c r="AO34" s="113">
        <f t="shared" si="49"/>
        <v>0</v>
      </c>
      <c r="AP34" s="114">
        <f t="shared" si="50"/>
        <v>0</v>
      </c>
      <c r="AQ34" s="55"/>
      <c r="AR34" s="1159">
        <f t="shared" si="51"/>
        <v>0</v>
      </c>
      <c r="AS34" s="1160"/>
      <c r="AT34" s="118">
        <f t="shared" si="52"/>
        <v>6</v>
      </c>
      <c r="AU34" s="55"/>
      <c r="AV34" s="55"/>
      <c r="AW34" s="1134"/>
      <c r="AX34" s="1135"/>
    </row>
    <row r="35" spans="1:56" ht="14.1" customHeight="1">
      <c r="B35" s="29" t="str">
        <f t="shared" si="33"/>
        <v>Alejandro Dueñas</v>
      </c>
      <c r="C35" s="372">
        <v>18</v>
      </c>
      <c r="D35" s="348">
        <v>24</v>
      </c>
      <c r="E35" s="119">
        <v>1</v>
      </c>
      <c r="F35" s="120">
        <f t="shared" si="34"/>
        <v>5</v>
      </c>
      <c r="G35" s="346">
        <v>0</v>
      </c>
      <c r="H35" s="346">
        <v>7</v>
      </c>
      <c r="I35" s="120">
        <f t="shared" si="35"/>
        <v>7</v>
      </c>
      <c r="J35" s="119">
        <v>8</v>
      </c>
      <c r="K35" s="121">
        <f t="shared" si="36"/>
        <v>8</v>
      </c>
      <c r="L35" s="20">
        <f t="shared" si="53"/>
        <v>4</v>
      </c>
      <c r="M35" s="342">
        <v>7</v>
      </c>
      <c r="N35" s="342">
        <v>16</v>
      </c>
      <c r="O35" s="30">
        <v>1</v>
      </c>
      <c r="P35" s="31">
        <f t="shared" si="37"/>
        <v>8</v>
      </c>
      <c r="Q35" s="346"/>
      <c r="R35" s="346"/>
      <c r="S35" s="120">
        <f t="shared" si="38"/>
        <v>0</v>
      </c>
      <c r="T35" s="30"/>
      <c r="U35" s="32">
        <f t="shared" si="39"/>
        <v>8</v>
      </c>
      <c r="V35" s="20">
        <f t="shared" si="54"/>
        <v>0</v>
      </c>
      <c r="W35" s="334">
        <v>7</v>
      </c>
      <c r="X35" s="342">
        <v>20</v>
      </c>
      <c r="Y35" s="30">
        <v>1</v>
      </c>
      <c r="Z35" s="31">
        <f t="shared" si="40"/>
        <v>12</v>
      </c>
      <c r="AA35" s="342"/>
      <c r="AB35" s="342"/>
      <c r="AC35" s="31">
        <f t="shared" si="41"/>
        <v>0</v>
      </c>
      <c r="AD35" s="30"/>
      <c r="AE35" s="32">
        <f t="shared" si="42"/>
        <v>8</v>
      </c>
      <c r="AF35" s="20">
        <f t="shared" si="43"/>
        <v>4</v>
      </c>
      <c r="AG35" s="55"/>
      <c r="AH35" s="112">
        <v>0</v>
      </c>
      <c r="AI35" s="113">
        <f t="shared" si="44"/>
        <v>0</v>
      </c>
      <c r="AJ35" s="113">
        <f t="shared" si="45"/>
        <v>0</v>
      </c>
      <c r="AK35" s="113">
        <f>IF(ISBLANK($AE$5),-8,0)+AE14</f>
        <v>-7</v>
      </c>
      <c r="AL35" s="113">
        <f t="shared" si="46"/>
        <v>0</v>
      </c>
      <c r="AM35" s="113">
        <f t="shared" si="47"/>
        <v>0</v>
      </c>
      <c r="AN35" s="113">
        <f t="shared" si="48"/>
        <v>0</v>
      </c>
      <c r="AO35" s="113">
        <f t="shared" si="49"/>
        <v>0</v>
      </c>
      <c r="AP35" s="114">
        <f t="shared" si="50"/>
        <v>-7</v>
      </c>
      <c r="AQ35" s="55"/>
      <c r="AR35" s="1159">
        <f t="shared" si="51"/>
        <v>17.033142857142863</v>
      </c>
      <c r="AS35" s="1160"/>
      <c r="AT35" s="118">
        <f t="shared" si="52"/>
        <v>7</v>
      </c>
      <c r="AU35" s="55"/>
      <c r="AV35" s="55"/>
      <c r="AW35" s="1195">
        <v>-13</v>
      </c>
      <c r="AX35" s="1196"/>
      <c r="AY35" s="122"/>
      <c r="BD35" s="115"/>
    </row>
    <row r="36" spans="1:56" ht="14.1" customHeight="1">
      <c r="B36" s="48" t="str">
        <f t="shared" si="33"/>
        <v>Juan Manrique V.</v>
      </c>
      <c r="C36" s="334">
        <v>8</v>
      </c>
      <c r="D36" s="342">
        <v>18</v>
      </c>
      <c r="E36" s="30">
        <v>1</v>
      </c>
      <c r="F36" s="31">
        <f t="shared" si="34"/>
        <v>9</v>
      </c>
      <c r="G36" s="33"/>
      <c r="H36" s="47"/>
      <c r="I36" s="31">
        <f t="shared" si="35"/>
        <v>0</v>
      </c>
      <c r="J36" s="30"/>
      <c r="K36" s="32">
        <f t="shared" si="36"/>
        <v>8</v>
      </c>
      <c r="L36" s="20">
        <f t="shared" si="53"/>
        <v>1</v>
      </c>
      <c r="M36" s="342">
        <v>8</v>
      </c>
      <c r="N36" s="342">
        <v>18</v>
      </c>
      <c r="O36" s="30">
        <v>1</v>
      </c>
      <c r="P36" s="31">
        <f t="shared" si="37"/>
        <v>9</v>
      </c>
      <c r="Q36" s="106"/>
      <c r="R36" s="106"/>
      <c r="S36" s="31">
        <f t="shared" si="38"/>
        <v>0</v>
      </c>
      <c r="T36" s="30"/>
      <c r="U36" s="32">
        <f t="shared" si="39"/>
        <v>8</v>
      </c>
      <c r="V36" s="20">
        <f t="shared" si="54"/>
        <v>1</v>
      </c>
      <c r="W36" s="334">
        <v>8</v>
      </c>
      <c r="X36" s="342">
        <v>18</v>
      </c>
      <c r="Y36" s="30">
        <v>1</v>
      </c>
      <c r="Z36" s="31">
        <f t="shared" si="40"/>
        <v>9</v>
      </c>
      <c r="AA36" s="342"/>
      <c r="AB36" s="342"/>
      <c r="AC36" s="31">
        <f t="shared" si="41"/>
        <v>0</v>
      </c>
      <c r="AD36" s="30"/>
      <c r="AE36" s="32">
        <f t="shared" si="42"/>
        <v>8</v>
      </c>
      <c r="AF36" s="20">
        <f t="shared" si="43"/>
        <v>1</v>
      </c>
      <c r="AG36" s="55"/>
      <c r="AH36" s="112">
        <v>0</v>
      </c>
      <c r="AI36" s="113">
        <f t="shared" si="44"/>
        <v>-8</v>
      </c>
      <c r="AJ36" s="113">
        <f t="shared" si="45"/>
        <v>0</v>
      </c>
      <c r="AK36" s="113">
        <f>IF(ISBLANK($AE$5),-8,0)+AE15</f>
        <v>0</v>
      </c>
      <c r="AL36" s="113">
        <f t="shared" si="46"/>
        <v>0</v>
      </c>
      <c r="AM36" s="113">
        <f t="shared" si="47"/>
        <v>0</v>
      </c>
      <c r="AN36" s="113">
        <f t="shared" si="48"/>
        <v>0</v>
      </c>
      <c r="AO36" s="113">
        <f t="shared" si="49"/>
        <v>0</v>
      </c>
      <c r="AP36" s="114">
        <f t="shared" si="50"/>
        <v>-8</v>
      </c>
      <c r="AQ36" s="55"/>
      <c r="AR36" s="1159">
        <f t="shared" si="51"/>
        <v>0</v>
      </c>
      <c r="AS36" s="1160"/>
      <c r="AT36" s="118">
        <f t="shared" si="52"/>
        <v>6</v>
      </c>
      <c r="AU36" s="55"/>
      <c r="AV36" s="55"/>
      <c r="AW36" s="1195">
        <v>-14</v>
      </c>
      <c r="AX36" s="1196"/>
      <c r="AZ36" s="115"/>
      <c r="BD36" s="115"/>
    </row>
    <row r="37" spans="1:56" ht="14.1" customHeight="1">
      <c r="B37" s="123" t="str">
        <f t="shared" si="33"/>
        <v xml:space="preserve"> Irving Huaringa B.</v>
      </c>
      <c r="C37" s="334">
        <v>8</v>
      </c>
      <c r="D37" s="342">
        <v>16</v>
      </c>
      <c r="E37" s="30">
        <v>1</v>
      </c>
      <c r="F37" s="31">
        <f>+D37-C37-E37</f>
        <v>7</v>
      </c>
      <c r="G37" s="33"/>
      <c r="H37" s="346"/>
      <c r="I37" s="31">
        <f>+H37-G37</f>
        <v>0</v>
      </c>
      <c r="J37" s="30"/>
      <c r="K37" s="32">
        <f>+I37+F37-L37</f>
        <v>8</v>
      </c>
      <c r="L37" s="20">
        <f t="shared" si="53"/>
        <v>-1</v>
      </c>
      <c r="M37" s="342">
        <v>8</v>
      </c>
      <c r="N37" s="342">
        <v>16</v>
      </c>
      <c r="O37" s="30">
        <v>1</v>
      </c>
      <c r="P37" s="31">
        <f>+N37-M37-O37</f>
        <v>7</v>
      </c>
      <c r="Q37" s="106"/>
      <c r="R37" s="106"/>
      <c r="S37" s="31">
        <f>+R37-Q37</f>
        <v>0</v>
      </c>
      <c r="T37" s="30"/>
      <c r="U37" s="32">
        <f>+S37+P37-V37</f>
        <v>8</v>
      </c>
      <c r="V37" s="20">
        <f t="shared" si="54"/>
        <v>-1</v>
      </c>
      <c r="W37" s="334">
        <v>7</v>
      </c>
      <c r="X37" s="342">
        <v>16</v>
      </c>
      <c r="Y37" s="30">
        <v>1</v>
      </c>
      <c r="Z37" s="31">
        <f>+X37-W37-Y37</f>
        <v>8</v>
      </c>
      <c r="AA37" s="342"/>
      <c r="AB37" s="342"/>
      <c r="AC37" s="31">
        <f>+AB37-AA37</f>
        <v>0</v>
      </c>
      <c r="AD37" s="30"/>
      <c r="AE37" s="32">
        <f>+AC37+Z37-AF37</f>
        <v>8</v>
      </c>
      <c r="AF37" s="20">
        <f t="shared" si="43"/>
        <v>0</v>
      </c>
      <c r="AG37" s="55"/>
      <c r="AH37" s="112">
        <v>0</v>
      </c>
      <c r="AI37" s="113">
        <f t="shared" si="44"/>
        <v>0</v>
      </c>
      <c r="AJ37" s="113">
        <f t="shared" si="45"/>
        <v>0</v>
      </c>
      <c r="AK37" s="124">
        <f>IF(ISBLANK($AE$5),-5,0)+AE16</f>
        <v>0</v>
      </c>
      <c r="AL37" s="113">
        <f t="shared" si="46"/>
        <v>0</v>
      </c>
      <c r="AM37" s="125">
        <f>IF(ISBLANK($K$26),-8,0)+K37</f>
        <v>0</v>
      </c>
      <c r="AN37" s="125">
        <f>IF(ISBLANK($U$26),-8,0)+U37</f>
        <v>0</v>
      </c>
      <c r="AO37" s="125">
        <f>IF(ISBLANK($AE$26),-8,0)+AE37</f>
        <v>0</v>
      </c>
      <c r="AP37" s="114">
        <f>SUM(AH37:AO37)</f>
        <v>0</v>
      </c>
      <c r="AQ37" s="55"/>
      <c r="AR37" s="1159">
        <f t="shared" si="51"/>
        <v>0</v>
      </c>
      <c r="AS37" s="1160"/>
      <c r="AT37" s="118">
        <f t="shared" si="52"/>
        <v>6</v>
      </c>
      <c r="AU37" s="55"/>
      <c r="AV37" s="55"/>
      <c r="AW37" s="1134"/>
      <c r="AX37" s="1135"/>
    </row>
    <row r="38" spans="1:56" ht="14.1" customHeight="1">
      <c r="B38" s="48" t="str">
        <f t="shared" si="33"/>
        <v xml:space="preserve">  -  .  -  </v>
      </c>
      <c r="C38" s="334"/>
      <c r="D38" s="342"/>
      <c r="E38" s="30"/>
      <c r="F38" s="31">
        <f t="shared" si="34"/>
        <v>0</v>
      </c>
      <c r="G38" s="33"/>
      <c r="H38" s="346"/>
      <c r="I38" s="31">
        <f t="shared" si="35"/>
        <v>0</v>
      </c>
      <c r="J38" s="30"/>
      <c r="K38" s="32">
        <f t="shared" si="36"/>
        <v>0</v>
      </c>
      <c r="L38" s="20">
        <f t="shared" si="53"/>
        <v>0</v>
      </c>
      <c r="M38" s="342"/>
      <c r="N38" s="342"/>
      <c r="O38" s="30"/>
      <c r="P38" s="31">
        <f t="shared" si="37"/>
        <v>0</v>
      </c>
      <c r="Q38" s="106"/>
      <c r="R38" s="106"/>
      <c r="S38" s="31">
        <f t="shared" si="38"/>
        <v>0</v>
      </c>
      <c r="T38" s="30"/>
      <c r="U38" s="32">
        <f t="shared" si="39"/>
        <v>0</v>
      </c>
      <c r="V38" s="20">
        <f t="shared" si="54"/>
        <v>0</v>
      </c>
      <c r="W38" s="334"/>
      <c r="X38" s="342"/>
      <c r="Y38" s="30"/>
      <c r="Z38" s="31">
        <f t="shared" si="40"/>
        <v>0</v>
      </c>
      <c r="AA38" s="342"/>
      <c r="AB38" s="342"/>
      <c r="AC38" s="31">
        <f>+AB38-AA38</f>
        <v>0</v>
      </c>
      <c r="AD38" s="30"/>
      <c r="AE38" s="32">
        <f t="shared" si="42"/>
        <v>0</v>
      </c>
      <c r="AF38" s="20">
        <f t="shared" si="43"/>
        <v>0</v>
      </c>
      <c r="AG38" s="55"/>
      <c r="AH38" s="112">
        <v>0</v>
      </c>
      <c r="AI38" s="113">
        <f t="shared" si="44"/>
        <v>-8</v>
      </c>
      <c r="AJ38" s="113">
        <f t="shared" si="45"/>
        <v>-8</v>
      </c>
      <c r="AK38" s="113">
        <f t="shared" ref="AK38:AK45" si="55">IF(ISBLANK($AE$5),-8,0)+AE17</f>
        <v>-8</v>
      </c>
      <c r="AL38" s="113">
        <f t="shared" si="46"/>
        <v>0</v>
      </c>
      <c r="AM38" s="113">
        <f t="shared" si="47"/>
        <v>-8</v>
      </c>
      <c r="AN38" s="113">
        <f t="shared" si="48"/>
        <v>-8</v>
      </c>
      <c r="AO38" s="113">
        <f t="shared" si="49"/>
        <v>-8</v>
      </c>
      <c r="AP38" s="114">
        <f t="shared" si="50"/>
        <v>-48</v>
      </c>
      <c r="AQ38" s="55"/>
      <c r="AR38" s="1159">
        <f t="shared" si="51"/>
        <v>0</v>
      </c>
      <c r="AS38" s="1160"/>
      <c r="AT38" s="118">
        <f t="shared" si="52"/>
        <v>0</v>
      </c>
      <c r="AU38" s="55"/>
      <c r="AV38" s="55"/>
      <c r="AW38" s="1134"/>
      <c r="AX38" s="1135"/>
      <c r="AZ38" s="115"/>
    </row>
    <row r="39" spans="1:56" ht="14.1" customHeight="1">
      <c r="B39" s="512" t="str">
        <f t="shared" si="33"/>
        <v>Pedro Hostos S,</v>
      </c>
      <c r="C39" s="372">
        <v>7</v>
      </c>
      <c r="D39" s="348">
        <v>18</v>
      </c>
      <c r="E39" s="119">
        <v>1</v>
      </c>
      <c r="F39" s="31">
        <f t="shared" si="34"/>
        <v>10</v>
      </c>
      <c r="G39" s="33"/>
      <c r="H39" s="346"/>
      <c r="I39" s="31">
        <f t="shared" si="35"/>
        <v>0</v>
      </c>
      <c r="J39" s="30"/>
      <c r="K39" s="32">
        <f t="shared" si="36"/>
        <v>8</v>
      </c>
      <c r="L39" s="20">
        <f t="shared" si="53"/>
        <v>2</v>
      </c>
      <c r="M39" s="342">
        <v>7</v>
      </c>
      <c r="N39" s="342">
        <v>18</v>
      </c>
      <c r="O39" s="30">
        <v>1</v>
      </c>
      <c r="P39" s="31">
        <f t="shared" si="37"/>
        <v>10</v>
      </c>
      <c r="Q39" s="346"/>
      <c r="R39" s="346"/>
      <c r="S39" s="31">
        <f t="shared" si="38"/>
        <v>0</v>
      </c>
      <c r="T39" s="30"/>
      <c r="U39" s="32">
        <f t="shared" si="39"/>
        <v>8</v>
      </c>
      <c r="V39" s="20">
        <f t="shared" si="54"/>
        <v>2</v>
      </c>
      <c r="W39" s="334">
        <v>7</v>
      </c>
      <c r="X39" s="342">
        <v>18</v>
      </c>
      <c r="Y39" s="30">
        <v>1</v>
      </c>
      <c r="Z39" s="31">
        <f t="shared" si="40"/>
        <v>10</v>
      </c>
      <c r="AA39" s="342"/>
      <c r="AB39" s="342"/>
      <c r="AC39" s="31">
        <f t="shared" si="41"/>
        <v>0</v>
      </c>
      <c r="AD39" s="30"/>
      <c r="AE39" s="32">
        <f t="shared" si="42"/>
        <v>8</v>
      </c>
      <c r="AF39" s="20">
        <f t="shared" si="43"/>
        <v>2</v>
      </c>
      <c r="AG39" s="55"/>
      <c r="AH39" s="112">
        <v>0</v>
      </c>
      <c r="AI39" s="113">
        <f t="shared" si="44"/>
        <v>0</v>
      </c>
      <c r="AJ39" s="113">
        <f t="shared" si="45"/>
        <v>0</v>
      </c>
      <c r="AK39" s="113">
        <f t="shared" si="55"/>
        <v>0</v>
      </c>
      <c r="AL39" s="113">
        <f t="shared" si="46"/>
        <v>0</v>
      </c>
      <c r="AM39" s="125">
        <f t="shared" si="47"/>
        <v>0</v>
      </c>
      <c r="AN39" s="125">
        <f t="shared" si="48"/>
        <v>0</v>
      </c>
      <c r="AO39" s="125">
        <f t="shared" si="49"/>
        <v>0</v>
      </c>
      <c r="AP39" s="114">
        <f t="shared" si="50"/>
        <v>0</v>
      </c>
      <c r="AQ39" s="55"/>
      <c r="AR39" s="1159">
        <f t="shared" si="51"/>
        <v>0</v>
      </c>
      <c r="AS39" s="1160"/>
      <c r="AT39" s="118">
        <f t="shared" si="52"/>
        <v>6</v>
      </c>
      <c r="AU39" s="55"/>
      <c r="AV39" s="55"/>
      <c r="AW39" s="1134"/>
      <c r="AX39" s="1135"/>
    </row>
    <row r="40" spans="1:56" ht="14.1" customHeight="1">
      <c r="B40" s="58" t="str">
        <f t="shared" si="33"/>
        <v xml:space="preserve">  -  .  -  </v>
      </c>
      <c r="C40" s="334"/>
      <c r="D40" s="342"/>
      <c r="E40" s="30"/>
      <c r="F40" s="31">
        <f t="shared" si="34"/>
        <v>0</v>
      </c>
      <c r="G40" s="33"/>
      <c r="H40" s="346"/>
      <c r="I40" s="31">
        <f t="shared" si="35"/>
        <v>0</v>
      </c>
      <c r="J40" s="30"/>
      <c r="K40" s="32">
        <f t="shared" si="36"/>
        <v>0</v>
      </c>
      <c r="L40" s="20">
        <f t="shared" si="53"/>
        <v>0</v>
      </c>
      <c r="M40" s="342"/>
      <c r="N40" s="342"/>
      <c r="O40" s="30"/>
      <c r="P40" s="31">
        <f t="shared" si="37"/>
        <v>0</v>
      </c>
      <c r="Q40" s="106"/>
      <c r="R40" s="106"/>
      <c r="S40" s="31">
        <f t="shared" si="38"/>
        <v>0</v>
      </c>
      <c r="T40" s="30"/>
      <c r="U40" s="32">
        <f t="shared" si="39"/>
        <v>0</v>
      </c>
      <c r="V40" s="20">
        <f t="shared" si="54"/>
        <v>0</v>
      </c>
      <c r="W40" s="334"/>
      <c r="X40" s="342"/>
      <c r="Y40" s="30"/>
      <c r="Z40" s="31">
        <f t="shared" si="40"/>
        <v>0</v>
      </c>
      <c r="AA40" s="342"/>
      <c r="AB40" s="346"/>
      <c r="AC40" s="44">
        <f t="shared" si="41"/>
        <v>0</v>
      </c>
      <c r="AD40" s="30"/>
      <c r="AE40" s="32">
        <f t="shared" si="42"/>
        <v>0</v>
      </c>
      <c r="AF40" s="20">
        <f t="shared" si="43"/>
        <v>0</v>
      </c>
      <c r="AG40" s="126"/>
      <c r="AH40" s="127">
        <v>0</v>
      </c>
      <c r="AI40" s="113">
        <f t="shared" si="44"/>
        <v>-8</v>
      </c>
      <c r="AJ40" s="113">
        <f t="shared" si="45"/>
        <v>-8</v>
      </c>
      <c r="AK40" s="128">
        <f t="shared" si="55"/>
        <v>-8</v>
      </c>
      <c r="AL40" s="113">
        <f t="shared" si="46"/>
        <v>0</v>
      </c>
      <c r="AM40" s="113">
        <f t="shared" si="47"/>
        <v>-8</v>
      </c>
      <c r="AN40" s="113">
        <f t="shared" si="48"/>
        <v>-8</v>
      </c>
      <c r="AO40" s="113">
        <f t="shared" si="49"/>
        <v>-8</v>
      </c>
      <c r="AP40" s="114">
        <f t="shared" si="50"/>
        <v>-48</v>
      </c>
      <c r="AQ40" s="55"/>
      <c r="AR40" s="1159">
        <f t="shared" si="51"/>
        <v>0</v>
      </c>
      <c r="AS40" s="1160"/>
      <c r="AT40" s="118">
        <f t="shared" si="52"/>
        <v>0</v>
      </c>
      <c r="AU40" s="55"/>
      <c r="AV40" s="55"/>
      <c r="AW40" s="1185"/>
      <c r="AX40" s="1186"/>
      <c r="AZ40" s="115"/>
    </row>
    <row r="41" spans="1:56" ht="14.1" customHeight="1" thickBot="1">
      <c r="B41" s="521" t="str">
        <f t="shared" si="33"/>
        <v xml:space="preserve">  -  .  -  </v>
      </c>
      <c r="C41" s="522"/>
      <c r="D41" s="522"/>
      <c r="E41" s="522"/>
      <c r="F41" s="523">
        <f t="shared" si="34"/>
        <v>0</v>
      </c>
      <c r="G41" s="522"/>
      <c r="H41" s="522"/>
      <c r="I41" s="523">
        <f t="shared" si="35"/>
        <v>0</v>
      </c>
      <c r="J41" s="522"/>
      <c r="K41" s="523">
        <f t="shared" si="36"/>
        <v>0</v>
      </c>
      <c r="L41" s="524">
        <f t="shared" si="53"/>
        <v>0</v>
      </c>
      <c r="M41" s="522"/>
      <c r="N41" s="522"/>
      <c r="O41" s="522"/>
      <c r="P41" s="523">
        <f t="shared" si="37"/>
        <v>0</v>
      </c>
      <c r="Q41" s="525"/>
      <c r="R41" s="525"/>
      <c r="S41" s="523">
        <f t="shared" si="38"/>
        <v>0</v>
      </c>
      <c r="T41" s="522"/>
      <c r="U41" s="523">
        <f t="shared" si="39"/>
        <v>0</v>
      </c>
      <c r="V41" s="524">
        <f t="shared" si="54"/>
        <v>0</v>
      </c>
      <c r="W41" s="526"/>
      <c r="X41" s="522"/>
      <c r="Y41" s="522"/>
      <c r="Z41" s="523">
        <f t="shared" si="40"/>
        <v>0</v>
      </c>
      <c r="AA41" s="522"/>
      <c r="AB41" s="522"/>
      <c r="AC41" s="523">
        <f t="shared" si="41"/>
        <v>0</v>
      </c>
      <c r="AD41" s="522"/>
      <c r="AE41" s="523">
        <f t="shared" si="42"/>
        <v>0</v>
      </c>
      <c r="AF41" s="524">
        <f t="shared" si="43"/>
        <v>0</v>
      </c>
      <c r="AG41" s="514"/>
      <c r="AH41" s="529">
        <v>0</v>
      </c>
      <c r="AI41" s="530">
        <f t="shared" si="44"/>
        <v>-8</v>
      </c>
      <c r="AJ41" s="530">
        <f t="shared" si="45"/>
        <v>-8</v>
      </c>
      <c r="AK41" s="530">
        <f t="shared" si="55"/>
        <v>-8</v>
      </c>
      <c r="AL41" s="530">
        <f t="shared" si="46"/>
        <v>0</v>
      </c>
      <c r="AM41" s="530">
        <f t="shared" si="47"/>
        <v>-8</v>
      </c>
      <c r="AN41" s="530">
        <f t="shared" si="48"/>
        <v>-8</v>
      </c>
      <c r="AO41" s="530">
        <f t="shared" si="49"/>
        <v>-8</v>
      </c>
      <c r="AP41" s="531">
        <f t="shared" si="50"/>
        <v>-48</v>
      </c>
      <c r="AQ41" s="55"/>
      <c r="AR41" s="1191"/>
      <c r="AS41" s="1192"/>
      <c r="AT41" s="532">
        <f t="shared" si="52"/>
        <v>0</v>
      </c>
      <c r="AU41" s="55"/>
      <c r="AV41" s="55"/>
      <c r="AW41" s="1193"/>
      <c r="AX41" s="1194"/>
    </row>
    <row r="42" spans="1:56" s="81" customFormat="1" ht="14.1" customHeight="1" thickTop="1">
      <c r="A42" s="72"/>
      <c r="B42" s="15" t="str">
        <f t="shared" si="33"/>
        <v>Patrick Palacios</v>
      </c>
      <c r="C42" s="372">
        <v>8</v>
      </c>
      <c r="D42" s="348">
        <v>16</v>
      </c>
      <c r="E42" s="119">
        <v>1</v>
      </c>
      <c r="F42" s="31">
        <f t="shared" si="34"/>
        <v>7</v>
      </c>
      <c r="G42" s="33"/>
      <c r="H42" s="346"/>
      <c r="I42" s="31">
        <f t="shared" si="35"/>
        <v>0</v>
      </c>
      <c r="J42" s="30"/>
      <c r="K42" s="32">
        <f t="shared" si="36"/>
        <v>8</v>
      </c>
      <c r="L42" s="20">
        <f t="shared" si="53"/>
        <v>-1</v>
      </c>
      <c r="M42" s="342">
        <v>7</v>
      </c>
      <c r="N42" s="342">
        <v>16</v>
      </c>
      <c r="O42" s="30">
        <v>1</v>
      </c>
      <c r="P42" s="31">
        <f t="shared" si="37"/>
        <v>8</v>
      </c>
      <c r="Q42" s="346"/>
      <c r="R42" s="346"/>
      <c r="S42" s="31">
        <f t="shared" si="38"/>
        <v>0</v>
      </c>
      <c r="T42" s="30"/>
      <c r="U42" s="32">
        <f t="shared" si="39"/>
        <v>8</v>
      </c>
      <c r="V42" s="20">
        <f t="shared" si="54"/>
        <v>0</v>
      </c>
      <c r="W42" s="334">
        <v>7</v>
      </c>
      <c r="X42" s="342">
        <v>16</v>
      </c>
      <c r="Y42" s="30">
        <v>1</v>
      </c>
      <c r="Z42" s="31">
        <f t="shared" si="40"/>
        <v>8</v>
      </c>
      <c r="AA42" s="342"/>
      <c r="AB42" s="342"/>
      <c r="AC42" s="31">
        <f t="shared" si="41"/>
        <v>0</v>
      </c>
      <c r="AD42" s="30"/>
      <c r="AE42" s="32">
        <f t="shared" si="42"/>
        <v>8</v>
      </c>
      <c r="AF42" s="20">
        <f t="shared" si="43"/>
        <v>0</v>
      </c>
      <c r="AG42" s="55"/>
      <c r="AH42" s="490">
        <v>0</v>
      </c>
      <c r="AI42" s="527">
        <f t="shared" si="44"/>
        <v>0</v>
      </c>
      <c r="AJ42" s="527">
        <f t="shared" si="45"/>
        <v>0</v>
      </c>
      <c r="AK42" s="527">
        <f t="shared" si="55"/>
        <v>-8</v>
      </c>
      <c r="AL42" s="527">
        <f t="shared" si="46"/>
        <v>0</v>
      </c>
      <c r="AM42" s="527">
        <f t="shared" si="47"/>
        <v>0</v>
      </c>
      <c r="AN42" s="527">
        <f t="shared" si="48"/>
        <v>0</v>
      </c>
      <c r="AO42" s="527">
        <f t="shared" si="49"/>
        <v>0</v>
      </c>
      <c r="AP42" s="492">
        <f t="shared" si="50"/>
        <v>-8</v>
      </c>
      <c r="AQ42" s="55"/>
      <c r="AR42" s="1187">
        <f>+X81*Q81</f>
        <v>0</v>
      </c>
      <c r="AS42" s="1188"/>
      <c r="AT42" s="528">
        <f>IF(K21+L21&gt;0,1,0)+IF(U21+V21&gt;0,1,0)+IF(AE21+AF21&gt;0,1,0)+IF(AO21&gt;3,1,0)+IF(K42+L42&gt;0,1,0)+IF(U42+V42&gt;0,1,0)+IF(AE42+AF42&gt;0,1,0)+AV42</f>
        <v>5</v>
      </c>
      <c r="AU42" s="55"/>
      <c r="AV42" s="55"/>
      <c r="AW42" s="1189"/>
      <c r="AX42" s="1190"/>
    </row>
    <row r="43" spans="1:56" ht="14.1" customHeight="1">
      <c r="B43" s="513" t="str">
        <f t="shared" si="33"/>
        <v>Jose Cortez P.</v>
      </c>
      <c r="C43" s="459">
        <v>7</v>
      </c>
      <c r="D43" s="459">
        <v>18</v>
      </c>
      <c r="E43" s="459">
        <v>1</v>
      </c>
      <c r="F43" s="460">
        <f t="shared" si="34"/>
        <v>10</v>
      </c>
      <c r="G43" s="459"/>
      <c r="H43" s="459"/>
      <c r="I43" s="460">
        <f t="shared" si="35"/>
        <v>0</v>
      </c>
      <c r="J43" s="459"/>
      <c r="K43" s="32">
        <f t="shared" si="36"/>
        <v>8</v>
      </c>
      <c r="L43" s="461">
        <f t="shared" si="53"/>
        <v>2</v>
      </c>
      <c r="M43" s="459">
        <v>7</v>
      </c>
      <c r="N43" s="459">
        <v>18</v>
      </c>
      <c r="O43" s="459">
        <v>1</v>
      </c>
      <c r="P43" s="460">
        <f t="shared" si="37"/>
        <v>10</v>
      </c>
      <c r="Q43" s="489"/>
      <c r="R43" s="489"/>
      <c r="S43" s="460">
        <f t="shared" si="38"/>
        <v>0</v>
      </c>
      <c r="T43" s="459"/>
      <c r="U43" s="32">
        <f t="shared" si="39"/>
        <v>8</v>
      </c>
      <c r="V43" s="461">
        <f t="shared" si="54"/>
        <v>2</v>
      </c>
      <c r="W43" s="723">
        <v>7</v>
      </c>
      <c r="X43" s="719">
        <v>18</v>
      </c>
      <c r="Y43" s="719">
        <v>1</v>
      </c>
      <c r="Z43" s="720">
        <f t="shared" ref="Z43" si="56">+X43-W43-Y43</f>
        <v>10</v>
      </c>
      <c r="AA43" s="342"/>
      <c r="AB43" s="342"/>
      <c r="AC43" s="44">
        <f t="shared" si="41"/>
        <v>0</v>
      </c>
      <c r="AD43" s="30"/>
      <c r="AE43" s="32">
        <f t="shared" si="42"/>
        <v>8</v>
      </c>
      <c r="AF43" s="20">
        <f t="shared" si="43"/>
        <v>2</v>
      </c>
      <c r="AG43" s="55"/>
      <c r="AH43" s="143">
        <v>0</v>
      </c>
      <c r="AI43" s="144">
        <f t="shared" si="44"/>
        <v>0</v>
      </c>
      <c r="AJ43" s="144">
        <f t="shared" si="45"/>
        <v>0</v>
      </c>
      <c r="AK43" s="144">
        <f t="shared" si="55"/>
        <v>0</v>
      </c>
      <c r="AL43" s="113">
        <f t="shared" si="46"/>
        <v>0</v>
      </c>
      <c r="AM43" s="144">
        <f t="shared" si="47"/>
        <v>0</v>
      </c>
      <c r="AN43" s="144">
        <f t="shared" si="48"/>
        <v>0</v>
      </c>
      <c r="AO43" s="144">
        <f t="shared" si="49"/>
        <v>0</v>
      </c>
      <c r="AP43" s="145">
        <f t="shared" si="50"/>
        <v>0</v>
      </c>
      <c r="AQ43" s="55"/>
      <c r="AR43" s="1159">
        <f>+X82*Q82</f>
        <v>0</v>
      </c>
      <c r="AS43" s="1160"/>
      <c r="AT43" s="118">
        <f>IF(K22+L22&gt;0,1,0)+IF(U22+V22&gt;0,1,0)+IF(AE22+AF22&gt;0,1,0)+IF(AO22&gt;3,1,0)+IF(K43+L43&gt;0,1,0)+IF(U43+V43&gt;0,1,0)+IF(AE43+AF43&gt;0,1,0)</f>
        <v>7</v>
      </c>
      <c r="AU43" s="55"/>
      <c r="AV43" s="55"/>
      <c r="AW43" s="1185">
        <v>-20</v>
      </c>
      <c r="AX43" s="1186"/>
    </row>
    <row r="44" spans="1:56" ht="14.1" customHeight="1">
      <c r="B44" s="513" t="str">
        <f t="shared" si="33"/>
        <v>Rafael Armas R.</v>
      </c>
      <c r="C44" s="716">
        <v>7</v>
      </c>
      <c r="D44" s="716">
        <v>18</v>
      </c>
      <c r="E44" s="716">
        <v>1</v>
      </c>
      <c r="F44" s="717">
        <f t="shared" si="34"/>
        <v>10</v>
      </c>
      <c r="G44" s="716"/>
      <c r="H44" s="716"/>
      <c r="I44" s="717">
        <f t="shared" si="35"/>
        <v>0</v>
      </c>
      <c r="J44" s="716"/>
      <c r="K44" s="32">
        <f t="shared" si="36"/>
        <v>8</v>
      </c>
      <c r="L44" s="718">
        <f t="shared" si="53"/>
        <v>2</v>
      </c>
      <c r="M44" s="719">
        <v>7</v>
      </c>
      <c r="N44" s="719">
        <v>18</v>
      </c>
      <c r="O44" s="719">
        <v>1</v>
      </c>
      <c r="P44" s="720">
        <f t="shared" si="37"/>
        <v>10</v>
      </c>
      <c r="Q44" s="721"/>
      <c r="R44" s="721"/>
      <c r="S44" s="720">
        <f t="shared" si="38"/>
        <v>0</v>
      </c>
      <c r="T44" s="719"/>
      <c r="U44" s="32">
        <f t="shared" si="39"/>
        <v>8</v>
      </c>
      <c r="V44" s="722">
        <f t="shared" si="54"/>
        <v>2</v>
      </c>
      <c r="W44" s="723">
        <v>7</v>
      </c>
      <c r="X44" s="719">
        <v>18</v>
      </c>
      <c r="Y44" s="719">
        <v>1</v>
      </c>
      <c r="Z44" s="720">
        <f t="shared" si="40"/>
        <v>10</v>
      </c>
      <c r="AA44" s="719"/>
      <c r="AB44" s="724"/>
      <c r="AC44" s="720">
        <f t="shared" si="41"/>
        <v>0</v>
      </c>
      <c r="AD44" s="719"/>
      <c r="AE44" s="32">
        <f t="shared" si="42"/>
        <v>8</v>
      </c>
      <c r="AF44" s="722">
        <f t="shared" si="43"/>
        <v>2</v>
      </c>
      <c r="AG44" s="55"/>
      <c r="AH44" s="127">
        <v>0</v>
      </c>
      <c r="AI44" s="113">
        <f t="shared" si="44"/>
        <v>0</v>
      </c>
      <c r="AJ44" s="113">
        <f t="shared" si="45"/>
        <v>0</v>
      </c>
      <c r="AK44" s="128">
        <f t="shared" si="55"/>
        <v>0</v>
      </c>
      <c r="AL44" s="113">
        <f t="shared" si="46"/>
        <v>0</v>
      </c>
      <c r="AM44" s="113">
        <f t="shared" si="47"/>
        <v>0</v>
      </c>
      <c r="AN44" s="113">
        <f t="shared" si="48"/>
        <v>0</v>
      </c>
      <c r="AO44" s="113">
        <f t="shared" si="49"/>
        <v>0</v>
      </c>
      <c r="AP44" s="114">
        <f t="shared" si="50"/>
        <v>0</v>
      </c>
      <c r="AQ44" s="55"/>
      <c r="AR44" s="1159"/>
      <c r="AS44" s="1160"/>
      <c r="AT44" s="118">
        <f>IF(K23+L23&gt;0,1,0)+IF(U23+V23&gt;0,1,0)+IF(AE23+AF23&gt;0,1,0)+IF(AO23&gt;3,1,0)+IF(K44+L44&gt;0,1,0)+IF(U44+V44&gt;0,1,0)+IF(AE44+AF44&gt;0,1,0)</f>
        <v>7</v>
      </c>
      <c r="AU44" s="55"/>
      <c r="AV44" s="55"/>
      <c r="AW44" s="1134">
        <v>-20</v>
      </c>
      <c r="AX44" s="1135"/>
    </row>
    <row r="45" spans="1:56" ht="14.1" customHeight="1" thickBot="1">
      <c r="B45" s="95" t="str">
        <f t="shared" si="33"/>
        <v xml:space="preserve"> </v>
      </c>
      <c r="C45" s="360"/>
      <c r="D45" s="361"/>
      <c r="E45" s="96"/>
      <c r="F45" s="97">
        <f t="shared" si="34"/>
        <v>0</v>
      </c>
      <c r="G45" s="153"/>
      <c r="H45" s="363"/>
      <c r="I45" s="97">
        <f t="shared" si="35"/>
        <v>0</v>
      </c>
      <c r="J45" s="96"/>
      <c r="K45" s="98">
        <f t="shared" si="36"/>
        <v>0</v>
      </c>
      <c r="L45" s="99">
        <f t="shared" si="53"/>
        <v>0</v>
      </c>
      <c r="M45" s="361"/>
      <c r="N45" s="361"/>
      <c r="O45" s="96"/>
      <c r="P45" s="97">
        <f t="shared" si="37"/>
        <v>0</v>
      </c>
      <c r="Q45" s="154"/>
      <c r="R45" s="154"/>
      <c r="S45" s="97">
        <f t="shared" si="38"/>
        <v>0</v>
      </c>
      <c r="T45" s="96"/>
      <c r="U45" s="98">
        <f t="shared" si="39"/>
        <v>0</v>
      </c>
      <c r="V45" s="99">
        <f t="shared" si="54"/>
        <v>0</v>
      </c>
      <c r="W45" s="360"/>
      <c r="X45" s="361"/>
      <c r="Y45" s="96"/>
      <c r="Z45" s="97">
        <f t="shared" si="40"/>
        <v>0</v>
      </c>
      <c r="AA45" s="361"/>
      <c r="AB45" s="361"/>
      <c r="AC45" s="97">
        <f t="shared" si="41"/>
        <v>0</v>
      </c>
      <c r="AD45" s="96"/>
      <c r="AE45" s="98">
        <f t="shared" si="42"/>
        <v>0</v>
      </c>
      <c r="AF45" s="99">
        <f t="shared" si="43"/>
        <v>0</v>
      </c>
      <c r="AG45" s="55"/>
      <c r="AH45" s="112">
        <v>0</v>
      </c>
      <c r="AI45" s="113">
        <f t="shared" si="44"/>
        <v>-8</v>
      </c>
      <c r="AJ45" s="113">
        <f t="shared" si="45"/>
        <v>-8</v>
      </c>
      <c r="AK45" s="113">
        <f t="shared" si="55"/>
        <v>-8</v>
      </c>
      <c r="AL45" s="113">
        <f t="shared" si="46"/>
        <v>0</v>
      </c>
      <c r="AM45" s="113">
        <f t="shared" si="47"/>
        <v>-8</v>
      </c>
      <c r="AN45" s="113">
        <f t="shared" si="48"/>
        <v>-8</v>
      </c>
      <c r="AO45" s="113">
        <f t="shared" si="49"/>
        <v>-8</v>
      </c>
      <c r="AP45" s="114">
        <f t="shared" si="50"/>
        <v>-48</v>
      </c>
      <c r="AQ45" s="55"/>
      <c r="AR45" s="1159">
        <f>+X84*Q84</f>
        <v>0</v>
      </c>
      <c r="AS45" s="1160"/>
      <c r="AT45" s="118">
        <f>IF(K24+L24&gt;0,1,0)+IF(U24+V24&gt;0,1,0)+IF(AE24+AF24&gt;0,1,0)+IF(AO24&gt;3,1,0)+IF(K45+L45&gt;0,1,0)+IF(U45+V45&gt;0,1,0)+IF(AE45+AF45&gt;0,1,0)</f>
        <v>0</v>
      </c>
      <c r="AU45" s="55"/>
      <c r="AV45" s="55"/>
      <c r="AW45" s="1134"/>
      <c r="AX45" s="1135"/>
    </row>
    <row r="46" spans="1:56" ht="14.1" customHeight="1">
      <c r="B46" s="155"/>
      <c r="C46" s="156"/>
      <c r="O46" s="157"/>
      <c r="P46" s="158"/>
      <c r="Q46" s="159"/>
      <c r="R46" s="159"/>
      <c r="S46" s="158"/>
      <c r="T46" s="157"/>
      <c r="U46" s="160"/>
      <c r="V46" s="161"/>
      <c r="W46" s="55"/>
      <c r="X46" s="162"/>
      <c r="Y46" s="163"/>
      <c r="Z46" s="164"/>
      <c r="AA46" s="165"/>
      <c r="AH46" s="166"/>
      <c r="AP46" s="166"/>
      <c r="AR46" s="1161">
        <f>SUM(AP11:AQ24)</f>
        <v>224</v>
      </c>
      <c r="AS46" s="1162"/>
      <c r="AT46" s="167">
        <f>SUM(AT32:AT45)</f>
        <v>63</v>
      </c>
    </row>
    <row r="47" spans="1:56" ht="10.15" customHeight="1">
      <c r="B47" s="155"/>
      <c r="O47" s="157"/>
      <c r="P47" s="158"/>
      <c r="Q47" s="159"/>
      <c r="R47" s="159"/>
      <c r="S47" s="158"/>
      <c r="T47" s="157"/>
      <c r="U47" s="160"/>
      <c r="V47" s="160"/>
      <c r="W47" s="55"/>
      <c r="X47" s="162"/>
      <c r="Y47" s="163"/>
      <c r="Z47" s="164"/>
      <c r="AA47" s="165"/>
      <c r="AW47" s="1163">
        <f>SUM(AW32:AX45)*-1</f>
        <v>118</v>
      </c>
      <c r="AX47" s="1164"/>
    </row>
    <row r="48" spans="1:56" ht="14.1" customHeight="1">
      <c r="C48" s="156" t="s">
        <v>25</v>
      </c>
      <c r="E48" s="168"/>
      <c r="O48" s="157"/>
      <c r="P48" s="158"/>
      <c r="Q48" s="159"/>
      <c r="R48" s="159"/>
      <c r="S48" s="158"/>
      <c r="T48" s="157"/>
      <c r="U48" s="160"/>
      <c r="V48" s="160"/>
      <c r="W48" s="55"/>
      <c r="X48" s="162"/>
      <c r="Y48" s="163"/>
      <c r="Z48" s="164"/>
      <c r="AA48" s="165"/>
      <c r="AC48" s="169" t="s">
        <v>26</v>
      </c>
      <c r="AD48" s="373"/>
      <c r="AE48" s="373"/>
      <c r="AF48" s="373"/>
      <c r="AG48" s="373"/>
      <c r="AH48" s="373"/>
      <c r="AI48" s="373"/>
      <c r="AJ48" s="373"/>
      <c r="AK48" s="373"/>
      <c r="AL48" s="373"/>
      <c r="AM48" s="169" t="s">
        <v>27</v>
      </c>
      <c r="AO48" s="170"/>
      <c r="AW48" s="1165"/>
      <c r="AX48" s="1166"/>
    </row>
    <row r="49" spans="1:58" ht="14.1" customHeight="1">
      <c r="C49" s="156"/>
      <c r="D49" s="171"/>
      <c r="E49" s="168"/>
      <c r="O49" s="157"/>
      <c r="P49" s="158"/>
      <c r="Q49" s="159"/>
      <c r="R49" s="159"/>
      <c r="S49" s="158"/>
      <c r="T49" s="157"/>
      <c r="U49" s="160"/>
      <c r="V49" s="160"/>
      <c r="W49" s="55"/>
      <c r="X49" s="162"/>
      <c r="Y49" s="163"/>
      <c r="Z49" s="164"/>
      <c r="AA49" s="165"/>
      <c r="AC49" s="169"/>
      <c r="AD49" s="373"/>
      <c r="AE49" s="373"/>
      <c r="AF49" s="373"/>
      <c r="AG49" s="373"/>
      <c r="AH49" s="373"/>
      <c r="AI49" s="373"/>
      <c r="AJ49" s="373"/>
      <c r="AK49" s="373"/>
      <c r="AL49" s="373"/>
      <c r="AM49" s="169"/>
      <c r="AO49" s="170"/>
      <c r="AW49" s="172"/>
      <c r="AX49" s="172"/>
    </row>
    <row r="50" spans="1:58" ht="14.1" customHeight="1">
      <c r="O50" s="157"/>
      <c r="P50" s="158"/>
      <c r="Q50" s="159"/>
      <c r="R50" s="159"/>
      <c r="S50" s="158"/>
      <c r="T50" s="157"/>
      <c r="U50" s="160"/>
      <c r="V50" s="160"/>
      <c r="W50" s="55"/>
      <c r="X50" s="162"/>
      <c r="Y50" s="163"/>
      <c r="Z50" s="164"/>
      <c r="AA50" s="165"/>
      <c r="AC50" s="169"/>
      <c r="AD50" s="373"/>
      <c r="AE50" s="373"/>
      <c r="AF50" s="373"/>
      <c r="AG50" s="373"/>
      <c r="AH50" s="373"/>
      <c r="AI50" s="373"/>
      <c r="AJ50" s="373"/>
      <c r="AK50" s="373"/>
      <c r="AL50" s="373"/>
      <c r="AM50" s="169"/>
      <c r="AO50" s="170"/>
      <c r="AW50" s="172"/>
      <c r="AX50" s="172"/>
    </row>
    <row r="51" spans="1:58" ht="14.1" customHeight="1">
      <c r="O51" s="157"/>
      <c r="P51" s="158"/>
      <c r="Q51" s="159"/>
      <c r="R51" s="159"/>
      <c r="S51" s="158"/>
      <c r="T51" s="157"/>
      <c r="U51" s="160"/>
      <c r="V51" s="160"/>
      <c r="W51" s="55"/>
      <c r="X51" s="162"/>
      <c r="Y51" s="163"/>
      <c r="Z51" s="164"/>
      <c r="AA51" s="165"/>
      <c r="AC51" s="169"/>
      <c r="AD51" s="373"/>
      <c r="AE51" s="373"/>
      <c r="AF51" s="373"/>
      <c r="AG51" s="373"/>
      <c r="AH51" s="373"/>
      <c r="AI51" s="373"/>
      <c r="AJ51" s="373"/>
      <c r="AK51" s="373"/>
      <c r="AL51" s="373"/>
      <c r="AM51" s="169"/>
      <c r="AO51" s="170"/>
      <c r="AW51" s="172"/>
      <c r="AX51" s="172"/>
    </row>
    <row r="52" spans="1:58" ht="14.1" customHeight="1">
      <c r="O52" s="157"/>
      <c r="P52" s="158"/>
      <c r="Q52" s="159"/>
      <c r="R52" s="159"/>
      <c r="S52" s="158"/>
      <c r="T52" s="157"/>
      <c r="U52" s="160"/>
      <c r="V52" s="160"/>
      <c r="W52" s="55"/>
      <c r="X52" s="162"/>
      <c r="Y52" s="163"/>
      <c r="Z52" s="164"/>
      <c r="AA52" s="165"/>
      <c r="AC52" s="169"/>
      <c r="AD52" s="373"/>
      <c r="AE52" s="373"/>
      <c r="AF52" s="373"/>
      <c r="AG52" s="373"/>
      <c r="AH52" s="373"/>
      <c r="AI52" s="373"/>
      <c r="AJ52" s="373"/>
      <c r="AK52" s="373"/>
      <c r="AL52" s="373"/>
      <c r="AM52" s="169"/>
      <c r="AO52" s="170"/>
      <c r="AW52" s="172"/>
      <c r="AX52" s="172"/>
    </row>
    <row r="53" spans="1:58" ht="14.1" customHeight="1" thickBot="1">
      <c r="O53" s="157"/>
      <c r="P53" s="158"/>
      <c r="Q53" s="159"/>
      <c r="R53" s="159"/>
      <c r="S53" s="158"/>
      <c r="T53" s="157"/>
      <c r="U53" s="160"/>
      <c r="V53" s="160"/>
      <c r="W53" s="55"/>
      <c r="X53" s="162"/>
      <c r="Y53" s="163"/>
      <c r="Z53" s="164"/>
      <c r="AA53" s="165"/>
      <c r="AC53" s="169"/>
      <c r="AD53" s="373"/>
      <c r="AE53" s="373"/>
      <c r="AF53" s="373"/>
      <c r="AG53" s="373"/>
      <c r="AH53" s="373"/>
      <c r="AI53" s="373"/>
      <c r="AJ53" s="373"/>
      <c r="AK53" s="373"/>
      <c r="AL53" s="373"/>
      <c r="AM53" s="169"/>
      <c r="AO53" s="170"/>
      <c r="AW53" s="172"/>
      <c r="AX53" s="172"/>
    </row>
    <row r="54" spans="1:58" ht="6.95" customHeight="1">
      <c r="C54" s="1139">
        <f>+C5</f>
        <v>43237</v>
      </c>
      <c r="D54" s="1140"/>
      <c r="E54" s="1140"/>
      <c r="F54" s="1140"/>
      <c r="G54" s="1140"/>
      <c r="H54" s="1140"/>
      <c r="I54" s="1140"/>
      <c r="J54" s="1140"/>
      <c r="K54" s="1167"/>
      <c r="L54" s="1168"/>
      <c r="M54" s="1140">
        <f>1+C54</f>
        <v>43238</v>
      </c>
      <c r="N54" s="1140"/>
      <c r="O54" s="1140"/>
      <c r="P54" s="1140"/>
      <c r="Q54" s="1140"/>
      <c r="R54" s="1140"/>
      <c r="S54" s="1140"/>
      <c r="T54" s="1140"/>
      <c r="U54" s="1153"/>
      <c r="V54" s="1154"/>
      <c r="W54" s="1171">
        <f>1+M54</f>
        <v>43239</v>
      </c>
      <c r="X54" s="1172"/>
      <c r="Y54" s="1172"/>
      <c r="Z54" s="1172"/>
      <c r="AA54" s="1172"/>
      <c r="AB54" s="1172"/>
      <c r="AC54" s="1172"/>
      <c r="AD54" s="1172"/>
      <c r="AE54" s="1175"/>
      <c r="AF54" s="1176"/>
      <c r="AG54" s="1179">
        <f>1+W54</f>
        <v>43240</v>
      </c>
      <c r="AH54" s="1180"/>
      <c r="AI54" s="1180"/>
      <c r="AJ54" s="1180"/>
      <c r="AK54" s="1180"/>
      <c r="AL54" s="1180"/>
      <c r="AM54" s="1180"/>
      <c r="AN54" s="1180"/>
      <c r="AO54" s="1183" t="s">
        <v>2</v>
      </c>
      <c r="AW54" s="172"/>
      <c r="AX54" s="172"/>
    </row>
    <row r="55" spans="1:58" s="173" customFormat="1" ht="6.95" customHeight="1" thickBot="1">
      <c r="A55" s="1"/>
      <c r="C55" s="1141"/>
      <c r="D55" s="1142"/>
      <c r="E55" s="1142"/>
      <c r="F55" s="1142"/>
      <c r="G55" s="1142"/>
      <c r="H55" s="1142"/>
      <c r="I55" s="1142"/>
      <c r="J55" s="1142"/>
      <c r="K55" s="1169"/>
      <c r="L55" s="1170"/>
      <c r="M55" s="1142"/>
      <c r="N55" s="1142"/>
      <c r="O55" s="1142"/>
      <c r="P55" s="1142"/>
      <c r="Q55" s="1142"/>
      <c r="R55" s="1142"/>
      <c r="S55" s="1142"/>
      <c r="T55" s="1142"/>
      <c r="U55" s="1155"/>
      <c r="V55" s="1156"/>
      <c r="W55" s="1173"/>
      <c r="X55" s="1174"/>
      <c r="Y55" s="1174"/>
      <c r="Z55" s="1174"/>
      <c r="AA55" s="1174"/>
      <c r="AB55" s="1174"/>
      <c r="AC55" s="1174"/>
      <c r="AD55" s="1174"/>
      <c r="AE55" s="1177"/>
      <c r="AF55" s="1178"/>
      <c r="AG55" s="1181"/>
      <c r="AH55" s="1182"/>
      <c r="AI55" s="1182"/>
      <c r="AJ55" s="1182"/>
      <c r="AK55" s="1182"/>
      <c r="AL55" s="1182"/>
      <c r="AM55" s="1182"/>
      <c r="AN55" s="1182"/>
      <c r="AO55" s="1184"/>
      <c r="AW55" s="172"/>
      <c r="AX55" s="172"/>
    </row>
    <row r="56" spans="1:58" ht="14.1" customHeight="1" thickBot="1">
      <c r="B56" s="174" t="str">
        <f>+B85</f>
        <v>CEQR</v>
      </c>
      <c r="C56" s="374"/>
      <c r="D56" s="375"/>
      <c r="E56" s="175"/>
      <c r="F56" s="176">
        <f>+D56-C56-E56</f>
        <v>0</v>
      </c>
      <c r="G56" s="375"/>
      <c r="H56" s="375"/>
      <c r="I56" s="176">
        <f>+H56-G56</f>
        <v>0</v>
      </c>
      <c r="J56" s="175"/>
      <c r="K56" s="177">
        <f>+I56+F56-L56</f>
        <v>0</v>
      </c>
      <c r="L56" s="178">
        <f>IF(C56&gt;0,(F56+I56)+IF(K$5&gt;0,0+F56,-8),0)</f>
        <v>0</v>
      </c>
      <c r="M56" s="376"/>
      <c r="N56" s="375"/>
      <c r="O56" s="175"/>
      <c r="P56" s="176">
        <f>+N56-M56-O56</f>
        <v>0</v>
      </c>
      <c r="Q56" s="153"/>
      <c r="R56" s="363"/>
      <c r="S56" s="176">
        <f>+R56-Q56</f>
        <v>0</v>
      </c>
      <c r="T56" s="175"/>
      <c r="U56" s="177">
        <f>+S56+P56-V56</f>
        <v>0</v>
      </c>
      <c r="V56" s="178">
        <f>IF(M56&gt;0,(P56+S56)+IF(U$5&gt;0,0+P56,-8),0)</f>
        <v>0</v>
      </c>
      <c r="W56" s="375"/>
      <c r="X56" s="375"/>
      <c r="Y56" s="175"/>
      <c r="Z56" s="176">
        <f>+X56-W56-Y56</f>
        <v>0</v>
      </c>
      <c r="AA56" s="375"/>
      <c r="AB56" s="179"/>
      <c r="AC56" s="176">
        <f>+AB56-AA56</f>
        <v>0</v>
      </c>
      <c r="AD56" s="175"/>
      <c r="AE56" s="177">
        <f>+AC56+Z56-IF(AE$5&gt;0,AF56/2,AF56)</f>
        <v>0</v>
      </c>
      <c r="AF56" s="178">
        <f>IF(W56&gt;0,IF(AE$5&gt;0,(Z56+AC56)*2,(Z56+AC56-8)),0)*IF(Z56&lt;9,IF(AE$5&gt;0,1,2),1)+IF(Z56&gt;8,AC56,0)</f>
        <v>0</v>
      </c>
      <c r="AG56" s="101"/>
      <c r="AH56" s="101"/>
      <c r="AI56" s="96"/>
      <c r="AJ56" s="102">
        <f>+AH56-AG56-AI56</f>
        <v>0</v>
      </c>
      <c r="AK56" s="361"/>
      <c r="AL56" s="361"/>
      <c r="AM56" s="97">
        <f>+AL56-AK56</f>
        <v>0</v>
      </c>
      <c r="AN56" s="96">
        <v>-3</v>
      </c>
      <c r="AO56" s="180">
        <f>(AJ56*2+AM56)</f>
        <v>0</v>
      </c>
      <c r="AP56" s="1136">
        <f>+L56+V56+AF56+AO56+L60+V60+AF60-AN56</f>
        <v>3</v>
      </c>
      <c r="AQ56" s="1137"/>
      <c r="AR56" s="1138">
        <f>ROUND(BD56*AP56,1)</f>
        <v>29.4</v>
      </c>
      <c r="AS56" s="1138"/>
      <c r="AT56" s="377">
        <f>IF(AT60&gt;0,AT60*$AT$10,0)</f>
        <v>12</v>
      </c>
      <c r="AU56" s="55"/>
      <c r="AV56" s="69">
        <f>+L56</f>
        <v>0</v>
      </c>
      <c r="AW56" s="69">
        <f>+V56</f>
        <v>0</v>
      </c>
      <c r="AX56" s="69">
        <f>+AF56</f>
        <v>0</v>
      </c>
      <c r="AY56" s="70">
        <f>+AO56</f>
        <v>0</v>
      </c>
      <c r="AZ56" s="69">
        <f>+L60</f>
        <v>0</v>
      </c>
      <c r="BA56" s="69">
        <f>+V60</f>
        <v>0</v>
      </c>
      <c r="BB56" s="69">
        <f>+AF60</f>
        <v>0</v>
      </c>
      <c r="BC56" s="54"/>
      <c r="BD56" s="339">
        <f>+I85</f>
        <v>9.7916660714285708</v>
      </c>
      <c r="BE56" s="351">
        <f>+BD56*AP56</f>
        <v>29.374998214285711</v>
      </c>
      <c r="BF56" s="352">
        <f>+BD56*AY56</f>
        <v>0</v>
      </c>
    </row>
    <row r="57" spans="1:58" ht="14.1" customHeight="1" thickBot="1">
      <c r="C57" s="378"/>
      <c r="D57" s="378"/>
      <c r="E57" s="181"/>
      <c r="F57" s="182"/>
      <c r="G57" s="378"/>
      <c r="H57" s="378"/>
      <c r="I57" s="182"/>
      <c r="J57" s="181"/>
      <c r="K57" s="183"/>
      <c r="L57" s="184"/>
      <c r="M57" s="378"/>
      <c r="N57" s="378"/>
      <c r="O57" s="181"/>
      <c r="P57" s="182"/>
      <c r="Q57" s="185"/>
      <c r="R57" s="379"/>
      <c r="S57" s="182"/>
      <c r="T57" s="181"/>
      <c r="U57" s="183"/>
      <c r="V57" s="184"/>
      <c r="W57" s="378"/>
      <c r="X57" s="378"/>
      <c r="Y57" s="181"/>
      <c r="Z57" s="182"/>
      <c r="AA57" s="378"/>
      <c r="AB57" s="186"/>
      <c r="AC57" s="182"/>
      <c r="AD57" s="181"/>
      <c r="AE57" s="183"/>
      <c r="AF57" s="184"/>
      <c r="AG57" s="159"/>
      <c r="AH57" s="159"/>
      <c r="AI57" s="157"/>
      <c r="AJ57" s="187"/>
      <c r="AK57" s="380"/>
      <c r="AL57" s="380"/>
      <c r="AM57" s="158"/>
      <c r="AN57" s="157"/>
      <c r="AO57" s="160"/>
      <c r="AP57" s="159"/>
      <c r="AQ57" s="159"/>
      <c r="AR57" s="381"/>
      <c r="AS57" s="381"/>
      <c r="AT57" s="382"/>
      <c r="AU57" s="55"/>
      <c r="AV57" s="54"/>
      <c r="AW57" s="54"/>
      <c r="AX57" s="54"/>
      <c r="AY57" s="188"/>
      <c r="AZ57" s="54"/>
      <c r="BA57" s="54"/>
      <c r="BB57" s="54"/>
      <c r="BC57" s="54"/>
      <c r="BD57" s="383"/>
      <c r="BE57" s="384"/>
      <c r="BF57" s="385"/>
    </row>
    <row r="58" spans="1:58" ht="6.95" customHeight="1">
      <c r="C58" s="1139">
        <f>+C26</f>
        <v>43241</v>
      </c>
      <c r="D58" s="1140"/>
      <c r="E58" s="1140"/>
      <c r="F58" s="1140"/>
      <c r="G58" s="1140"/>
      <c r="H58" s="1140"/>
      <c r="I58" s="1140"/>
      <c r="J58" s="1140"/>
      <c r="K58" s="1143"/>
      <c r="L58" s="1144"/>
      <c r="M58" s="1147">
        <f>1+C58</f>
        <v>43242</v>
      </c>
      <c r="N58" s="1148"/>
      <c r="O58" s="1148"/>
      <c r="P58" s="1148"/>
      <c r="Q58" s="1148"/>
      <c r="R58" s="1148"/>
      <c r="S58" s="1148"/>
      <c r="T58" s="1149"/>
      <c r="U58" s="1153"/>
      <c r="V58" s="1154"/>
      <c r="W58" s="1140">
        <f>1+M58</f>
        <v>43243</v>
      </c>
      <c r="X58" s="1140"/>
      <c r="Y58" s="1140"/>
      <c r="Z58" s="1140"/>
      <c r="AA58" s="1140"/>
      <c r="AB58" s="1140"/>
      <c r="AC58" s="1140"/>
      <c r="AD58" s="1140"/>
      <c r="AE58" s="1153"/>
      <c r="AF58" s="1154"/>
      <c r="AG58" s="373"/>
      <c r="AH58" s="373"/>
      <c r="AI58" s="373"/>
      <c r="AJ58" s="373"/>
      <c r="AK58" s="373"/>
      <c r="AL58" s="373"/>
      <c r="AM58" s="169"/>
      <c r="AO58" s="170"/>
      <c r="AW58" s="172"/>
      <c r="AX58" s="172"/>
    </row>
    <row r="59" spans="1:58" s="173" customFormat="1" ht="6.95" customHeight="1" thickBot="1">
      <c r="A59" s="1"/>
      <c r="C59" s="1141"/>
      <c r="D59" s="1142"/>
      <c r="E59" s="1142"/>
      <c r="F59" s="1142"/>
      <c r="G59" s="1142"/>
      <c r="H59" s="1142"/>
      <c r="I59" s="1142"/>
      <c r="J59" s="1142"/>
      <c r="K59" s="1145"/>
      <c r="L59" s="1146"/>
      <c r="M59" s="1150"/>
      <c r="N59" s="1151"/>
      <c r="O59" s="1151"/>
      <c r="P59" s="1151"/>
      <c r="Q59" s="1151"/>
      <c r="R59" s="1151"/>
      <c r="S59" s="1151"/>
      <c r="T59" s="1152"/>
      <c r="U59" s="1155"/>
      <c r="V59" s="1156"/>
      <c r="W59" s="1142"/>
      <c r="X59" s="1142"/>
      <c r="Y59" s="1142"/>
      <c r="Z59" s="1142"/>
      <c r="AA59" s="1142"/>
      <c r="AB59" s="1142"/>
      <c r="AC59" s="1142"/>
      <c r="AD59" s="1142"/>
      <c r="AE59" s="1155"/>
      <c r="AF59" s="1156"/>
      <c r="AG59" s="386"/>
      <c r="AH59" s="386"/>
      <c r="AI59" s="386"/>
      <c r="AJ59" s="386"/>
      <c r="AK59" s="386"/>
      <c r="AL59" s="386"/>
      <c r="AM59" s="189"/>
      <c r="AO59" s="190"/>
      <c r="AW59" s="172"/>
      <c r="AX59" s="172"/>
    </row>
    <row r="60" spans="1:58" ht="14.1" customHeight="1" thickBot="1">
      <c r="B60" s="174" t="str">
        <f>+B56</f>
        <v>CEQR</v>
      </c>
      <c r="C60" s="374"/>
      <c r="D60" s="375"/>
      <c r="E60" s="175"/>
      <c r="F60" s="176">
        <f>+D60-C60-E60</f>
        <v>0</v>
      </c>
      <c r="G60" s="153"/>
      <c r="H60" s="363"/>
      <c r="I60" s="176">
        <f>+H60-G60</f>
        <v>0</v>
      </c>
      <c r="J60" s="175"/>
      <c r="K60" s="177">
        <f>+I60+F60-L60</f>
        <v>0</v>
      </c>
      <c r="L60" s="178">
        <f>IF(C60&gt;0,(F60+I60)+IF(K$26&gt;0,0+F60,-8),0)</f>
        <v>0</v>
      </c>
      <c r="M60" s="361"/>
      <c r="N60" s="361"/>
      <c r="O60" s="96"/>
      <c r="P60" s="97">
        <f>+N60-M60-O60</f>
        <v>0</v>
      </c>
      <c r="Q60" s="101"/>
      <c r="R60" s="361"/>
      <c r="S60" s="176">
        <f>+R60-Q60</f>
        <v>0</v>
      </c>
      <c r="T60" s="96"/>
      <c r="U60" s="98">
        <f>+S60+P60-V60</f>
        <v>0</v>
      </c>
      <c r="V60" s="191">
        <f>IF(M60&gt;0,(P60+S60)+IF(U$26&gt;0,0+P60,-8),0)</f>
        <v>0</v>
      </c>
      <c r="W60" s="360"/>
      <c r="X60" s="361"/>
      <c r="Y60" s="96"/>
      <c r="Z60" s="97">
        <f>+X60-W60-Y60</f>
        <v>0</v>
      </c>
      <c r="AA60" s="361"/>
      <c r="AB60" s="361"/>
      <c r="AC60" s="176">
        <f>+AB60-AA60</f>
        <v>0</v>
      </c>
      <c r="AD60" s="96"/>
      <c r="AE60" s="98">
        <f>+AC60+Z60-AF60</f>
        <v>0</v>
      </c>
      <c r="AF60" s="192">
        <f>IF(W60&gt;0,(Z60+AC60)+IF(AE$26&gt;0,0+Z60,-8),0)</f>
        <v>0</v>
      </c>
      <c r="AG60" s="55"/>
      <c r="AH60" s="193">
        <v>0</v>
      </c>
      <c r="AI60" s="194">
        <f>+K56+(IF(ISBLANK($K$54),-8,0))</f>
        <v>-8</v>
      </c>
      <c r="AJ60" s="194">
        <f>IF(ISBLANK($U$54),-8,0)+U56</f>
        <v>-8</v>
      </c>
      <c r="AK60" s="195">
        <f>IF(ISBLANK($AE$54),-8,0)+AE56</f>
        <v>-8</v>
      </c>
      <c r="AL60" s="194">
        <f>IF(ISBLANK($AO$54),-8,0)+AM56+AW60</f>
        <v>0</v>
      </c>
      <c r="AM60" s="194">
        <f>IF(ISBLANK($K$58),-8,0)+K60</f>
        <v>-8</v>
      </c>
      <c r="AN60" s="194">
        <f>IF(ISBLANK($U$58),-8,0)+U60</f>
        <v>-8</v>
      </c>
      <c r="AO60" s="194">
        <f>IF(ISBLANK($AE$58),-8,0)+AE60</f>
        <v>-8</v>
      </c>
      <c r="AP60" s="196">
        <f>SUM(AH60:AO60)</f>
        <v>-48</v>
      </c>
      <c r="AQ60" s="197"/>
      <c r="AR60" s="1157">
        <f>+X85*Q85</f>
        <v>0</v>
      </c>
      <c r="AS60" s="1158"/>
      <c r="AT60" s="198">
        <f>IF(K35+L35&gt;0,1,0)+IF(U35+V35&gt;0,1,0)+IF(AE35+AF35&gt;0,1,0)+IF(AO35&gt;3,1,0)+IF(K60+L60&gt;0,1,0)+IF(U60+V60&gt;0,1,0)+IF(AE60+AF60&gt;0,1,0)</f>
        <v>3</v>
      </c>
      <c r="AU60" s="55"/>
      <c r="AV60" s="55"/>
      <c r="AW60" s="1134"/>
      <c r="AX60" s="1135"/>
    </row>
    <row r="61" spans="1:58" ht="14.1" customHeight="1">
      <c r="O61" s="157"/>
      <c r="P61" s="158"/>
      <c r="Q61" s="159"/>
      <c r="R61" s="159"/>
      <c r="S61" s="158"/>
      <c r="T61" s="157"/>
      <c r="U61" s="160"/>
      <c r="V61" s="160"/>
      <c r="W61" s="55"/>
      <c r="X61" s="162"/>
      <c r="Y61" s="163"/>
      <c r="Z61" s="164"/>
      <c r="AA61" s="165"/>
      <c r="AC61" s="169"/>
      <c r="AD61" s="373"/>
      <c r="AE61" s="373"/>
      <c r="AF61" s="373"/>
      <c r="AG61" s="373"/>
      <c r="AH61" s="373"/>
      <c r="AI61" s="373"/>
      <c r="AJ61" s="373"/>
      <c r="AK61" s="991"/>
      <c r="AL61" s="991"/>
      <c r="AM61" s="169"/>
      <c r="AO61" s="170"/>
      <c r="AW61" s="172"/>
      <c r="AX61" s="172"/>
    </row>
    <row r="62" spans="1:58" ht="14.1" customHeight="1">
      <c r="O62" s="157"/>
      <c r="P62" s="158"/>
      <c r="Q62" s="159"/>
      <c r="R62" s="159"/>
      <c r="S62" s="158"/>
      <c r="T62" s="157"/>
      <c r="U62" s="160"/>
      <c r="V62" s="160"/>
      <c r="W62" s="55"/>
      <c r="X62" s="162"/>
      <c r="Y62" s="163"/>
      <c r="AW62" s="172"/>
      <c r="AX62" s="172"/>
    </row>
    <row r="63" spans="1:58" ht="18" customHeight="1">
      <c r="C63" s="156" t="s">
        <v>28</v>
      </c>
      <c r="O63" s="157"/>
      <c r="P63" s="158"/>
      <c r="Q63" s="159"/>
      <c r="R63" s="159"/>
      <c r="S63" s="158"/>
      <c r="T63" s="157"/>
      <c r="U63" s="160"/>
      <c r="V63" s="160"/>
      <c r="W63" s="55"/>
      <c r="X63" s="162"/>
      <c r="Y63" s="163"/>
      <c r="AW63" s="172"/>
      <c r="AX63" s="172"/>
    </row>
    <row r="64" spans="1:58" ht="3" customHeight="1">
      <c r="Q64" s="211"/>
      <c r="R64" s="212"/>
      <c r="S64" s="213"/>
      <c r="T64" s="214"/>
      <c r="AX64" s="172"/>
    </row>
    <row r="65" spans="1:50" ht="14.1" customHeight="1" thickBot="1">
      <c r="B65" s="6" t="s">
        <v>32</v>
      </c>
      <c r="C65" s="1081" t="s">
        <v>33</v>
      </c>
      <c r="D65" s="1081"/>
      <c r="E65" s="1081" t="s">
        <v>34</v>
      </c>
      <c r="F65" s="1081"/>
      <c r="G65" s="1082" t="s">
        <v>122</v>
      </c>
      <c r="H65" s="1083"/>
      <c r="I65" s="1088" t="s">
        <v>36</v>
      </c>
      <c r="J65" s="1089"/>
      <c r="K65" s="1090" t="s">
        <v>37</v>
      </c>
      <c r="L65" s="1090"/>
      <c r="M65" s="5"/>
      <c r="N65" s="1091" t="s">
        <v>38</v>
      </c>
      <c r="O65" s="1091"/>
      <c r="P65" s="5"/>
      <c r="Q65" s="1095" t="s">
        <v>39</v>
      </c>
      <c r="R65" s="1096"/>
      <c r="U65" s="1101" t="s">
        <v>40</v>
      </c>
      <c r="V65" s="1104" t="s">
        <v>41</v>
      </c>
      <c r="W65" s="1107" t="s">
        <v>42</v>
      </c>
      <c r="X65" s="1110" t="s">
        <v>43</v>
      </c>
      <c r="AX65" s="172"/>
    </row>
    <row r="66" spans="1:50" ht="14.1" customHeight="1">
      <c r="B66" s="6" t="s">
        <v>45</v>
      </c>
      <c r="C66" s="1081"/>
      <c r="D66" s="1081"/>
      <c r="E66" s="1081"/>
      <c r="F66" s="1081"/>
      <c r="G66" s="1084"/>
      <c r="H66" s="1085"/>
      <c r="I66" s="1088"/>
      <c r="J66" s="1089"/>
      <c r="K66" s="1090"/>
      <c r="L66" s="1090"/>
      <c r="M66" s="5"/>
      <c r="N66" s="1091"/>
      <c r="O66" s="1091"/>
      <c r="P66" s="5"/>
      <c r="Q66" s="1097"/>
      <c r="R66" s="1098"/>
      <c r="U66" s="1102"/>
      <c r="V66" s="1105"/>
      <c r="W66" s="1108"/>
      <c r="X66" s="1111"/>
      <c r="AA66" s="199"/>
      <c r="AB66" s="200"/>
      <c r="AC66" s="201"/>
      <c r="AD66" s="202"/>
      <c r="AE66" s="387"/>
      <c r="AF66" s="387"/>
      <c r="AG66" s="387"/>
      <c r="AH66" s="387"/>
      <c r="AI66" s="387"/>
      <c r="AJ66" s="387"/>
      <c r="AK66" s="387"/>
      <c r="AL66" s="387"/>
      <c r="AM66" s="387"/>
      <c r="AN66" s="201"/>
      <c r="AO66" s="201"/>
      <c r="AP66" s="201"/>
      <c r="AQ66" s="201"/>
      <c r="AR66" s="203"/>
      <c r="AX66" s="172"/>
    </row>
    <row r="67" spans="1:50" ht="14.1" customHeight="1">
      <c r="B67" s="6" t="s">
        <v>46</v>
      </c>
      <c r="C67" s="1081"/>
      <c r="D67" s="1081"/>
      <c r="E67" s="1081"/>
      <c r="F67" s="1081"/>
      <c r="G67" s="1084"/>
      <c r="H67" s="1085"/>
      <c r="I67" s="1088"/>
      <c r="J67" s="1089"/>
      <c r="K67" s="1090"/>
      <c r="L67" s="1090"/>
      <c r="M67" s="5"/>
      <c r="N67" s="1091"/>
      <c r="O67" s="1091"/>
      <c r="P67" s="5"/>
      <c r="Q67" s="1099"/>
      <c r="R67" s="1100"/>
      <c r="U67" s="1102"/>
      <c r="V67" s="1105"/>
      <c r="W67" s="1108"/>
      <c r="X67" s="1111"/>
      <c r="AA67" s="204"/>
      <c r="AB67" s="775" t="s">
        <v>144</v>
      </c>
      <c r="AC67" s="206"/>
      <c r="AD67" s="206"/>
      <c r="AE67" s="206"/>
      <c r="AF67" s="207"/>
      <c r="AG67" s="207"/>
      <c r="AH67" s="206"/>
      <c r="AI67" s="206"/>
      <c r="AJ67" s="206"/>
      <c r="AK67" s="206"/>
      <c r="AL67" s="206"/>
      <c r="AM67" s="206"/>
      <c r="AN67" s="206"/>
      <c r="AO67" s="208"/>
      <c r="AP67" s="208"/>
      <c r="AQ67" s="209"/>
      <c r="AR67" s="210"/>
      <c r="AT67" s="373"/>
      <c r="AX67" s="172"/>
    </row>
    <row r="68" spans="1:50" ht="27" thickBot="1">
      <c r="B68" s="227" t="s">
        <v>47</v>
      </c>
      <c r="C68" s="1113">
        <f>+E68*7</f>
        <v>217</v>
      </c>
      <c r="D68" s="1113"/>
      <c r="E68" s="1114">
        <f>+K68/30</f>
        <v>31</v>
      </c>
      <c r="F68" s="1114"/>
      <c r="G68" s="1084"/>
      <c r="H68" s="1085"/>
      <c r="I68" s="1115">
        <f>+E68/8</f>
        <v>3.875</v>
      </c>
      <c r="J68" s="1116"/>
      <c r="K68" s="1117">
        <f>850+80</f>
        <v>930</v>
      </c>
      <c r="L68" s="1117"/>
      <c r="M68" s="228"/>
      <c r="N68" s="1078">
        <f>+I68/6*7</f>
        <v>4.5208333333333339</v>
      </c>
      <c r="O68" s="1079"/>
      <c r="P68" s="228"/>
      <c r="Q68" s="1072">
        <f>+$I$69-I68</f>
        <v>1.3562500000000002</v>
      </c>
      <c r="R68" s="1072"/>
      <c r="U68" s="1102"/>
      <c r="V68" s="1105"/>
      <c r="W68" s="1108"/>
      <c r="X68" s="1111"/>
      <c r="AA68" s="221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757" t="s">
        <v>145</v>
      </c>
      <c r="AP68" s="224"/>
      <c r="AQ68" s="222"/>
      <c r="AR68" s="225"/>
    </row>
    <row r="69" spans="1:50" ht="24.75">
      <c r="B69" s="229" t="s">
        <v>48</v>
      </c>
      <c r="C69" s="1073">
        <f>+E69*7</f>
        <v>292.95</v>
      </c>
      <c r="D69" s="1073"/>
      <c r="E69" s="1074">
        <f>+K69/30</f>
        <v>41.85</v>
      </c>
      <c r="F69" s="1074"/>
      <c r="G69" s="1086"/>
      <c r="H69" s="1087"/>
      <c r="I69" s="1075">
        <f>+E69/8</f>
        <v>5.2312500000000002</v>
      </c>
      <c r="J69" s="1076"/>
      <c r="K69" s="1077">
        <f>+K68*1.35</f>
        <v>1255.5</v>
      </c>
      <c r="L69" s="1077"/>
      <c r="M69" s="228"/>
      <c r="N69" s="1078">
        <f>+I69/6*7</f>
        <v>6.1031250000000004</v>
      </c>
      <c r="O69" s="1079"/>
      <c r="P69" s="228"/>
      <c r="Q69" s="1072">
        <f>+$I$69-I69</f>
        <v>0</v>
      </c>
      <c r="R69" s="1072"/>
      <c r="U69" s="1102"/>
      <c r="V69" s="1105"/>
      <c r="W69" s="1108"/>
      <c r="X69" s="1111"/>
      <c r="AA69" s="226"/>
      <c r="AB69" s="226"/>
      <c r="AC69" s="226"/>
      <c r="AD69" s="226"/>
      <c r="AE69" s="226"/>
      <c r="AF69" s="104"/>
      <c r="AG69" s="104"/>
      <c r="AH69" s="104"/>
      <c r="AJ69" s="386"/>
      <c r="AK69" s="386"/>
      <c r="AL69" s="386"/>
      <c r="AM69" s="386"/>
      <c r="AN69" s="386"/>
      <c r="AO69" s="386"/>
      <c r="AP69" s="386"/>
      <c r="AQ69" s="386"/>
      <c r="AR69" s="386"/>
    </row>
    <row r="70" spans="1:50" ht="2.1" customHeight="1" thickBot="1">
      <c r="B70" s="230"/>
      <c r="C70" s="231"/>
      <c r="D70" s="231"/>
      <c r="G70" s="232"/>
      <c r="H70" s="232"/>
      <c r="I70" s="233"/>
      <c r="J70" s="233"/>
      <c r="K70" s="234"/>
      <c r="L70" s="234"/>
      <c r="M70" s="5"/>
      <c r="N70" s="235"/>
      <c r="O70" s="235"/>
      <c r="P70" s="5"/>
      <c r="Q70" s="236"/>
      <c r="R70" s="236"/>
      <c r="U70" s="1103"/>
      <c r="V70" s="1106"/>
      <c r="W70" s="1109"/>
      <c r="X70" s="1112"/>
      <c r="AA70" s="753"/>
    </row>
    <row r="71" spans="1:50" ht="16.5">
      <c r="A71" s="1">
        <v>1</v>
      </c>
      <c r="B71" s="237" t="s">
        <v>49</v>
      </c>
      <c r="C71" s="1070">
        <f>6*3+7*33.8</f>
        <v>254.59999999999997</v>
      </c>
      <c r="D71" s="1071"/>
      <c r="E71" s="1048">
        <f t="shared" ref="E71:E78" si="57">+C71/7</f>
        <v>36.371428571428567</v>
      </c>
      <c r="F71" s="1049"/>
      <c r="G71" s="388"/>
      <c r="H71" s="388"/>
      <c r="I71" s="1052">
        <f t="shared" ref="I71:I78" si="58">+E71/8</f>
        <v>4.5464285714285708</v>
      </c>
      <c r="J71" s="1058"/>
      <c r="K71" s="1059">
        <f t="shared" ref="K71:K79" si="59">+E71*30</f>
        <v>1091.1428571428569</v>
      </c>
      <c r="L71" s="1059"/>
      <c r="M71" s="5"/>
      <c r="N71" s="1020">
        <f t="shared" ref="N71:N85" si="60">+I71/6*7</f>
        <v>5.3041666666666654</v>
      </c>
      <c r="O71" s="1020"/>
      <c r="P71" s="5"/>
      <c r="Q71" s="1056">
        <f t="shared" ref="Q71:Q85" si="61">+$I$69-I71</f>
        <v>0.68482142857142936</v>
      </c>
      <c r="R71" s="1057"/>
      <c r="U71" s="238">
        <f t="shared" ref="U71:U77" si="62">+AE32+U32+K32+AO11+AE11+U11+K11</f>
        <v>56.5</v>
      </c>
      <c r="V71" s="239">
        <v>48</v>
      </c>
      <c r="W71" s="240">
        <f t="shared" ref="W71:W85" si="63">+V71-U71</f>
        <v>-8.5</v>
      </c>
      <c r="X71" s="241">
        <f t="shared" ref="X71:X83" si="64">+J11+T11+AD11+J32+T32+AD32</f>
        <v>0</v>
      </c>
      <c r="AA71" s="758"/>
      <c r="AB71" s="759"/>
      <c r="AC71" s="760"/>
      <c r="AD71" s="761"/>
      <c r="AE71" s="762"/>
      <c r="AF71" s="762"/>
      <c r="AG71" s="762"/>
      <c r="AH71" s="762"/>
      <c r="AI71" s="762"/>
      <c r="AJ71" s="762"/>
      <c r="AK71" s="762"/>
      <c r="AL71" s="762"/>
      <c r="AM71" s="762"/>
      <c r="AN71" s="760"/>
      <c r="AO71" s="760"/>
      <c r="AP71" s="760"/>
      <c r="AQ71" s="760"/>
      <c r="AR71" s="763"/>
    </row>
    <row r="72" spans="1:50" ht="16.5">
      <c r="A72" s="1">
        <v>2</v>
      </c>
      <c r="B72" s="237" t="s">
        <v>50</v>
      </c>
      <c r="C72" s="1070">
        <f>6*3+7*38.5</f>
        <v>287.5</v>
      </c>
      <c r="D72" s="1071"/>
      <c r="E72" s="1048">
        <f t="shared" si="57"/>
        <v>41.071428571428569</v>
      </c>
      <c r="F72" s="1049"/>
      <c r="G72" s="388"/>
      <c r="H72" s="388"/>
      <c r="I72" s="1052">
        <f t="shared" si="58"/>
        <v>5.1339285714285712</v>
      </c>
      <c r="J72" s="1058"/>
      <c r="K72" s="1059">
        <f t="shared" si="59"/>
        <v>1232.1428571428571</v>
      </c>
      <c r="L72" s="1059"/>
      <c r="M72" s="5"/>
      <c r="N72" s="1020">
        <f t="shared" si="60"/>
        <v>5.989583333333333</v>
      </c>
      <c r="O72" s="1020"/>
      <c r="P72" s="5"/>
      <c r="Q72" s="1056">
        <f t="shared" si="61"/>
        <v>9.7321428571429003E-2</v>
      </c>
      <c r="R72" s="1057"/>
      <c r="U72" s="238">
        <f t="shared" si="62"/>
        <v>76</v>
      </c>
      <c r="V72" s="239">
        <v>48</v>
      </c>
      <c r="W72" s="240">
        <f t="shared" si="63"/>
        <v>-28</v>
      </c>
      <c r="X72" s="241">
        <f t="shared" si="64"/>
        <v>16</v>
      </c>
      <c r="AA72" s="764"/>
      <c r="AB72" s="776" t="s">
        <v>29</v>
      </c>
      <c r="AC72" s="765"/>
      <c r="AD72" s="765"/>
      <c r="AE72" s="765"/>
      <c r="AF72" s="766"/>
      <c r="AG72" s="766"/>
      <c r="AH72" s="765"/>
      <c r="AI72" s="765"/>
      <c r="AJ72" s="765"/>
      <c r="AK72" s="765"/>
      <c r="AL72" s="765"/>
      <c r="AM72" s="765"/>
      <c r="AN72" s="765"/>
      <c r="AO72" s="767"/>
      <c r="AP72" s="767"/>
      <c r="AQ72" s="768"/>
      <c r="AR72" s="769"/>
    </row>
    <row r="73" spans="1:50" ht="17.25" thickBot="1">
      <c r="A73" s="1">
        <v>2</v>
      </c>
      <c r="B73" s="237" t="s">
        <v>51</v>
      </c>
      <c r="C73" s="1070">
        <f>6*3+7*38.5</f>
        <v>287.5</v>
      </c>
      <c r="D73" s="1071"/>
      <c r="E73" s="1048">
        <f t="shared" si="57"/>
        <v>41.071428571428569</v>
      </c>
      <c r="F73" s="1049"/>
      <c r="G73" s="388"/>
      <c r="H73" s="388"/>
      <c r="I73" s="1052">
        <f t="shared" si="58"/>
        <v>5.1339285714285712</v>
      </c>
      <c r="J73" s="1058"/>
      <c r="K73" s="1059">
        <f t="shared" si="59"/>
        <v>1232.1428571428571</v>
      </c>
      <c r="L73" s="1059"/>
      <c r="M73" s="5"/>
      <c r="N73" s="1020">
        <f t="shared" si="60"/>
        <v>5.989583333333333</v>
      </c>
      <c r="O73" s="1020"/>
      <c r="P73" s="5"/>
      <c r="Q73" s="1056">
        <f t="shared" si="61"/>
        <v>9.7321428571429003E-2</v>
      </c>
      <c r="R73" s="1057"/>
      <c r="U73" s="238">
        <f t="shared" si="62"/>
        <v>48</v>
      </c>
      <c r="V73" s="239">
        <v>48</v>
      </c>
      <c r="W73" s="240">
        <f t="shared" si="63"/>
        <v>0</v>
      </c>
      <c r="X73" s="241">
        <f t="shared" si="64"/>
        <v>0</v>
      </c>
      <c r="AA73" s="770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2" t="s">
        <v>44</v>
      </c>
      <c r="AP73" s="773"/>
      <c r="AQ73" s="771"/>
      <c r="AR73" s="774"/>
    </row>
    <row r="74" spans="1:50" ht="16.5">
      <c r="A74" s="1">
        <v>4</v>
      </c>
      <c r="B74" s="243" t="s">
        <v>52</v>
      </c>
      <c r="C74" s="1046">
        <f>6*3+7*30.762</f>
        <v>233.334</v>
      </c>
      <c r="D74" s="1047"/>
      <c r="E74" s="1048">
        <f t="shared" si="57"/>
        <v>33.33342857142857</v>
      </c>
      <c r="F74" s="1049"/>
      <c r="G74" s="388"/>
      <c r="H74" s="388"/>
      <c r="I74" s="1052">
        <f t="shared" si="58"/>
        <v>4.1666785714285712</v>
      </c>
      <c r="J74" s="1058"/>
      <c r="K74" s="1059">
        <f t="shared" si="59"/>
        <v>1000.0028571428571</v>
      </c>
      <c r="L74" s="1059"/>
      <c r="M74" s="5"/>
      <c r="N74" s="1020">
        <f t="shared" si="60"/>
        <v>4.8611250000000004</v>
      </c>
      <c r="O74" s="1020"/>
      <c r="P74" s="5"/>
      <c r="Q74" s="1056">
        <f t="shared" si="61"/>
        <v>1.0645714285714289</v>
      </c>
      <c r="R74" s="1057"/>
      <c r="S74" s="1066">
        <f>20*30/180*117</f>
        <v>390</v>
      </c>
      <c r="T74" s="1067"/>
      <c r="U74" s="238">
        <f t="shared" si="62"/>
        <v>54</v>
      </c>
      <c r="V74" s="239">
        <v>48</v>
      </c>
      <c r="W74" s="240">
        <f t="shared" si="63"/>
        <v>-6</v>
      </c>
      <c r="X74" s="241">
        <f t="shared" si="64"/>
        <v>16</v>
      </c>
    </row>
    <row r="75" spans="1:50" ht="16.5">
      <c r="A75" s="1">
        <v>5</v>
      </c>
      <c r="B75" s="237" t="s">
        <v>55</v>
      </c>
      <c r="C75" s="1046">
        <f>6*3+7*38.5</f>
        <v>287.5</v>
      </c>
      <c r="D75" s="1047"/>
      <c r="E75" s="1048">
        <f t="shared" si="57"/>
        <v>41.071428571428569</v>
      </c>
      <c r="F75" s="1049"/>
      <c r="G75" s="388"/>
      <c r="H75" s="388"/>
      <c r="I75" s="1052">
        <f t="shared" si="58"/>
        <v>5.1339285714285712</v>
      </c>
      <c r="J75" s="1058"/>
      <c r="K75" s="1059">
        <f t="shared" si="59"/>
        <v>1232.1428571428571</v>
      </c>
      <c r="L75" s="1059"/>
      <c r="M75" s="5"/>
      <c r="N75" s="1020">
        <f t="shared" si="60"/>
        <v>5.989583333333333</v>
      </c>
      <c r="O75" s="1020"/>
      <c r="P75" s="5"/>
      <c r="Q75" s="1056">
        <f t="shared" si="61"/>
        <v>9.7321428571429003E-2</v>
      </c>
      <c r="R75" s="1057"/>
      <c r="U75" s="238">
        <f t="shared" si="62"/>
        <v>54</v>
      </c>
      <c r="V75" s="239">
        <v>48</v>
      </c>
      <c r="W75" s="240">
        <f t="shared" si="63"/>
        <v>-6</v>
      </c>
      <c r="X75" s="241">
        <f t="shared" si="64"/>
        <v>0</v>
      </c>
    </row>
    <row r="76" spans="1:50" ht="16.5">
      <c r="A76" s="1">
        <v>7</v>
      </c>
      <c r="B76" s="245" t="s">
        <v>56</v>
      </c>
      <c r="C76" s="1060">
        <f>6*3+7*(38.5)</f>
        <v>287.5</v>
      </c>
      <c r="D76" s="1061"/>
      <c r="E76" s="1048">
        <f t="shared" si="57"/>
        <v>41.071428571428569</v>
      </c>
      <c r="F76" s="1049"/>
      <c r="G76" s="1068"/>
      <c r="H76" s="1069"/>
      <c r="I76" s="1052">
        <f t="shared" si="58"/>
        <v>5.1339285714285712</v>
      </c>
      <c r="J76" s="1058"/>
      <c r="K76" s="1059">
        <f>+E76*30</f>
        <v>1232.1428571428571</v>
      </c>
      <c r="L76" s="1059"/>
      <c r="M76" s="5"/>
      <c r="N76" s="1020">
        <f>+I76/6*7</f>
        <v>5.989583333333333</v>
      </c>
      <c r="O76" s="1020"/>
      <c r="P76" s="5"/>
      <c r="Q76" s="1056">
        <f>+$I$69-I76</f>
        <v>9.7321428571429003E-2</v>
      </c>
      <c r="R76" s="1057"/>
      <c r="U76" s="238">
        <f t="shared" si="62"/>
        <v>45</v>
      </c>
      <c r="V76" s="239">
        <v>48</v>
      </c>
      <c r="W76" s="240">
        <f>+V76-U76</f>
        <v>3</v>
      </c>
      <c r="X76" s="241">
        <f t="shared" si="64"/>
        <v>0</v>
      </c>
    </row>
    <row r="77" spans="1:50" s="249" customFormat="1" ht="16.5">
      <c r="A77" s="247">
        <v>6</v>
      </c>
      <c r="B77" s="245" t="s">
        <v>121</v>
      </c>
      <c r="C77" s="1060">
        <f>6*3+7*(27)</f>
        <v>207</v>
      </c>
      <c r="D77" s="1061"/>
      <c r="E77" s="1048">
        <f t="shared" si="57"/>
        <v>29.571428571428573</v>
      </c>
      <c r="F77" s="1049"/>
      <c r="G77" s="1062"/>
      <c r="H77" s="1063"/>
      <c r="I77" s="1052">
        <f t="shared" si="58"/>
        <v>3.6964285714285716</v>
      </c>
      <c r="J77" s="1058"/>
      <c r="K77" s="1059">
        <f>+E77*30</f>
        <v>887.14285714285722</v>
      </c>
      <c r="L77" s="1059"/>
      <c r="M77" s="5"/>
      <c r="N77" s="1020">
        <f t="shared" si="60"/>
        <v>4.3125</v>
      </c>
      <c r="O77" s="1020"/>
      <c r="P77" s="5"/>
      <c r="Q77" s="1056">
        <f t="shared" si="61"/>
        <v>1.5348214285714286</v>
      </c>
      <c r="R77" s="1057"/>
      <c r="S77" s="1066">
        <f>20*30/180*117</f>
        <v>390</v>
      </c>
      <c r="T77" s="1067"/>
      <c r="U77" s="238">
        <f t="shared" si="62"/>
        <v>0</v>
      </c>
      <c r="V77" s="239">
        <v>48</v>
      </c>
      <c r="W77" s="240">
        <f t="shared" si="63"/>
        <v>48</v>
      </c>
      <c r="X77" s="241">
        <f t="shared" si="64"/>
        <v>0</v>
      </c>
      <c r="Y77" s="248"/>
      <c r="Z77" s="754"/>
      <c r="AA77" s="754"/>
      <c r="AB77" s="754"/>
      <c r="AC77" s="754"/>
      <c r="AD77" s="754"/>
      <c r="AE77" s="386"/>
      <c r="AF77" s="386"/>
      <c r="AG77" s="755"/>
      <c r="AH77" s="755"/>
      <c r="AI77" s="393"/>
      <c r="AJ77" s="393"/>
      <c r="AK77" s="393"/>
      <c r="AL77" s="393"/>
      <c r="AM77" s="755"/>
      <c r="AN77" s="755"/>
      <c r="AO77" s="755"/>
      <c r="AP77" s="755"/>
      <c r="AQ77" s="755"/>
      <c r="AR77" s="755"/>
      <c r="AS77" s="386"/>
      <c r="AT77" s="386"/>
    </row>
    <row r="78" spans="1:50" s="249" customFormat="1" ht="16.5">
      <c r="A78" s="1">
        <v>8</v>
      </c>
      <c r="B78" s="245" t="s">
        <v>117</v>
      </c>
      <c r="C78" s="1060">
        <f>6*3+7*(28.4286)</f>
        <v>217.00020000000001</v>
      </c>
      <c r="D78" s="1061"/>
      <c r="E78" s="1048">
        <f t="shared" si="57"/>
        <v>31.000028571428572</v>
      </c>
      <c r="F78" s="1049"/>
      <c r="G78" s="1050"/>
      <c r="H78" s="1051"/>
      <c r="I78" s="1052">
        <f t="shared" si="58"/>
        <v>3.8750035714285715</v>
      </c>
      <c r="J78" s="1058"/>
      <c r="K78" s="1059">
        <f>+E78*30</f>
        <v>930.00085714285717</v>
      </c>
      <c r="L78" s="1059"/>
      <c r="M78" s="5"/>
      <c r="N78" s="1020">
        <f t="shared" si="60"/>
        <v>4.5208375000000007</v>
      </c>
      <c r="O78" s="1020"/>
      <c r="P78" s="5"/>
      <c r="Q78" s="1056">
        <f t="shared" si="61"/>
        <v>1.3562464285714286</v>
      </c>
      <c r="R78" s="1057"/>
      <c r="S78" s="753"/>
      <c r="T78" s="753"/>
      <c r="U78" s="238">
        <f>+AE40+U40+K40+AO19+AE19+U19+K19</f>
        <v>0</v>
      </c>
      <c r="V78" s="239">
        <v>48</v>
      </c>
      <c r="W78" s="240">
        <f t="shared" si="63"/>
        <v>48</v>
      </c>
      <c r="X78" s="241">
        <f t="shared" si="64"/>
        <v>0</v>
      </c>
      <c r="Y78" s="753"/>
      <c r="Z78" s="754"/>
      <c r="AA78" s="754"/>
      <c r="AB78" s="754"/>
      <c r="AC78" s="754"/>
      <c r="AD78" s="754"/>
      <c r="AE78" s="386"/>
      <c r="AF78" s="386"/>
      <c r="AG78" s="755"/>
      <c r="AH78" s="755"/>
      <c r="AI78" s="393"/>
      <c r="AJ78" s="393"/>
      <c r="AK78" s="393"/>
      <c r="AL78" s="393"/>
      <c r="AM78" s="755"/>
      <c r="AN78" s="755"/>
      <c r="AO78" s="755"/>
      <c r="AP78" s="755"/>
      <c r="AQ78" s="755"/>
      <c r="AR78" s="755"/>
      <c r="AS78" s="386"/>
      <c r="AT78" s="386"/>
    </row>
    <row r="79" spans="1:50" ht="16.5">
      <c r="B79" s="245" t="s">
        <v>121</v>
      </c>
      <c r="C79" s="1060"/>
      <c r="D79" s="1061"/>
      <c r="E79" s="1048"/>
      <c r="F79" s="1049"/>
      <c r="G79" s="1062"/>
      <c r="H79" s="1063"/>
      <c r="I79" s="1052"/>
      <c r="J79" s="1058"/>
      <c r="K79" s="1059">
        <f t="shared" si="59"/>
        <v>0</v>
      </c>
      <c r="L79" s="1059"/>
      <c r="M79" s="5"/>
      <c r="N79" s="1020">
        <f>+I79/6*7</f>
        <v>0</v>
      </c>
      <c r="O79" s="1020"/>
      <c r="P79" s="5"/>
      <c r="Q79" s="1056">
        <f>+$I$69-I79</f>
        <v>5.2312500000000002</v>
      </c>
      <c r="R79" s="1057"/>
      <c r="U79" s="238">
        <f>+AE44+U44+K44+AO23+AE23+U23+K23</f>
        <v>68</v>
      </c>
      <c r="V79" s="239">
        <v>48</v>
      </c>
      <c r="W79" s="240">
        <f>+V79-U79</f>
        <v>-20</v>
      </c>
      <c r="X79" s="241">
        <f t="shared" si="64"/>
        <v>0</v>
      </c>
      <c r="Z79" s="246"/>
      <c r="AA79" s="246"/>
      <c r="AB79" s="754"/>
      <c r="AC79" s="754"/>
      <c r="AD79" s="754"/>
      <c r="AE79" s="386"/>
      <c r="AF79" s="386"/>
      <c r="AG79" s="755"/>
      <c r="AH79" s="755"/>
      <c r="AI79" s="755"/>
      <c r="AJ79" s="755"/>
      <c r="AK79" s="755"/>
      <c r="AL79" s="755"/>
      <c r="AM79" s="755"/>
      <c r="AN79" s="755"/>
      <c r="AO79" s="755"/>
      <c r="AP79" s="755"/>
      <c r="AQ79" s="755"/>
      <c r="AR79" s="755"/>
      <c r="AS79" s="386"/>
      <c r="AT79" s="386"/>
    </row>
    <row r="80" spans="1:50" ht="16.5">
      <c r="B80" s="245" t="s">
        <v>121</v>
      </c>
      <c r="C80" s="1046">
        <f>6*3+7*35</f>
        <v>263</v>
      </c>
      <c r="D80" s="1047"/>
      <c r="E80" s="1048">
        <f t="shared" ref="E80:E85" si="65">+C80/7</f>
        <v>37.571428571428569</v>
      </c>
      <c r="F80" s="1049"/>
      <c r="G80" s="388"/>
      <c r="H80" s="388"/>
      <c r="I80" s="1052">
        <f>+E80/8</f>
        <v>4.6964285714285712</v>
      </c>
      <c r="J80" s="1058"/>
      <c r="K80" s="1059">
        <f>+E80*30</f>
        <v>1127.1428571428571</v>
      </c>
      <c r="L80" s="1059"/>
      <c r="M80" s="251"/>
      <c r="N80" s="1020">
        <f>+I80/6*7</f>
        <v>5.479166666666667</v>
      </c>
      <c r="O80" s="1020"/>
      <c r="P80" s="5"/>
      <c r="Q80" s="1056">
        <f>+$I$69-I80</f>
        <v>0.534821428571429</v>
      </c>
      <c r="R80" s="1057"/>
      <c r="U80" s="238">
        <f>+AE41+U41+K41+AO20+AE20+U20+K20</f>
        <v>0</v>
      </c>
      <c r="V80" s="239">
        <v>48</v>
      </c>
      <c r="W80" s="240">
        <f>+V80-U80</f>
        <v>48</v>
      </c>
      <c r="X80" s="241">
        <f t="shared" si="64"/>
        <v>0</v>
      </c>
      <c r="Z80" s="246"/>
      <c r="AA80" s="246"/>
      <c r="AB80" s="754"/>
      <c r="AC80" s="754"/>
      <c r="AD80" s="754"/>
      <c r="AE80" s="386"/>
      <c r="AF80" s="386"/>
      <c r="AG80" s="755"/>
      <c r="AH80" s="755"/>
      <c r="AI80" s="755"/>
      <c r="AJ80" s="755"/>
      <c r="AK80" s="755"/>
      <c r="AL80" s="755"/>
      <c r="AM80" s="755"/>
      <c r="AN80" s="755"/>
      <c r="AO80" s="755"/>
      <c r="AP80" s="755"/>
      <c r="AQ80" s="755"/>
      <c r="AR80" s="755"/>
      <c r="AS80" s="386"/>
      <c r="AT80" s="386"/>
    </row>
    <row r="81" spans="1:46" ht="16.5">
      <c r="A81" s="1">
        <v>3</v>
      </c>
      <c r="B81" s="245" t="s">
        <v>143</v>
      </c>
      <c r="C81" s="1046">
        <f>+G81*6</f>
        <v>186</v>
      </c>
      <c r="D81" s="1047"/>
      <c r="E81" s="1048">
        <f t="shared" si="65"/>
        <v>26.571428571428573</v>
      </c>
      <c r="F81" s="1049"/>
      <c r="G81" s="1050">
        <v>31</v>
      </c>
      <c r="H81" s="1051"/>
      <c r="I81" s="1052">
        <f>+G81/8</f>
        <v>3.875</v>
      </c>
      <c r="J81" s="1053"/>
      <c r="K81" s="1054">
        <f>+G81*30</f>
        <v>930</v>
      </c>
      <c r="L81" s="1055"/>
      <c r="M81" s="251"/>
      <c r="N81" s="1043">
        <f>+I81/6*7</f>
        <v>4.5208333333333339</v>
      </c>
      <c r="O81" s="1044"/>
      <c r="P81" s="5"/>
      <c r="Q81" s="1056">
        <f>+$I$69-I81</f>
        <v>1.3562500000000002</v>
      </c>
      <c r="R81" s="1057"/>
      <c r="U81" s="238">
        <f>+AE42+U42+K42+AO21+AE21+U21+K21</f>
        <v>40</v>
      </c>
      <c r="V81" s="239">
        <v>48</v>
      </c>
      <c r="W81" s="240">
        <f>+V81-U81</f>
        <v>8</v>
      </c>
      <c r="X81" s="241">
        <f t="shared" si="64"/>
        <v>0</v>
      </c>
      <c r="Z81" s="246"/>
      <c r="AA81" s="246"/>
      <c r="AB81" s="754"/>
      <c r="AC81" s="754"/>
      <c r="AD81" s="754"/>
      <c r="AE81" s="386"/>
      <c r="AF81" s="386"/>
      <c r="AG81" s="755"/>
      <c r="AH81" s="755"/>
      <c r="AI81" s="755"/>
      <c r="AJ81" s="755"/>
      <c r="AK81" s="393"/>
      <c r="AL81" s="393"/>
      <c r="AM81" s="755"/>
      <c r="AN81" s="755"/>
      <c r="AO81" s="755"/>
      <c r="AP81" s="755"/>
      <c r="AQ81" s="755"/>
      <c r="AR81" s="755"/>
      <c r="AS81" s="386"/>
      <c r="AT81" s="386"/>
    </row>
    <row r="82" spans="1:46" ht="16.5">
      <c r="B82" s="250" t="s">
        <v>123</v>
      </c>
      <c r="C82" s="1035">
        <f>+G82*6</f>
        <v>186</v>
      </c>
      <c r="D82" s="1036"/>
      <c r="E82" s="1037">
        <f t="shared" si="65"/>
        <v>26.571428571428573</v>
      </c>
      <c r="F82" s="1038"/>
      <c r="G82" s="1039">
        <v>31</v>
      </c>
      <c r="H82" s="1040"/>
      <c r="I82" s="1037">
        <f>+G82/8</f>
        <v>3.875</v>
      </c>
      <c r="J82" s="1038"/>
      <c r="K82" s="1041">
        <f>+G82*30</f>
        <v>930</v>
      </c>
      <c r="L82" s="1042"/>
      <c r="M82" s="5"/>
      <c r="N82" s="1043">
        <f t="shared" si="60"/>
        <v>4.5208333333333339</v>
      </c>
      <c r="O82" s="1044"/>
      <c r="P82" s="5"/>
      <c r="Q82" s="1004">
        <f t="shared" si="61"/>
        <v>1.3562500000000002</v>
      </c>
      <c r="R82" s="1005"/>
      <c r="U82" s="238">
        <f>+AE44+U44+K44+AO23+AE23+U23+K23</f>
        <v>68</v>
      </c>
      <c r="V82" s="239">
        <v>48</v>
      </c>
      <c r="W82" s="240">
        <f t="shared" si="63"/>
        <v>-20</v>
      </c>
      <c r="X82" s="241">
        <f t="shared" si="64"/>
        <v>0</v>
      </c>
      <c r="Z82" s="246"/>
      <c r="AA82" s="246"/>
      <c r="AB82" s="754"/>
      <c r="AC82" s="754"/>
      <c r="AD82" s="754"/>
      <c r="AE82" s="386"/>
      <c r="AF82" s="386"/>
      <c r="AG82" s="755"/>
      <c r="AH82" s="755"/>
      <c r="AI82" s="755"/>
      <c r="AJ82" s="755"/>
      <c r="AK82" s="755"/>
      <c r="AL82" s="755"/>
      <c r="AM82" s="755"/>
      <c r="AN82" s="755"/>
      <c r="AO82" s="755"/>
      <c r="AP82" s="755"/>
      <c r="AQ82" s="755"/>
      <c r="AR82" s="755"/>
      <c r="AS82" s="386"/>
      <c r="AT82" s="386"/>
    </row>
    <row r="83" spans="1:46" ht="16.5">
      <c r="B83" s="250" t="s">
        <v>142</v>
      </c>
      <c r="C83" s="1035">
        <f>+G83*6</f>
        <v>186</v>
      </c>
      <c r="D83" s="1036"/>
      <c r="E83" s="1037">
        <f t="shared" si="65"/>
        <v>26.571428571428573</v>
      </c>
      <c r="F83" s="1038"/>
      <c r="G83" s="1039">
        <v>31</v>
      </c>
      <c r="H83" s="1040"/>
      <c r="I83" s="1037">
        <f>+G83/8</f>
        <v>3.875</v>
      </c>
      <c r="J83" s="1038"/>
      <c r="K83" s="1041">
        <f>+G83*30</f>
        <v>930</v>
      </c>
      <c r="L83" s="1042"/>
      <c r="M83" s="5"/>
      <c r="N83" s="1043">
        <f>+I83/6*7</f>
        <v>4.5208333333333339</v>
      </c>
      <c r="O83" s="1044"/>
      <c r="P83" s="5"/>
      <c r="Q83" s="1004">
        <f>+$I$69-I83</f>
        <v>1.3562500000000002</v>
      </c>
      <c r="R83" s="1005"/>
      <c r="U83" s="238">
        <f>+AE45+U45+K45+AO24+AE24+U24+K24</f>
        <v>0</v>
      </c>
      <c r="V83" s="239">
        <v>48</v>
      </c>
      <c r="W83" s="240">
        <f>+V83-U83</f>
        <v>48</v>
      </c>
      <c r="X83" s="241">
        <f t="shared" si="64"/>
        <v>0</v>
      </c>
      <c r="Z83" s="246"/>
      <c r="AA83" s="246"/>
      <c r="AB83" s="754"/>
      <c r="AC83" s="754"/>
      <c r="AD83" s="754"/>
      <c r="AE83" s="386"/>
      <c r="AF83" s="386"/>
      <c r="AG83" s="755"/>
      <c r="AH83" s="755"/>
      <c r="AI83" s="755"/>
      <c r="AJ83" s="755"/>
      <c r="AK83" s="755"/>
      <c r="AL83" s="755"/>
      <c r="AM83" s="755"/>
      <c r="AN83" s="755"/>
      <c r="AO83" s="755"/>
      <c r="AP83" s="755"/>
      <c r="AQ83" s="755"/>
      <c r="AR83" s="755"/>
      <c r="AS83" s="386"/>
      <c r="AT83" s="386"/>
    </row>
    <row r="84" spans="1:46" ht="16.5">
      <c r="A84" s="247"/>
      <c r="B84" s="250" t="s">
        <v>30</v>
      </c>
      <c r="C84" s="1024">
        <f>+G84*6</f>
        <v>169.99979999999999</v>
      </c>
      <c r="D84" s="1025"/>
      <c r="E84" s="1026">
        <f t="shared" si="65"/>
        <v>24.285685714285712</v>
      </c>
      <c r="F84" s="1027"/>
      <c r="G84" s="1028">
        <f>28.3333</f>
        <v>28.333300000000001</v>
      </c>
      <c r="H84" s="1029"/>
      <c r="I84" s="1030">
        <f>+G84/8</f>
        <v>3.5416625000000002</v>
      </c>
      <c r="J84" s="1031"/>
      <c r="K84" s="1032">
        <f>+G84*30</f>
        <v>849.99900000000002</v>
      </c>
      <c r="L84" s="1032"/>
      <c r="M84" s="5"/>
      <c r="N84" s="1020">
        <f>+I84/6*7</f>
        <v>4.1319395833333337</v>
      </c>
      <c r="O84" s="1020"/>
      <c r="P84" s="5"/>
      <c r="Q84" s="1033">
        <f>+$I$69-I84</f>
        <v>1.6895875</v>
      </c>
      <c r="R84" s="1034"/>
      <c r="U84" s="238">
        <f>+AE44+U44+K44+AO23+AE23+U23+K23</f>
        <v>68</v>
      </c>
      <c r="V84" s="239">
        <v>48</v>
      </c>
      <c r="W84" s="240">
        <f t="shared" si="63"/>
        <v>-20</v>
      </c>
      <c r="X84" s="241">
        <f>+J23+T23+AD23+J44+T44+AD44</f>
        <v>0</v>
      </c>
      <c r="Y84" s="248"/>
      <c r="Z84" s="246"/>
      <c r="AA84" s="246"/>
      <c r="AB84" s="754"/>
      <c r="AC84" s="754"/>
      <c r="AD84" s="754"/>
      <c r="AE84" s="386"/>
      <c r="AF84" s="386"/>
      <c r="AG84" s="755"/>
      <c r="AH84" s="755"/>
      <c r="AI84" s="755"/>
      <c r="AJ84" s="755"/>
      <c r="AK84" s="751"/>
      <c r="AL84" s="751"/>
      <c r="AM84" s="751"/>
      <c r="AN84" s="751"/>
      <c r="AO84" s="751"/>
      <c r="AP84" s="751"/>
      <c r="AQ84" s="751"/>
      <c r="AR84" s="751"/>
      <c r="AS84" s="386"/>
      <c r="AT84" s="386"/>
    </row>
    <row r="85" spans="1:46" ht="16.5">
      <c r="B85" s="253" t="s">
        <v>63</v>
      </c>
      <c r="C85" s="1010">
        <f>6*3+7*(G85)</f>
        <v>548.33330000000001</v>
      </c>
      <c r="D85" s="1011"/>
      <c r="E85" s="1012">
        <f t="shared" si="65"/>
        <v>78.333328571428567</v>
      </c>
      <c r="F85" s="1013"/>
      <c r="G85" s="1014">
        <v>75.761899999999997</v>
      </c>
      <c r="H85" s="1015"/>
      <c r="I85" s="1016">
        <f>+E85/8</f>
        <v>9.7916660714285708</v>
      </c>
      <c r="J85" s="1017"/>
      <c r="K85" s="1018">
        <f>+E85*30</f>
        <v>2349.9998571428569</v>
      </c>
      <c r="L85" s="1019"/>
      <c r="M85" s="5"/>
      <c r="N85" s="1020">
        <f t="shared" si="60"/>
        <v>11.423610416666666</v>
      </c>
      <c r="O85" s="1020"/>
      <c r="P85" s="5"/>
      <c r="Q85" s="1004">
        <f t="shared" si="61"/>
        <v>-4.5604160714285706</v>
      </c>
      <c r="R85" s="1005"/>
      <c r="U85" s="238">
        <f>+AE48+U48+K48+AO27+AE27+U27+K27</f>
        <v>0</v>
      </c>
      <c r="V85" s="239">
        <v>48</v>
      </c>
      <c r="W85" s="240">
        <f t="shared" si="63"/>
        <v>48</v>
      </c>
      <c r="X85" s="241">
        <f>+J27+T27+AD27+J48+T48+AD48</f>
        <v>0</v>
      </c>
      <c r="Z85" s="246"/>
      <c r="AA85" s="246"/>
      <c r="AB85" s="754"/>
      <c r="AC85" s="754"/>
      <c r="AD85" s="754"/>
      <c r="AE85" s="386"/>
      <c r="AF85" s="386"/>
      <c r="AG85" s="755"/>
      <c r="AH85" s="755"/>
      <c r="AI85" s="755"/>
      <c r="AJ85" s="755"/>
      <c r="AK85" s="755"/>
      <c r="AL85" s="755"/>
      <c r="AM85" s="755"/>
      <c r="AN85" s="755"/>
      <c r="AO85" s="755"/>
      <c r="AP85" s="755"/>
      <c r="AQ85" s="386"/>
      <c r="AR85" s="386"/>
      <c r="AS85" s="386"/>
      <c r="AT85" s="386"/>
    </row>
    <row r="86" spans="1:46">
      <c r="AE86" s="255"/>
      <c r="AF86" s="255"/>
      <c r="AJ86" s="255"/>
      <c r="AK86" s="255"/>
    </row>
    <row r="87" spans="1:46" ht="26.25" thickBot="1">
      <c r="B87" s="256" t="s">
        <v>118</v>
      </c>
      <c r="H87" s="1124">
        <v>43191</v>
      </c>
      <c r="I87" s="1124"/>
      <c r="J87" s="1124"/>
      <c r="K87" s="1124"/>
      <c r="L87" s="1124"/>
      <c r="M87" s="1124"/>
      <c r="N87" s="1124"/>
      <c r="AD87" s="257"/>
      <c r="AE87" s="257"/>
      <c r="AF87" s="257"/>
      <c r="AG87" s="104"/>
      <c r="AH87" s="104"/>
      <c r="AI87" s="104"/>
      <c r="AJ87" s="255"/>
      <c r="AK87" s="255"/>
    </row>
    <row r="88" spans="1:46" ht="16.5" thickBot="1">
      <c r="B88" s="395">
        <v>1100</v>
      </c>
      <c r="C88" s="156" t="s">
        <v>66</v>
      </c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173"/>
      <c r="AQ88" s="173"/>
      <c r="AR88" s="173"/>
      <c r="AS88" s="173"/>
      <c r="AT88" s="173"/>
    </row>
    <row r="89" spans="1:46" ht="15.75">
      <c r="B89" s="365">
        <f>+B88/30*7</f>
        <v>256.66666666666663</v>
      </c>
      <c r="C89" s="156" t="s">
        <v>67</v>
      </c>
      <c r="D89" s="258"/>
      <c r="O89" s="1093" t="s">
        <v>68</v>
      </c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093"/>
      <c r="AD89" s="386"/>
      <c r="AE89" s="755"/>
      <c r="AF89" s="755"/>
      <c r="AG89" s="386"/>
      <c r="AH89" s="386"/>
      <c r="AI89" s="386"/>
      <c r="AJ89" s="755"/>
      <c r="AK89" s="755"/>
      <c r="AL89" s="386"/>
      <c r="AM89" s="386"/>
      <c r="AN89" s="386"/>
      <c r="AO89" s="386"/>
      <c r="AP89" s="173"/>
      <c r="AQ89" s="173"/>
      <c r="AR89" s="173"/>
      <c r="AS89" s="173"/>
      <c r="AT89" s="173"/>
    </row>
    <row r="90" spans="1:46">
      <c r="B90" s="365">
        <f>+B89-18</f>
        <v>238.66666666666663</v>
      </c>
      <c r="C90" s="156" t="s">
        <v>69</v>
      </c>
      <c r="O90" s="1093">
        <f>+B88</f>
        <v>1100</v>
      </c>
      <c r="P90" s="1093"/>
      <c r="Q90" s="1093" t="s">
        <v>70</v>
      </c>
      <c r="R90" s="1093"/>
      <c r="S90" s="1093"/>
      <c r="T90" s="1093"/>
      <c r="U90" s="1093"/>
      <c r="V90" s="1093"/>
      <c r="W90" s="1093"/>
      <c r="X90" s="1093"/>
      <c r="Y90" s="1093"/>
      <c r="Z90" s="1093"/>
      <c r="AA90" s="6" t="s">
        <v>71</v>
      </c>
      <c r="AD90" s="386"/>
      <c r="AE90" s="755"/>
      <c r="AF90" s="755"/>
      <c r="AG90" s="386"/>
      <c r="AH90" s="386"/>
      <c r="AI90" s="386"/>
      <c r="AJ90" s="755"/>
      <c r="AK90" s="755"/>
      <c r="AL90" s="386"/>
      <c r="AM90" s="386"/>
      <c r="AN90" s="386"/>
      <c r="AO90" s="386"/>
      <c r="AP90" s="173"/>
      <c r="AQ90" s="173"/>
      <c r="AR90" s="173"/>
      <c r="AS90" s="173"/>
      <c r="AT90" s="173"/>
    </row>
    <row r="91" spans="1:46">
      <c r="B91" s="396">
        <f>+B90/7+0</f>
        <v>34.095238095238088</v>
      </c>
      <c r="C91" s="259" t="s">
        <v>72</v>
      </c>
      <c r="D91" s="260"/>
      <c r="O91" s="1093">
        <f>+O90/30*7</f>
        <v>256.66666666666663</v>
      </c>
      <c r="P91" s="1093"/>
      <c r="Q91" s="1093" t="s">
        <v>73</v>
      </c>
      <c r="R91" s="1093"/>
      <c r="S91" s="1093"/>
      <c r="T91" s="1093"/>
      <c r="U91" s="1093"/>
      <c r="V91" s="1093"/>
      <c r="W91" s="1093"/>
      <c r="X91" s="1093"/>
      <c r="Y91" s="1093"/>
      <c r="Z91" s="1093"/>
      <c r="AA91" s="1092">
        <f>+O91*0.87</f>
        <v>223.29999999999995</v>
      </c>
      <c r="AB91" s="1092"/>
      <c r="AD91" s="386"/>
      <c r="AE91" s="261"/>
      <c r="AF91" s="261"/>
      <c r="AG91" s="386"/>
      <c r="AH91" s="386"/>
      <c r="AI91" s="386"/>
      <c r="AJ91" s="261"/>
      <c r="AK91" s="261"/>
      <c r="AL91" s="397"/>
      <c r="AM91" s="397"/>
      <c r="AN91" s="397"/>
      <c r="AO91" s="397"/>
      <c r="AP91" s="398"/>
      <c r="AQ91" s="398"/>
      <c r="AR91" s="173"/>
      <c r="AS91" s="173"/>
      <c r="AT91" s="173"/>
    </row>
    <row r="92" spans="1:46">
      <c r="O92" s="1093">
        <f>+O91/7</f>
        <v>36.666666666666664</v>
      </c>
      <c r="P92" s="1093"/>
      <c r="Q92" s="1093" t="s">
        <v>74</v>
      </c>
      <c r="R92" s="1093"/>
      <c r="S92" s="1093"/>
      <c r="T92" s="1093"/>
      <c r="U92" s="1093"/>
      <c r="V92" s="1093"/>
      <c r="W92" s="1093"/>
      <c r="X92" s="1093"/>
      <c r="Y92" s="1093"/>
      <c r="Z92" s="1093"/>
      <c r="AD92" s="386"/>
      <c r="AE92" s="755"/>
      <c r="AF92" s="755"/>
      <c r="AG92" s="386"/>
      <c r="AH92" s="386"/>
      <c r="AI92" s="386"/>
      <c r="AJ92" s="755"/>
      <c r="AK92" s="755"/>
      <c r="AL92" s="399"/>
      <c r="AM92" s="399"/>
      <c r="AN92" s="397"/>
      <c r="AO92" s="397"/>
      <c r="AP92" s="398"/>
      <c r="AQ92" s="398"/>
      <c r="AR92" s="173"/>
      <c r="AS92" s="173"/>
      <c r="AT92" s="173"/>
    </row>
    <row r="93" spans="1:46" ht="15.75">
      <c r="B93" s="499">
        <f>+B91</f>
        <v>34.095238095238088</v>
      </c>
      <c r="C93" s="262" t="s">
        <v>75</v>
      </c>
      <c r="D93" s="263"/>
      <c r="E93" s="263"/>
      <c r="F93" s="263"/>
      <c r="O93" s="1094">
        <f>(O91-18)/7</f>
        <v>34.095238095238088</v>
      </c>
      <c r="P93" s="1094"/>
      <c r="Q93" s="1094" t="s">
        <v>76</v>
      </c>
      <c r="R93" s="1094"/>
      <c r="S93" s="1094"/>
      <c r="T93" s="1094"/>
      <c r="U93" s="1094"/>
      <c r="V93" s="1094"/>
      <c r="W93" s="1094"/>
      <c r="X93" s="1094"/>
      <c r="Y93" s="1094"/>
      <c r="Z93" s="1094"/>
      <c r="AD93" s="386"/>
      <c r="AE93" s="264"/>
      <c r="AF93" s="264"/>
      <c r="AG93" s="265"/>
      <c r="AH93" s="265"/>
      <c r="AI93" s="265"/>
      <c r="AJ93" s="264"/>
      <c r="AK93" s="264"/>
      <c r="AL93" s="397"/>
      <c r="AM93" s="397"/>
      <c r="AN93" s="397"/>
      <c r="AO93" s="397"/>
      <c r="AP93" s="398"/>
      <c r="AQ93" s="398"/>
      <c r="AR93" s="173"/>
      <c r="AS93" s="173"/>
      <c r="AT93" s="173"/>
    </row>
    <row r="94" spans="1:46">
      <c r="B94" s="365">
        <v>3</v>
      </c>
      <c r="C94" s="156" t="s">
        <v>77</v>
      </c>
      <c r="O94" s="1093">
        <v>3</v>
      </c>
      <c r="P94" s="1093"/>
      <c r="Q94" s="1093" t="s">
        <v>78</v>
      </c>
      <c r="R94" s="1093"/>
      <c r="S94" s="1093"/>
      <c r="T94" s="1093"/>
      <c r="U94" s="1093"/>
      <c r="V94" s="1093"/>
      <c r="W94" s="1093"/>
      <c r="X94" s="1093"/>
      <c r="Y94" s="1093"/>
      <c r="Z94" s="1093"/>
      <c r="AD94" s="386"/>
      <c r="AE94" s="386"/>
      <c r="AF94" s="264"/>
      <c r="AG94" s="265"/>
      <c r="AH94" s="265"/>
      <c r="AI94" s="265"/>
      <c r="AJ94" s="264"/>
      <c r="AK94" s="386"/>
      <c r="AL94" s="397"/>
      <c r="AM94" s="397"/>
      <c r="AN94" s="397"/>
      <c r="AO94" s="397"/>
      <c r="AP94" s="398"/>
      <c r="AQ94" s="398"/>
      <c r="AR94" s="173"/>
      <c r="AS94" s="173"/>
      <c r="AT94" s="173"/>
    </row>
    <row r="95" spans="1:46">
      <c r="B95" s="396">
        <f>+B94+B93</f>
        <v>37.095238095238088</v>
      </c>
      <c r="C95" s="259" t="s">
        <v>79</v>
      </c>
      <c r="D95" s="266"/>
      <c r="E95" s="267"/>
      <c r="F95" s="268"/>
      <c r="G95" s="266"/>
      <c r="H95" s="266"/>
      <c r="I95" s="268"/>
      <c r="J95" s="266"/>
      <c r="K95" s="269"/>
      <c r="L95" s="269"/>
      <c r="M95" s="260"/>
      <c r="O95" s="1093">
        <f>+O94+O93</f>
        <v>37.095238095238088</v>
      </c>
      <c r="P95" s="1093"/>
      <c r="AD95" s="386"/>
      <c r="AE95" s="755"/>
      <c r="AF95" s="755"/>
      <c r="AG95" s="386"/>
      <c r="AH95" s="386"/>
      <c r="AI95" s="386"/>
      <c r="AJ95" s="755"/>
      <c r="AK95" s="755"/>
      <c r="AL95" s="399"/>
      <c r="AM95" s="399"/>
      <c r="AN95" s="399"/>
      <c r="AO95" s="399"/>
      <c r="AP95" s="401"/>
      <c r="AQ95" s="173"/>
      <c r="AR95" s="173"/>
      <c r="AS95" s="173"/>
      <c r="AT95" s="173"/>
    </row>
    <row r="96" spans="1:46">
      <c r="B96" s="365"/>
      <c r="AD96" s="386"/>
      <c r="AE96" s="402"/>
      <c r="AF96" s="402"/>
      <c r="AG96" s="402"/>
      <c r="AH96" s="386"/>
      <c r="AI96" s="386"/>
      <c r="AJ96" s="402"/>
      <c r="AK96" s="402"/>
      <c r="AL96" s="397"/>
      <c r="AM96" s="386"/>
      <c r="AN96" s="386"/>
      <c r="AO96" s="386"/>
      <c r="AP96" s="173"/>
      <c r="AQ96" s="173"/>
      <c r="AR96" s="173"/>
      <c r="AS96" s="173"/>
      <c r="AT96" s="173"/>
    </row>
    <row r="97" spans="2:46">
      <c r="B97" s="365">
        <f>+B95*6</f>
        <v>222.57142857142853</v>
      </c>
      <c r="C97" s="156" t="s">
        <v>80</v>
      </c>
      <c r="O97" s="1093" t="s">
        <v>81</v>
      </c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093"/>
      <c r="AD97" s="386"/>
      <c r="AE97" s="386"/>
      <c r="AF97" s="386"/>
      <c r="AG97" s="386"/>
      <c r="AH97" s="386"/>
      <c r="AI97" s="397"/>
      <c r="AJ97" s="397"/>
      <c r="AK97" s="399"/>
      <c r="AL97" s="751"/>
      <c r="AM97" s="755"/>
      <c r="AN97" s="751"/>
      <c r="AO97" s="386"/>
      <c r="AP97" s="173"/>
      <c r="AQ97" s="173"/>
      <c r="AR97" s="173"/>
      <c r="AS97" s="173"/>
      <c r="AT97" s="173"/>
    </row>
    <row r="98" spans="2:46">
      <c r="B98" s="403">
        <f>+B93</f>
        <v>34.095238095238088</v>
      </c>
      <c r="C98" s="270" t="s">
        <v>82</v>
      </c>
      <c r="D98" s="271"/>
      <c r="E98" s="272"/>
      <c r="F98" s="273"/>
      <c r="G98" s="271"/>
      <c r="H98" s="271"/>
      <c r="I98" s="273"/>
      <c r="J98" s="271"/>
      <c r="K98" s="274"/>
      <c r="L98" s="275"/>
      <c r="O98" s="1093">
        <f>+O90*1.1</f>
        <v>1210</v>
      </c>
      <c r="P98" s="1093"/>
      <c r="Q98" s="1093" t="s">
        <v>70</v>
      </c>
      <c r="R98" s="1093"/>
      <c r="S98" s="1093"/>
      <c r="T98" s="1093"/>
      <c r="U98" s="1093"/>
      <c r="V98" s="1093"/>
      <c r="W98" s="1093"/>
      <c r="X98" s="1093"/>
      <c r="Y98" s="1093"/>
      <c r="Z98" s="1093"/>
      <c r="AA98" s="6" t="s">
        <v>83</v>
      </c>
      <c r="AG98" s="173"/>
      <c r="AH98" s="173"/>
      <c r="AI98" s="398"/>
      <c r="AJ98" s="398"/>
      <c r="AK98" s="398"/>
      <c r="AL98" s="173"/>
      <c r="AM98" s="173"/>
      <c r="AN98" s="173"/>
      <c r="AO98" s="173"/>
    </row>
    <row r="99" spans="2:46">
      <c r="B99" s="396">
        <f>+B98+B97</f>
        <v>256.66666666666663</v>
      </c>
      <c r="C99" s="259" t="s">
        <v>84</v>
      </c>
      <c r="D99" s="266"/>
      <c r="E99" s="267"/>
      <c r="F99" s="268"/>
      <c r="G99" s="266"/>
      <c r="H99" s="266"/>
      <c r="I99" s="268"/>
      <c r="J99" s="266"/>
      <c r="K99" s="276"/>
      <c r="L99" s="275"/>
      <c r="O99" s="1093">
        <f>+O98/30*7</f>
        <v>282.33333333333337</v>
      </c>
      <c r="P99" s="1093"/>
      <c r="Q99" s="1093" t="s">
        <v>73</v>
      </c>
      <c r="R99" s="1093"/>
      <c r="S99" s="1093"/>
      <c r="T99" s="1093"/>
      <c r="U99" s="1093"/>
      <c r="V99" s="1093"/>
      <c r="W99" s="1093"/>
      <c r="X99" s="1093"/>
      <c r="Y99" s="1093"/>
      <c r="Z99" s="1093"/>
      <c r="AA99" s="1092">
        <f>+O99*0.87</f>
        <v>245.63000000000002</v>
      </c>
      <c r="AB99" s="1092"/>
      <c r="AG99" s="173"/>
      <c r="AH99" s="173"/>
      <c r="AI99" s="398"/>
      <c r="AJ99" s="398"/>
      <c r="AK99" s="277"/>
      <c r="AL99" s="173"/>
      <c r="AM99" s="173"/>
      <c r="AN99" s="173"/>
      <c r="AO99" s="173"/>
    </row>
    <row r="100" spans="2:46">
      <c r="B100" s="404"/>
      <c r="C100" s="278"/>
      <c r="D100" s="226"/>
      <c r="E100" s="279"/>
      <c r="F100" s="280"/>
      <c r="G100" s="226"/>
      <c r="H100" s="226"/>
      <c r="I100" s="280"/>
      <c r="J100" s="226"/>
      <c r="K100" s="275"/>
      <c r="L100" s="275"/>
      <c r="O100" s="1093">
        <f>+O99/7</f>
        <v>40.333333333333336</v>
      </c>
      <c r="P100" s="1093"/>
      <c r="Q100" s="1093" t="s">
        <v>74</v>
      </c>
      <c r="R100" s="1093"/>
      <c r="S100" s="1093"/>
      <c r="T100" s="1093"/>
      <c r="U100" s="1093"/>
      <c r="V100" s="1093"/>
      <c r="W100" s="1093"/>
      <c r="X100" s="1093"/>
      <c r="Y100" s="1093"/>
      <c r="Z100" s="1093"/>
      <c r="AG100" s="173"/>
      <c r="AH100" s="173"/>
      <c r="AI100" s="281"/>
      <c r="AJ100" s="282"/>
      <c r="AK100" s="277"/>
      <c r="AL100" s="173"/>
      <c r="AM100" s="173"/>
      <c r="AN100" s="173"/>
      <c r="AO100" s="173"/>
    </row>
    <row r="101" spans="2:46" ht="15.75">
      <c r="B101" s="500">
        <f>+B99/7</f>
        <v>36.666666666666664</v>
      </c>
      <c r="C101" s="283" t="s">
        <v>85</v>
      </c>
      <c r="D101" s="284"/>
      <c r="E101" s="285"/>
      <c r="F101" s="286"/>
      <c r="G101" s="287"/>
      <c r="H101" s="287"/>
      <c r="I101" s="280"/>
      <c r="J101" s="226"/>
      <c r="K101" s="275"/>
      <c r="L101" s="275"/>
      <c r="O101" s="1094">
        <f>(O99-18)/7</f>
        <v>37.761904761904766</v>
      </c>
      <c r="P101" s="1094"/>
      <c r="Q101" s="1094" t="s">
        <v>76</v>
      </c>
      <c r="R101" s="1094"/>
      <c r="S101" s="1094"/>
      <c r="T101" s="1094"/>
      <c r="U101" s="1094"/>
      <c r="V101" s="1094"/>
      <c r="W101" s="1094"/>
      <c r="X101" s="1094"/>
      <c r="Y101" s="1094"/>
      <c r="Z101" s="1094"/>
      <c r="AG101" s="173"/>
      <c r="AH101" s="173"/>
      <c r="AI101" s="173"/>
      <c r="AJ101" s="173"/>
      <c r="AK101" s="277"/>
      <c r="AL101" s="173"/>
      <c r="AM101" s="173"/>
      <c r="AN101" s="173"/>
      <c r="AO101" s="173"/>
    </row>
    <row r="102" spans="2:46">
      <c r="B102" s="404"/>
      <c r="C102" s="278"/>
      <c r="D102" s="226"/>
      <c r="E102" s="279"/>
      <c r="F102" s="280"/>
      <c r="G102" s="226"/>
      <c r="H102" s="226"/>
      <c r="I102" s="280"/>
      <c r="J102" s="226"/>
      <c r="K102" s="275"/>
      <c r="L102" s="275"/>
      <c r="O102" s="1093">
        <v>3</v>
      </c>
      <c r="P102" s="1093"/>
      <c r="Q102" s="1093" t="s">
        <v>78</v>
      </c>
      <c r="R102" s="1093"/>
      <c r="S102" s="1093"/>
      <c r="T102" s="1093"/>
      <c r="U102" s="1093"/>
      <c r="V102" s="1093"/>
      <c r="W102" s="1093"/>
      <c r="X102" s="1093"/>
      <c r="Y102" s="1093"/>
      <c r="Z102" s="109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2:46">
      <c r="B103" s="404"/>
      <c r="C103" s="278"/>
      <c r="D103" s="226"/>
      <c r="E103" s="279"/>
      <c r="F103" s="280"/>
      <c r="G103" s="226"/>
      <c r="H103" s="226"/>
      <c r="I103" s="280"/>
      <c r="J103" s="226"/>
      <c r="K103" s="275"/>
      <c r="L103" s="275"/>
      <c r="O103" s="1093">
        <f>+O102+O101</f>
        <v>40.761904761904766</v>
      </c>
      <c r="P103" s="109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2:46"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2:46" ht="26.25" thickBot="1">
      <c r="B105" s="256" t="s">
        <v>117</v>
      </c>
      <c r="H105" s="1124">
        <v>43167</v>
      </c>
      <c r="I105" s="1124"/>
      <c r="J105" s="1124"/>
      <c r="K105" s="1124"/>
      <c r="L105" s="1124"/>
      <c r="M105" s="1124"/>
      <c r="N105" s="1124"/>
      <c r="O105" s="496" t="s">
        <v>120</v>
      </c>
      <c r="P105" s="497"/>
      <c r="Q105" s="498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2:46" ht="16.5" thickBot="1">
      <c r="B106" s="395">
        <v>850</v>
      </c>
      <c r="C106" s="156" t="s">
        <v>66</v>
      </c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  <c r="AP106" s="173"/>
      <c r="AQ106" s="173"/>
      <c r="AR106" s="173"/>
      <c r="AS106" s="173"/>
      <c r="AT106" s="173"/>
    </row>
    <row r="107" spans="2:46" ht="15.75">
      <c r="B107" s="501">
        <f>+B106/30*7</f>
        <v>198.33333333333331</v>
      </c>
      <c r="C107" s="156" t="s">
        <v>67</v>
      </c>
      <c r="D107" s="258"/>
      <c r="O107" s="1093" t="s">
        <v>68</v>
      </c>
      <c r="P107" s="1093"/>
      <c r="Q107" s="1093"/>
      <c r="R107" s="1093"/>
      <c r="S107" s="1093"/>
      <c r="T107" s="1093"/>
      <c r="U107" s="1093"/>
      <c r="V107" s="1093"/>
      <c r="W107" s="1093"/>
      <c r="X107" s="1093"/>
      <c r="Y107" s="1093"/>
      <c r="Z107" s="1093"/>
      <c r="AD107" s="386"/>
      <c r="AE107" s="755"/>
      <c r="AF107" s="755"/>
      <c r="AG107" s="386"/>
      <c r="AH107" s="386"/>
      <c r="AI107" s="386"/>
      <c r="AJ107" s="755"/>
      <c r="AK107" s="755"/>
      <c r="AL107" s="386"/>
      <c r="AM107" s="386"/>
      <c r="AN107" s="386"/>
      <c r="AO107" s="386"/>
      <c r="AP107" s="173"/>
      <c r="AQ107" s="173"/>
      <c r="AR107" s="173"/>
      <c r="AS107" s="173"/>
      <c r="AT107" s="173"/>
    </row>
    <row r="108" spans="2:46">
      <c r="B108" s="501">
        <f>+B107-18</f>
        <v>180.33333333333331</v>
      </c>
      <c r="C108" s="156" t="s">
        <v>69</v>
      </c>
      <c r="O108" s="1093">
        <f>+B106</f>
        <v>850</v>
      </c>
      <c r="P108" s="1093"/>
      <c r="Q108" s="1093" t="s">
        <v>70</v>
      </c>
      <c r="R108" s="1093"/>
      <c r="S108" s="1093"/>
      <c r="T108" s="1093"/>
      <c r="U108" s="1093"/>
      <c r="V108" s="1093"/>
      <c r="W108" s="1093"/>
      <c r="X108" s="1093"/>
      <c r="Y108" s="1093"/>
      <c r="Z108" s="1093"/>
      <c r="AA108" s="6" t="s">
        <v>71</v>
      </c>
      <c r="AD108" s="386"/>
      <c r="AE108" s="991">
        <v>198.32</v>
      </c>
      <c r="AF108" s="991"/>
      <c r="AG108" s="991"/>
      <c r="AH108" s="386"/>
      <c r="AI108" s="991"/>
      <c r="AJ108" s="991"/>
      <c r="AK108" s="991"/>
      <c r="AL108" s="1129">
        <f>+AL109+AL110</f>
        <v>192.18149689334777</v>
      </c>
      <c r="AM108" s="1129"/>
      <c r="AN108" s="1129"/>
      <c r="AO108" s="1129">
        <f>+AL108-18</f>
        <v>174.18149689334777</v>
      </c>
      <c r="AP108" s="1129"/>
      <c r="AQ108" s="1129"/>
      <c r="AR108" s="173"/>
      <c r="AS108" s="173"/>
      <c r="AT108" s="173"/>
    </row>
    <row r="109" spans="2:46">
      <c r="B109" s="502">
        <f>+B108/7</f>
        <v>25.761904761904759</v>
      </c>
      <c r="C109" s="259" t="s">
        <v>72</v>
      </c>
      <c r="D109" s="260"/>
      <c r="O109" s="1093">
        <f>+O108/30*7</f>
        <v>198.33333333333331</v>
      </c>
      <c r="P109" s="1093"/>
      <c r="Q109" s="1093" t="s">
        <v>73</v>
      </c>
      <c r="R109" s="1093"/>
      <c r="S109" s="1093"/>
      <c r="T109" s="1093"/>
      <c r="U109" s="1093"/>
      <c r="V109" s="1093"/>
      <c r="W109" s="1093"/>
      <c r="X109" s="1093"/>
      <c r="Y109" s="1093"/>
      <c r="Z109" s="1093"/>
      <c r="AA109" s="1092">
        <f>+O109*0.87</f>
        <v>172.54999999999998</v>
      </c>
      <c r="AB109" s="1092"/>
      <c r="AD109" s="386"/>
      <c r="AE109" s="991">
        <v>22.89</v>
      </c>
      <c r="AF109" s="991"/>
      <c r="AG109" s="991"/>
      <c r="AH109" s="386"/>
      <c r="AI109" s="1130">
        <f>+AE109/AE108</f>
        <v>0.11541952400161357</v>
      </c>
      <c r="AJ109" s="1130"/>
      <c r="AK109" s="1130"/>
      <c r="AL109" s="1129">
        <f>+AI109*AL110/AI110</f>
        <v>22.181496893347781</v>
      </c>
      <c r="AM109" s="1129"/>
      <c r="AN109" s="1129"/>
      <c r="AO109" s="1131">
        <f>+AO108/7</f>
        <v>24.883070984763968</v>
      </c>
      <c r="AP109" s="1132"/>
      <c r="AQ109" s="1133"/>
      <c r="AR109" s="173"/>
      <c r="AS109" s="173"/>
      <c r="AT109" s="173"/>
    </row>
    <row r="110" spans="2:46">
      <c r="O110" s="1093">
        <f>+O109/7</f>
        <v>28.333333333333332</v>
      </c>
      <c r="P110" s="1093"/>
      <c r="Q110" s="1093" t="s">
        <v>74</v>
      </c>
      <c r="R110" s="1093"/>
      <c r="S110" s="1093"/>
      <c r="T110" s="1093"/>
      <c r="U110" s="1093"/>
      <c r="V110" s="1093"/>
      <c r="W110" s="1093"/>
      <c r="X110" s="1093"/>
      <c r="Y110" s="1093"/>
      <c r="Z110" s="1093"/>
      <c r="AD110" s="386"/>
      <c r="AE110" s="991">
        <v>175.43</v>
      </c>
      <c r="AF110" s="991"/>
      <c r="AG110" s="991"/>
      <c r="AH110" s="386"/>
      <c r="AI110" s="1128">
        <f>1-AI109</f>
        <v>0.88458047599838641</v>
      </c>
      <c r="AJ110" s="1127"/>
      <c r="AK110" s="1127"/>
      <c r="AL110" s="1129">
        <v>170</v>
      </c>
      <c r="AM110" s="1129"/>
      <c r="AN110" s="1129"/>
      <c r="AO110" s="991"/>
      <c r="AP110" s="991"/>
      <c r="AQ110" s="991"/>
      <c r="AR110" s="173"/>
      <c r="AS110" s="173"/>
      <c r="AT110" s="173"/>
    </row>
    <row r="111" spans="2:46" ht="15.75">
      <c r="B111" s="499">
        <f>+B109</f>
        <v>25.761904761904759</v>
      </c>
      <c r="C111" s="262" t="s">
        <v>75</v>
      </c>
      <c r="D111" s="263"/>
      <c r="E111" s="263"/>
      <c r="F111" s="263"/>
      <c r="O111" s="1094">
        <f>(O109-18)/7</f>
        <v>25.761904761904759</v>
      </c>
      <c r="P111" s="1094"/>
      <c r="Q111" s="1094" t="s">
        <v>76</v>
      </c>
      <c r="R111" s="1094"/>
      <c r="S111" s="1094"/>
      <c r="T111" s="1094"/>
      <c r="U111" s="1094"/>
      <c r="V111" s="1094"/>
      <c r="W111" s="1094"/>
      <c r="X111" s="1094"/>
      <c r="Y111" s="1094"/>
      <c r="Z111" s="1094"/>
      <c r="AD111" s="386"/>
      <c r="AE111" s="991"/>
      <c r="AF111" s="991"/>
      <c r="AG111" s="991"/>
      <c r="AH111" s="386"/>
      <c r="AI111" s="1127"/>
      <c r="AJ111" s="1127"/>
      <c r="AK111" s="1127"/>
      <c r="AL111" s="386"/>
      <c r="AM111" s="397"/>
      <c r="AN111" s="397"/>
      <c r="AO111" s="397"/>
      <c r="AP111" s="398"/>
      <c r="AQ111" s="398"/>
      <c r="AR111" s="173"/>
      <c r="AS111" s="173"/>
      <c r="AT111" s="173"/>
    </row>
    <row r="112" spans="2:46">
      <c r="B112" s="365">
        <v>3</v>
      </c>
      <c r="C112" s="156" t="s">
        <v>77</v>
      </c>
      <c r="O112" s="1093">
        <v>3</v>
      </c>
      <c r="P112" s="1093"/>
      <c r="Q112" s="1093" t="s">
        <v>78</v>
      </c>
      <c r="R112" s="1093"/>
      <c r="S112" s="1093"/>
      <c r="T112" s="1093"/>
      <c r="U112" s="1093"/>
      <c r="V112" s="1093"/>
      <c r="W112" s="1093"/>
      <c r="X112" s="1093"/>
      <c r="Y112" s="1093"/>
      <c r="Z112" s="1093"/>
      <c r="AD112" s="386"/>
      <c r="AE112" s="991">
        <v>198.39</v>
      </c>
      <c r="AF112" s="991"/>
      <c r="AG112" s="991"/>
      <c r="AH112" s="386"/>
      <c r="AI112" s="1127">
        <v>198.32</v>
      </c>
      <c r="AJ112" s="1127"/>
      <c r="AK112" s="1127"/>
      <c r="AL112" s="386"/>
      <c r="AM112" s="397"/>
      <c r="AN112" s="397"/>
      <c r="AO112" s="397"/>
      <c r="AP112" s="398"/>
      <c r="AQ112" s="398"/>
      <c r="AR112" s="173"/>
      <c r="AS112" s="173"/>
      <c r="AT112" s="173"/>
    </row>
    <row r="113" spans="2:46">
      <c r="B113" s="396">
        <f>+B112+B111</f>
        <v>28.761904761904759</v>
      </c>
      <c r="C113" s="259" t="s">
        <v>79</v>
      </c>
      <c r="D113" s="266"/>
      <c r="E113" s="267"/>
      <c r="F113" s="268"/>
      <c r="G113" s="266"/>
      <c r="H113" s="266"/>
      <c r="I113" s="268"/>
      <c r="J113" s="266"/>
      <c r="K113" s="269"/>
      <c r="L113" s="269"/>
      <c r="M113" s="260"/>
      <c r="O113" s="1093">
        <f>+O112+O111</f>
        <v>28.761904761904759</v>
      </c>
      <c r="P113" s="1093"/>
      <c r="AD113" s="386"/>
      <c r="AE113" s="1125">
        <f>+AE112/7*30</f>
        <v>850.24285714285702</v>
      </c>
      <c r="AF113" s="1125"/>
      <c r="AG113" s="1125"/>
      <c r="AH113" s="386"/>
      <c r="AI113" s="1126">
        <f>+AI112/7*30</f>
        <v>849.94285714285718</v>
      </c>
      <c r="AJ113" s="1126"/>
      <c r="AK113" s="1126"/>
      <c r="AL113" s="386"/>
      <c r="AM113" s="399"/>
      <c r="AN113" s="399"/>
      <c r="AO113" s="399"/>
      <c r="AP113" s="401"/>
      <c r="AQ113" s="173"/>
      <c r="AR113" s="173"/>
      <c r="AS113" s="173"/>
      <c r="AT113" s="173"/>
    </row>
    <row r="114" spans="2:46">
      <c r="B114" s="365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173"/>
      <c r="AQ114" s="173"/>
      <c r="AR114" s="173"/>
      <c r="AS114" s="173"/>
      <c r="AT114" s="173"/>
    </row>
    <row r="115" spans="2:46">
      <c r="B115" s="365">
        <f>+B113*6</f>
        <v>172.57142857142856</v>
      </c>
      <c r="C115" s="156" t="s">
        <v>80</v>
      </c>
      <c r="O115" s="1093" t="s">
        <v>81</v>
      </c>
      <c r="P115" s="1093"/>
      <c r="Q115" s="1093"/>
      <c r="R115" s="1093"/>
      <c r="S115" s="1093"/>
      <c r="T115" s="1093"/>
      <c r="U115" s="1093"/>
      <c r="V115" s="1093"/>
      <c r="W115" s="1093"/>
      <c r="X115" s="1093"/>
      <c r="Y115" s="1093"/>
      <c r="Z115" s="1093"/>
      <c r="AD115" s="386"/>
      <c r="AE115" s="386"/>
      <c r="AF115" s="386"/>
      <c r="AG115" s="386"/>
      <c r="AH115" s="386"/>
      <c r="AI115" s="397"/>
      <c r="AJ115" s="397"/>
      <c r="AK115" s="399"/>
      <c r="AL115" s="751"/>
      <c r="AM115" s="755"/>
      <c r="AN115" s="751"/>
      <c r="AO115" s="386"/>
      <c r="AP115" s="173"/>
      <c r="AQ115" s="173"/>
      <c r="AR115" s="173"/>
      <c r="AS115" s="173"/>
      <c r="AT115" s="173"/>
    </row>
    <row r="116" spans="2:46">
      <c r="B116" s="403">
        <f>+B111</f>
        <v>25.761904761904759</v>
      </c>
      <c r="C116" s="270" t="s">
        <v>82</v>
      </c>
      <c r="D116" s="271"/>
      <c r="E116" s="272"/>
      <c r="F116" s="273"/>
      <c r="G116" s="271"/>
      <c r="H116" s="271"/>
      <c r="I116" s="273"/>
      <c r="J116" s="271"/>
      <c r="K116" s="274"/>
      <c r="L116" s="275"/>
      <c r="O116" s="1093">
        <f>+O108*1.1</f>
        <v>935.00000000000011</v>
      </c>
      <c r="P116" s="1093"/>
      <c r="Q116" s="1093" t="s">
        <v>70</v>
      </c>
      <c r="R116" s="1093"/>
      <c r="S116" s="1093"/>
      <c r="T116" s="1093"/>
      <c r="U116" s="1093"/>
      <c r="V116" s="1093"/>
      <c r="W116" s="1093"/>
      <c r="X116" s="1093"/>
      <c r="Y116" s="1093"/>
      <c r="Z116" s="1093"/>
      <c r="AA116" s="6" t="s">
        <v>83</v>
      </c>
      <c r="AG116" s="173"/>
      <c r="AH116" s="173"/>
      <c r="AI116" s="398"/>
      <c r="AJ116" s="398"/>
      <c r="AK116" s="398"/>
      <c r="AL116" s="173"/>
      <c r="AM116" s="173"/>
      <c r="AN116" s="173"/>
      <c r="AO116" s="173"/>
    </row>
    <row r="117" spans="2:46">
      <c r="B117" s="396">
        <f>+B116+B115</f>
        <v>198.33333333333331</v>
      </c>
      <c r="C117" s="259" t="s">
        <v>84</v>
      </c>
      <c r="D117" s="266"/>
      <c r="E117" s="267"/>
      <c r="F117" s="268"/>
      <c r="G117" s="266"/>
      <c r="H117" s="266"/>
      <c r="I117" s="268"/>
      <c r="J117" s="266"/>
      <c r="K117" s="276"/>
      <c r="L117" s="275"/>
      <c r="O117" s="1093">
        <f>+O116/30*7</f>
        <v>218.16666666666669</v>
      </c>
      <c r="P117" s="1093"/>
      <c r="Q117" s="1093" t="s">
        <v>73</v>
      </c>
      <c r="R117" s="1093"/>
      <c r="S117" s="1093"/>
      <c r="T117" s="1093"/>
      <c r="U117" s="1093"/>
      <c r="V117" s="1093"/>
      <c r="W117" s="1093"/>
      <c r="X117" s="1093"/>
      <c r="Y117" s="1093"/>
      <c r="Z117" s="1093"/>
      <c r="AA117" s="1092">
        <f>+O117*0.87</f>
        <v>189.80500000000001</v>
      </c>
      <c r="AB117" s="1092"/>
      <c r="AG117" s="173"/>
      <c r="AH117" s="173"/>
      <c r="AI117" s="398"/>
      <c r="AJ117" s="398"/>
      <c r="AK117" s="277"/>
      <c r="AL117" s="173"/>
      <c r="AM117" s="173"/>
      <c r="AN117" s="173"/>
      <c r="AO117" s="173"/>
    </row>
    <row r="118" spans="2:46">
      <c r="B118" s="404"/>
      <c r="C118" s="278"/>
      <c r="D118" s="226"/>
      <c r="E118" s="279"/>
      <c r="F118" s="280"/>
      <c r="G118" s="226"/>
      <c r="H118" s="226"/>
      <c r="I118" s="280"/>
      <c r="J118" s="226"/>
      <c r="K118" s="275"/>
      <c r="L118" s="275"/>
      <c r="O118" s="1093">
        <f>+O117/7</f>
        <v>31.166666666666668</v>
      </c>
      <c r="P118" s="1093"/>
      <c r="Q118" s="1093" t="s">
        <v>74</v>
      </c>
      <c r="R118" s="1093"/>
      <c r="S118" s="1093"/>
      <c r="T118" s="1093"/>
      <c r="U118" s="1093"/>
      <c r="V118" s="1093"/>
      <c r="W118" s="1093"/>
      <c r="X118" s="1093"/>
      <c r="Y118" s="1093"/>
      <c r="Z118" s="1093"/>
      <c r="AG118" s="173"/>
      <c r="AH118" s="173"/>
      <c r="AI118" s="281"/>
      <c r="AJ118" s="282"/>
      <c r="AK118" s="277"/>
      <c r="AL118" s="173"/>
      <c r="AM118" s="173"/>
      <c r="AN118" s="173"/>
      <c r="AO118" s="173"/>
    </row>
    <row r="119" spans="2:46" ht="15.75">
      <c r="B119" s="405">
        <f>+B117/7</f>
        <v>28.333333333333332</v>
      </c>
      <c r="C119" s="283" t="s">
        <v>85</v>
      </c>
      <c r="D119" s="284"/>
      <c r="E119" s="285"/>
      <c r="F119" s="280"/>
      <c r="G119" s="226"/>
      <c r="H119" s="226"/>
      <c r="I119" s="280"/>
      <c r="J119" s="226"/>
      <c r="K119" s="275"/>
      <c r="L119" s="275"/>
      <c r="O119" s="1094">
        <f>(O117-18)/7</f>
        <v>28.595238095238098</v>
      </c>
      <c r="P119" s="1094"/>
      <c r="Q119" s="1094" t="s">
        <v>76</v>
      </c>
      <c r="R119" s="1094"/>
      <c r="S119" s="1094"/>
      <c r="T119" s="1094"/>
      <c r="U119" s="1094"/>
      <c r="V119" s="1094"/>
      <c r="W119" s="1094"/>
      <c r="X119" s="1094"/>
      <c r="Y119" s="1094"/>
      <c r="Z119" s="1094"/>
      <c r="AG119" s="173"/>
      <c r="AH119" s="173"/>
      <c r="AI119" s="173"/>
      <c r="AJ119" s="173"/>
      <c r="AK119" s="277"/>
      <c r="AL119" s="173"/>
      <c r="AM119" s="173"/>
      <c r="AN119" s="173"/>
      <c r="AO119" s="173"/>
    </row>
    <row r="120" spans="2:46">
      <c r="B120" s="404"/>
      <c r="C120" s="278"/>
      <c r="D120" s="226"/>
      <c r="E120" s="279"/>
      <c r="F120" s="280"/>
      <c r="G120" s="226"/>
      <c r="H120" s="226"/>
      <c r="I120" s="280"/>
      <c r="J120" s="226"/>
      <c r="K120" s="275"/>
      <c r="L120" s="275"/>
      <c r="O120" s="1093">
        <v>3</v>
      </c>
      <c r="P120" s="1093"/>
      <c r="Q120" s="1093" t="s">
        <v>78</v>
      </c>
      <c r="R120" s="1093"/>
      <c r="S120" s="1093"/>
      <c r="T120" s="1093"/>
      <c r="U120" s="1093"/>
      <c r="V120" s="1093"/>
      <c r="W120" s="1093"/>
      <c r="X120" s="1093"/>
      <c r="Y120" s="1093"/>
      <c r="Z120" s="109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2:46">
      <c r="B121" s="404">
        <v>28.333333333333332</v>
      </c>
      <c r="C121" s="278"/>
      <c r="D121" s="226"/>
      <c r="E121" s="279"/>
      <c r="F121" s="280"/>
      <c r="G121" s="226"/>
      <c r="H121" s="226"/>
      <c r="I121" s="280"/>
      <c r="J121" s="226"/>
      <c r="K121" s="275"/>
      <c r="L121" s="275"/>
      <c r="O121" s="1093">
        <f>+O120+O119</f>
        <v>31.595238095238098</v>
      </c>
      <c r="P121" s="109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2:46">
      <c r="B122" s="365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2:46">
      <c r="B123" s="365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2:46" ht="26.25" thickBot="1">
      <c r="B124" s="256" t="s">
        <v>59</v>
      </c>
      <c r="H124" s="1124">
        <v>42922</v>
      </c>
      <c r="I124" s="1124"/>
      <c r="J124" s="1124"/>
      <c r="K124" s="1124"/>
      <c r="L124" s="1124"/>
      <c r="M124" s="1124"/>
      <c r="N124" s="1124"/>
      <c r="AD124" s="257"/>
      <c r="AE124" s="257"/>
      <c r="AF124" s="257"/>
      <c r="AG124" s="104"/>
      <c r="AH124" s="104"/>
      <c r="AI124" s="104"/>
      <c r="AJ124" s="255"/>
      <c r="AK124" s="255"/>
    </row>
    <row r="125" spans="2:46" ht="16.5" thickBot="1">
      <c r="B125" s="395">
        <v>1231.53</v>
      </c>
      <c r="C125" s="156" t="s">
        <v>66</v>
      </c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173"/>
      <c r="AQ125" s="173"/>
      <c r="AR125" s="173"/>
      <c r="AS125" s="173"/>
      <c r="AT125" s="173"/>
    </row>
    <row r="126" spans="2:46" ht="15.75">
      <c r="B126" s="365">
        <f>+B125/30*7</f>
        <v>287.35700000000003</v>
      </c>
      <c r="C126" s="156" t="s">
        <v>67</v>
      </c>
      <c r="D126" s="258"/>
      <c r="O126" s="1093" t="s">
        <v>68</v>
      </c>
      <c r="P126" s="1093"/>
      <c r="Q126" s="1093"/>
      <c r="R126" s="1093"/>
      <c r="S126" s="1093"/>
      <c r="T126" s="1093"/>
      <c r="U126" s="1093"/>
      <c r="V126" s="1093"/>
      <c r="W126" s="1093"/>
      <c r="X126" s="1093"/>
      <c r="Y126" s="1093"/>
      <c r="Z126" s="1093"/>
      <c r="AD126" s="386"/>
      <c r="AE126" s="755"/>
      <c r="AF126" s="755"/>
      <c r="AG126" s="386"/>
      <c r="AH126" s="386"/>
      <c r="AI126" s="386"/>
      <c r="AJ126" s="755"/>
      <c r="AK126" s="755"/>
      <c r="AL126" s="386"/>
      <c r="AM126" s="386"/>
      <c r="AN126" s="386"/>
      <c r="AO126" s="386"/>
      <c r="AP126" s="173"/>
      <c r="AQ126" s="173"/>
      <c r="AR126" s="173"/>
      <c r="AS126" s="173"/>
      <c r="AT126" s="173"/>
    </row>
    <row r="127" spans="2:46">
      <c r="B127" s="365">
        <f>+B126-18</f>
        <v>269.35700000000003</v>
      </c>
      <c r="C127" s="156" t="s">
        <v>69</v>
      </c>
      <c r="O127" s="1093">
        <f>+B125</f>
        <v>1231.53</v>
      </c>
      <c r="P127" s="1093"/>
      <c r="Q127" s="1093" t="s">
        <v>70</v>
      </c>
      <c r="R127" s="1093"/>
      <c r="S127" s="1093"/>
      <c r="T127" s="1093"/>
      <c r="U127" s="1093"/>
      <c r="V127" s="1093"/>
      <c r="W127" s="1093"/>
      <c r="X127" s="1093"/>
      <c r="Y127" s="1093"/>
      <c r="Z127" s="1093"/>
      <c r="AA127" s="6" t="s">
        <v>71</v>
      </c>
      <c r="AD127" s="386"/>
      <c r="AE127" s="755"/>
      <c r="AF127" s="755"/>
      <c r="AG127" s="386"/>
      <c r="AH127" s="386"/>
      <c r="AI127" s="386"/>
      <c r="AJ127" s="755"/>
      <c r="AK127" s="755"/>
      <c r="AL127" s="386"/>
      <c r="AM127" s="386"/>
      <c r="AN127" s="386"/>
      <c r="AO127" s="386"/>
      <c r="AP127" s="173"/>
      <c r="AQ127" s="173"/>
      <c r="AR127" s="173"/>
      <c r="AS127" s="173"/>
      <c r="AT127" s="173"/>
    </row>
    <row r="128" spans="2:46">
      <c r="B128" s="396">
        <f>+B127/7+0</f>
        <v>38.479571428571433</v>
      </c>
      <c r="C128" s="259" t="s">
        <v>72</v>
      </c>
      <c r="D128" s="260"/>
      <c r="O128" s="1093">
        <f>+O127/30*7</f>
        <v>287.35700000000003</v>
      </c>
      <c r="P128" s="1093"/>
      <c r="Q128" s="1093" t="s">
        <v>73</v>
      </c>
      <c r="R128" s="1093"/>
      <c r="S128" s="1093"/>
      <c r="T128" s="1093"/>
      <c r="U128" s="1093"/>
      <c r="V128" s="1093"/>
      <c r="W128" s="1093"/>
      <c r="X128" s="1093"/>
      <c r="Y128" s="1093"/>
      <c r="Z128" s="1093"/>
      <c r="AA128" s="1092">
        <f>+O128*0.87</f>
        <v>250.00059000000002</v>
      </c>
      <c r="AB128" s="1092"/>
      <c r="AD128" s="386"/>
      <c r="AE128" s="261"/>
      <c r="AF128" s="261"/>
      <c r="AG128" s="386"/>
      <c r="AH128" s="386"/>
      <c r="AI128" s="386"/>
      <c r="AJ128" s="261"/>
      <c r="AK128" s="261"/>
      <c r="AL128" s="397"/>
      <c r="AM128" s="397"/>
      <c r="AN128" s="397"/>
      <c r="AO128" s="397"/>
      <c r="AP128" s="398"/>
      <c r="AQ128" s="398"/>
      <c r="AR128" s="173"/>
      <c r="AS128" s="173"/>
      <c r="AT128" s="173"/>
    </row>
    <row r="129" spans="2:46">
      <c r="O129" s="1093">
        <f>+O128/7</f>
        <v>41.051000000000002</v>
      </c>
      <c r="P129" s="1093"/>
      <c r="Q129" s="1093" t="s">
        <v>74</v>
      </c>
      <c r="R129" s="1093"/>
      <c r="S129" s="1093"/>
      <c r="T129" s="1093"/>
      <c r="U129" s="1093"/>
      <c r="V129" s="1093"/>
      <c r="W129" s="1093"/>
      <c r="X129" s="1093"/>
      <c r="Y129" s="1093"/>
      <c r="Z129" s="1093"/>
      <c r="AD129" s="386"/>
      <c r="AE129" s="755"/>
      <c r="AF129" s="755"/>
      <c r="AG129" s="386"/>
      <c r="AH129" s="386"/>
      <c r="AI129" s="386"/>
      <c r="AJ129" s="755"/>
      <c r="AK129" s="755"/>
      <c r="AL129" s="399"/>
      <c r="AM129" s="399"/>
      <c r="AN129" s="397"/>
      <c r="AO129" s="397"/>
      <c r="AP129" s="398"/>
      <c r="AQ129" s="398"/>
      <c r="AR129" s="173"/>
      <c r="AS129" s="173"/>
      <c r="AT129" s="173"/>
    </row>
    <row r="130" spans="2:46" ht="15.75">
      <c r="B130" s="400">
        <f>+B128</f>
        <v>38.479571428571433</v>
      </c>
      <c r="C130" s="262" t="s">
        <v>75</v>
      </c>
      <c r="D130" s="263"/>
      <c r="E130" s="263"/>
      <c r="F130" s="263"/>
      <c r="O130" s="1094">
        <f>(O128-18)/7</f>
        <v>38.479571428571433</v>
      </c>
      <c r="P130" s="1094"/>
      <c r="Q130" s="1094" t="s">
        <v>76</v>
      </c>
      <c r="R130" s="1094"/>
      <c r="S130" s="1094"/>
      <c r="T130" s="1094"/>
      <c r="U130" s="1094"/>
      <c r="V130" s="1094"/>
      <c r="W130" s="1094"/>
      <c r="X130" s="1094"/>
      <c r="Y130" s="1094"/>
      <c r="Z130" s="1094"/>
      <c r="AD130" s="386"/>
      <c r="AE130" s="264"/>
      <c r="AF130" s="264"/>
      <c r="AG130" s="265"/>
      <c r="AH130" s="265"/>
      <c r="AI130" s="265"/>
      <c r="AJ130" s="264"/>
      <c r="AK130" s="264"/>
      <c r="AL130" s="397"/>
      <c r="AM130" s="397"/>
      <c r="AN130" s="397"/>
      <c r="AO130" s="397"/>
      <c r="AP130" s="398"/>
      <c r="AQ130" s="398"/>
      <c r="AR130" s="173"/>
      <c r="AS130" s="173"/>
      <c r="AT130" s="173"/>
    </row>
    <row r="131" spans="2:46">
      <c r="B131" s="365">
        <v>3</v>
      </c>
      <c r="C131" s="156" t="s">
        <v>77</v>
      </c>
      <c r="O131" s="1093">
        <v>3</v>
      </c>
      <c r="P131" s="1093"/>
      <c r="Q131" s="1093" t="s">
        <v>78</v>
      </c>
      <c r="R131" s="1093"/>
      <c r="S131" s="1093"/>
      <c r="T131" s="1093"/>
      <c r="U131" s="1093"/>
      <c r="V131" s="1093"/>
      <c r="W131" s="1093"/>
      <c r="X131" s="1093"/>
      <c r="Y131" s="1093"/>
      <c r="Z131" s="1093"/>
      <c r="AD131" s="386"/>
      <c r="AE131" s="386"/>
      <c r="AF131" s="264"/>
      <c r="AG131" s="265"/>
      <c r="AH131" s="265"/>
      <c r="AI131" s="265"/>
      <c r="AJ131" s="264"/>
      <c r="AK131" s="386"/>
      <c r="AL131" s="397"/>
      <c r="AM131" s="397"/>
      <c r="AN131" s="397"/>
      <c r="AO131" s="397"/>
      <c r="AP131" s="398"/>
      <c r="AQ131" s="398"/>
      <c r="AR131" s="173"/>
      <c r="AS131" s="173"/>
      <c r="AT131" s="173"/>
    </row>
    <row r="132" spans="2:46">
      <c r="B132" s="396">
        <f>+B131+B130</f>
        <v>41.479571428571433</v>
      </c>
      <c r="C132" s="259" t="s">
        <v>79</v>
      </c>
      <c r="D132" s="266"/>
      <c r="E132" s="267"/>
      <c r="F132" s="268"/>
      <c r="G132" s="266"/>
      <c r="H132" s="266"/>
      <c r="I132" s="268"/>
      <c r="J132" s="266"/>
      <c r="K132" s="269"/>
      <c r="L132" s="269"/>
      <c r="M132" s="260"/>
      <c r="O132" s="1093">
        <f>+O131+O130</f>
        <v>41.479571428571433</v>
      </c>
      <c r="P132" s="1093"/>
      <c r="AD132" s="386"/>
      <c r="AE132" s="755"/>
      <c r="AF132" s="755"/>
      <c r="AG132" s="386"/>
      <c r="AH132" s="386"/>
      <c r="AI132" s="386"/>
      <c r="AJ132" s="755"/>
      <c r="AK132" s="755"/>
      <c r="AL132" s="399"/>
      <c r="AM132" s="399"/>
      <c r="AN132" s="399"/>
      <c r="AO132" s="399"/>
      <c r="AP132" s="401"/>
      <c r="AQ132" s="173"/>
      <c r="AR132" s="173"/>
      <c r="AS132" s="173"/>
      <c r="AT132" s="173"/>
    </row>
    <row r="133" spans="2:46">
      <c r="B133" s="365"/>
      <c r="AD133" s="386"/>
      <c r="AE133" s="402"/>
      <c r="AF133" s="402"/>
      <c r="AG133" s="402"/>
      <c r="AH133" s="386"/>
      <c r="AI133" s="386"/>
      <c r="AJ133" s="402"/>
      <c r="AK133" s="402"/>
      <c r="AL133" s="397"/>
      <c r="AM133" s="386"/>
      <c r="AN133" s="386"/>
      <c r="AO133" s="386"/>
      <c r="AP133" s="173"/>
      <c r="AQ133" s="173"/>
      <c r="AR133" s="173"/>
      <c r="AS133" s="173"/>
      <c r="AT133" s="173"/>
    </row>
    <row r="134" spans="2:46">
      <c r="B134" s="365">
        <f>+B132*6</f>
        <v>248.8774285714286</v>
      </c>
      <c r="C134" s="156" t="s">
        <v>80</v>
      </c>
      <c r="O134" s="1093" t="s">
        <v>81</v>
      </c>
      <c r="P134" s="1093"/>
      <c r="Q134" s="1093"/>
      <c r="R134" s="1093"/>
      <c r="S134" s="1093"/>
      <c r="T134" s="1093"/>
      <c r="U134" s="1093"/>
      <c r="V134" s="1093"/>
      <c r="W134" s="1093"/>
      <c r="X134" s="1093"/>
      <c r="Y134" s="1093"/>
      <c r="Z134" s="1093"/>
      <c r="AD134" s="386"/>
      <c r="AE134" s="386"/>
      <c r="AF134" s="386"/>
      <c r="AG134" s="386"/>
      <c r="AH134" s="386"/>
      <c r="AI134" s="397"/>
      <c r="AJ134" s="397"/>
      <c r="AK134" s="399"/>
      <c r="AL134" s="751"/>
      <c r="AM134" s="755"/>
      <c r="AN134" s="751"/>
      <c r="AO134" s="386"/>
      <c r="AP134" s="173"/>
      <c r="AQ134" s="173"/>
      <c r="AR134" s="173"/>
      <c r="AS134" s="173"/>
      <c r="AT134" s="173"/>
    </row>
    <row r="135" spans="2:46">
      <c r="B135" s="403">
        <f>+B130</f>
        <v>38.479571428571433</v>
      </c>
      <c r="C135" s="270" t="s">
        <v>82</v>
      </c>
      <c r="D135" s="271"/>
      <c r="E135" s="272"/>
      <c r="F135" s="273"/>
      <c r="G135" s="271"/>
      <c r="H135" s="271"/>
      <c r="I135" s="273"/>
      <c r="J135" s="271"/>
      <c r="K135" s="274"/>
      <c r="L135" s="275"/>
      <c r="O135" s="1093">
        <f>+O127*1.1</f>
        <v>1354.683</v>
      </c>
      <c r="P135" s="1093"/>
      <c r="Q135" s="1093" t="s">
        <v>70</v>
      </c>
      <c r="R135" s="1093"/>
      <c r="S135" s="1093"/>
      <c r="T135" s="1093"/>
      <c r="U135" s="1093"/>
      <c r="V135" s="1093"/>
      <c r="W135" s="1093"/>
      <c r="X135" s="1093"/>
      <c r="Y135" s="1093"/>
      <c r="Z135" s="1093"/>
      <c r="AA135" s="6" t="s">
        <v>83</v>
      </c>
      <c r="AG135" s="173"/>
      <c r="AH135" s="173"/>
      <c r="AI135" s="398"/>
      <c r="AJ135" s="398"/>
      <c r="AK135" s="398"/>
      <c r="AL135" s="173"/>
      <c r="AM135" s="173"/>
      <c r="AN135" s="173"/>
      <c r="AO135" s="173"/>
    </row>
    <row r="136" spans="2:46">
      <c r="B136" s="396">
        <f>+B135+B134</f>
        <v>287.35700000000003</v>
      </c>
      <c r="C136" s="259" t="s">
        <v>84</v>
      </c>
      <c r="D136" s="266"/>
      <c r="E136" s="267"/>
      <c r="F136" s="268"/>
      <c r="G136" s="266"/>
      <c r="H136" s="266"/>
      <c r="I136" s="268"/>
      <c r="J136" s="266"/>
      <c r="K136" s="276"/>
      <c r="L136" s="275"/>
      <c r="O136" s="1093">
        <f>+O135/30*7</f>
        <v>316.09270000000004</v>
      </c>
      <c r="P136" s="1093"/>
      <c r="Q136" s="1093" t="s">
        <v>73</v>
      </c>
      <c r="R136" s="1093"/>
      <c r="S136" s="1093"/>
      <c r="T136" s="1093"/>
      <c r="U136" s="1093"/>
      <c r="V136" s="1093"/>
      <c r="W136" s="1093"/>
      <c r="X136" s="1093"/>
      <c r="Y136" s="1093"/>
      <c r="Z136" s="1093"/>
      <c r="AA136" s="1092">
        <f>+O136*0.87</f>
        <v>275.00064900000001</v>
      </c>
      <c r="AB136" s="1092"/>
      <c r="AG136" s="173"/>
      <c r="AH136" s="173"/>
      <c r="AI136" s="398"/>
      <c r="AJ136" s="398"/>
      <c r="AK136" s="277"/>
      <c r="AL136" s="173"/>
      <c r="AM136" s="173"/>
      <c r="AN136" s="173"/>
      <c r="AO136" s="173"/>
    </row>
    <row r="137" spans="2:46">
      <c r="B137" s="404"/>
      <c r="C137" s="278"/>
      <c r="D137" s="226"/>
      <c r="E137" s="279"/>
      <c r="F137" s="280"/>
      <c r="G137" s="226"/>
      <c r="H137" s="226"/>
      <c r="I137" s="280"/>
      <c r="J137" s="226"/>
      <c r="K137" s="275"/>
      <c r="L137" s="275"/>
      <c r="O137" s="1093">
        <f>+O136/7</f>
        <v>45.156100000000002</v>
      </c>
      <c r="P137" s="1093"/>
      <c r="Q137" s="1093" t="s">
        <v>74</v>
      </c>
      <c r="R137" s="1093"/>
      <c r="S137" s="1093"/>
      <c r="T137" s="1093"/>
      <c r="U137" s="1093"/>
      <c r="V137" s="1093"/>
      <c r="W137" s="1093"/>
      <c r="X137" s="1093"/>
      <c r="Y137" s="1093"/>
      <c r="Z137" s="1093"/>
      <c r="AG137" s="173"/>
      <c r="AH137" s="173"/>
      <c r="AI137" s="281"/>
      <c r="AJ137" s="282"/>
      <c r="AK137" s="277"/>
      <c r="AL137" s="173"/>
      <c r="AM137" s="173"/>
      <c r="AN137" s="173"/>
      <c r="AO137" s="173"/>
    </row>
    <row r="138" spans="2:46" ht="15.75">
      <c r="B138" s="405">
        <f>+B136/7</f>
        <v>41.051000000000002</v>
      </c>
      <c r="C138" s="283" t="s">
        <v>85</v>
      </c>
      <c r="D138" s="284"/>
      <c r="E138" s="285"/>
      <c r="F138" s="286"/>
      <c r="G138" s="287"/>
      <c r="H138" s="287"/>
      <c r="I138" s="280"/>
      <c r="J138" s="226"/>
      <c r="K138" s="275"/>
      <c r="L138" s="275"/>
      <c r="O138" s="1094">
        <f>(O136-18)/7</f>
        <v>42.584671428571433</v>
      </c>
      <c r="P138" s="1094"/>
      <c r="Q138" s="1094" t="s">
        <v>76</v>
      </c>
      <c r="R138" s="1094"/>
      <c r="S138" s="1094"/>
      <c r="T138" s="1094"/>
      <c r="U138" s="1094"/>
      <c r="V138" s="1094"/>
      <c r="W138" s="1094"/>
      <c r="X138" s="1094"/>
      <c r="Y138" s="1094"/>
      <c r="Z138" s="1094"/>
      <c r="AG138" s="173"/>
      <c r="AH138" s="173"/>
      <c r="AI138" s="173"/>
      <c r="AJ138" s="173"/>
      <c r="AK138" s="277"/>
      <c r="AL138" s="173"/>
      <c r="AM138" s="173"/>
      <c r="AN138" s="173"/>
      <c r="AO138" s="173"/>
    </row>
    <row r="139" spans="2:46">
      <c r="B139" s="404"/>
      <c r="C139" s="278"/>
      <c r="D139" s="226"/>
      <c r="E139" s="279"/>
      <c r="F139" s="280"/>
      <c r="G139" s="226"/>
      <c r="H139" s="226"/>
      <c r="I139" s="280"/>
      <c r="J139" s="226"/>
      <c r="K139" s="275"/>
      <c r="L139" s="275"/>
      <c r="O139" s="1093">
        <v>3</v>
      </c>
      <c r="P139" s="1093"/>
      <c r="Q139" s="1093" t="s">
        <v>78</v>
      </c>
      <c r="R139" s="1093"/>
      <c r="S139" s="1093"/>
      <c r="T139" s="1093"/>
      <c r="U139" s="1093"/>
      <c r="V139" s="1093"/>
      <c r="W139" s="1093"/>
      <c r="X139" s="1093"/>
      <c r="Y139" s="1093"/>
      <c r="Z139" s="109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2:46">
      <c r="B140" s="404"/>
      <c r="C140" s="278"/>
      <c r="D140" s="226"/>
      <c r="E140" s="279"/>
      <c r="F140" s="280"/>
      <c r="G140" s="226"/>
      <c r="H140" s="226"/>
      <c r="I140" s="280"/>
      <c r="J140" s="226"/>
      <c r="K140" s="275"/>
      <c r="L140" s="275"/>
      <c r="O140" s="1093">
        <f>+O139+O138</f>
        <v>45.584671428571433</v>
      </c>
      <c r="P140" s="109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2:46">
      <c r="B141" s="365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2:46" ht="26.25" thickBot="1">
      <c r="B142" s="256" t="s">
        <v>56</v>
      </c>
      <c r="H142" s="1124">
        <v>42744</v>
      </c>
      <c r="I142" s="1124"/>
      <c r="J142" s="1124"/>
      <c r="K142" s="1124"/>
      <c r="L142" s="1124"/>
      <c r="M142" s="1124"/>
      <c r="N142" s="1124"/>
      <c r="AD142" s="257"/>
      <c r="AE142" s="257"/>
      <c r="AF142" s="257"/>
      <c r="AG142" s="104"/>
      <c r="AH142" s="104"/>
      <c r="AI142" s="104"/>
      <c r="AJ142" s="255"/>
      <c r="AK142" s="255"/>
    </row>
    <row r="143" spans="2:46" ht="16.5" thickBot="1">
      <c r="B143" s="395">
        <v>1232.1400000000001</v>
      </c>
      <c r="C143" s="156" t="s">
        <v>66</v>
      </c>
      <c r="AD143" s="386"/>
      <c r="AE143" s="386"/>
      <c r="AF143" s="386"/>
      <c r="AG143" s="386"/>
      <c r="AH143" s="386"/>
      <c r="AI143" s="386"/>
      <c r="AJ143" s="386"/>
      <c r="AK143" s="386"/>
      <c r="AL143" s="386"/>
      <c r="AM143" s="386"/>
      <c r="AN143" s="386"/>
      <c r="AO143" s="386"/>
      <c r="AP143" s="173"/>
      <c r="AQ143" s="173"/>
      <c r="AR143" s="173"/>
      <c r="AS143" s="173"/>
      <c r="AT143" s="173"/>
    </row>
    <row r="144" spans="2:46" ht="15.75">
      <c r="B144" s="365">
        <f>+B143/30*7</f>
        <v>287.49933333333337</v>
      </c>
      <c r="C144" s="156" t="s">
        <v>67</v>
      </c>
      <c r="D144" s="258"/>
      <c r="O144" s="1093" t="s">
        <v>68</v>
      </c>
      <c r="P144" s="1093"/>
      <c r="Q144" s="1093"/>
      <c r="R144" s="1093"/>
      <c r="S144" s="1093"/>
      <c r="T144" s="1093"/>
      <c r="U144" s="1093"/>
      <c r="V144" s="1093"/>
      <c r="W144" s="1093"/>
      <c r="X144" s="1093"/>
      <c r="Y144" s="1093"/>
      <c r="Z144" s="1093"/>
      <c r="AD144" s="386"/>
      <c r="AE144" s="755"/>
      <c r="AF144" s="755"/>
      <c r="AG144" s="386"/>
      <c r="AH144" s="386"/>
      <c r="AI144" s="386"/>
      <c r="AJ144" s="755"/>
      <c r="AK144" s="755"/>
      <c r="AL144" s="386"/>
      <c r="AM144" s="386"/>
      <c r="AN144" s="386"/>
      <c r="AO144" s="386"/>
      <c r="AP144" s="173"/>
      <c r="AQ144" s="173"/>
      <c r="AR144" s="173"/>
      <c r="AS144" s="173"/>
      <c r="AT144" s="173"/>
    </row>
    <row r="145" spans="2:46">
      <c r="B145" s="365">
        <f>+B144-18</f>
        <v>269.49933333333337</v>
      </c>
      <c r="C145" s="156" t="s">
        <v>69</v>
      </c>
      <c r="O145" s="1093">
        <f>+B143</f>
        <v>1232.1400000000001</v>
      </c>
      <c r="P145" s="1093"/>
      <c r="Q145" s="1093" t="s">
        <v>70</v>
      </c>
      <c r="R145" s="1093"/>
      <c r="S145" s="1093"/>
      <c r="T145" s="1093"/>
      <c r="U145" s="1093"/>
      <c r="V145" s="1093"/>
      <c r="W145" s="1093"/>
      <c r="X145" s="1093"/>
      <c r="Y145" s="1093"/>
      <c r="Z145" s="1093"/>
      <c r="AA145" s="6" t="s">
        <v>71</v>
      </c>
      <c r="AD145" s="386"/>
      <c r="AE145" s="755"/>
      <c r="AF145" s="755"/>
      <c r="AG145" s="386"/>
      <c r="AH145" s="386"/>
      <c r="AI145" s="386"/>
      <c r="AJ145" s="755"/>
      <c r="AK145" s="755"/>
      <c r="AL145" s="386"/>
      <c r="AM145" s="386"/>
      <c r="AN145" s="386"/>
      <c r="AO145" s="386"/>
      <c r="AP145" s="173"/>
      <c r="AQ145" s="173"/>
      <c r="AR145" s="173"/>
      <c r="AS145" s="173"/>
      <c r="AT145" s="173"/>
    </row>
    <row r="146" spans="2:46">
      <c r="B146" s="396">
        <f>+B145/7+0</f>
        <v>38.499904761904766</v>
      </c>
      <c r="C146" s="259" t="s">
        <v>72</v>
      </c>
      <c r="D146" s="260"/>
      <c r="O146" s="1093">
        <f>+O145/30*7</f>
        <v>287.49933333333337</v>
      </c>
      <c r="P146" s="1093"/>
      <c r="Q146" s="1093" t="s">
        <v>73</v>
      </c>
      <c r="R146" s="1093"/>
      <c r="S146" s="1093"/>
      <c r="T146" s="1093"/>
      <c r="U146" s="1093"/>
      <c r="V146" s="1093"/>
      <c r="W146" s="1093"/>
      <c r="X146" s="1093"/>
      <c r="Y146" s="1093"/>
      <c r="Z146" s="1093"/>
      <c r="AA146" s="1092">
        <f>+O146*0.87</f>
        <v>250.12442000000001</v>
      </c>
      <c r="AB146" s="1092"/>
      <c r="AD146" s="386"/>
      <c r="AE146" s="261"/>
      <c r="AF146" s="261"/>
      <c r="AG146" s="386"/>
      <c r="AH146" s="386"/>
      <c r="AI146" s="386"/>
      <c r="AJ146" s="261"/>
      <c r="AK146" s="261"/>
      <c r="AL146" s="397"/>
      <c r="AM146" s="397"/>
      <c r="AN146" s="397"/>
      <c r="AO146" s="397"/>
      <c r="AP146" s="398"/>
      <c r="AQ146" s="398"/>
      <c r="AR146" s="173"/>
      <c r="AS146" s="173"/>
      <c r="AT146" s="173"/>
    </row>
    <row r="147" spans="2:46">
      <c r="O147" s="1093">
        <f>+O146/7</f>
        <v>41.071333333333335</v>
      </c>
      <c r="P147" s="1093"/>
      <c r="Q147" s="1093" t="s">
        <v>74</v>
      </c>
      <c r="R147" s="1093"/>
      <c r="S147" s="1093"/>
      <c r="T147" s="1093"/>
      <c r="U147" s="1093"/>
      <c r="V147" s="1093"/>
      <c r="W147" s="1093"/>
      <c r="X147" s="1093"/>
      <c r="Y147" s="1093"/>
      <c r="Z147" s="1093"/>
      <c r="AD147" s="386"/>
      <c r="AE147" s="755"/>
      <c r="AF147" s="755"/>
      <c r="AG147" s="386"/>
      <c r="AH147" s="386"/>
      <c r="AI147" s="386"/>
      <c r="AJ147" s="755"/>
      <c r="AK147" s="755"/>
      <c r="AL147" s="399"/>
      <c r="AM147" s="399"/>
      <c r="AN147" s="397"/>
      <c r="AO147" s="397"/>
      <c r="AP147" s="398"/>
      <c r="AQ147" s="398"/>
      <c r="AR147" s="173"/>
      <c r="AS147" s="173"/>
      <c r="AT147" s="173"/>
    </row>
    <row r="148" spans="2:46" ht="15.75">
      <c r="B148" s="400">
        <f>+B146</f>
        <v>38.499904761904766</v>
      </c>
      <c r="C148" s="262" t="s">
        <v>75</v>
      </c>
      <c r="D148" s="263"/>
      <c r="E148" s="263"/>
      <c r="F148" s="263"/>
      <c r="O148" s="1094">
        <f>(O146-18)/7</f>
        <v>38.499904761904766</v>
      </c>
      <c r="P148" s="1094"/>
      <c r="Q148" s="1094" t="s">
        <v>76</v>
      </c>
      <c r="R148" s="1094"/>
      <c r="S148" s="1094"/>
      <c r="T148" s="1094"/>
      <c r="U148" s="1094"/>
      <c r="V148" s="1094"/>
      <c r="W148" s="1094"/>
      <c r="X148" s="1094"/>
      <c r="Y148" s="1094"/>
      <c r="Z148" s="1094"/>
      <c r="AD148" s="386"/>
      <c r="AE148" s="264"/>
      <c r="AF148" s="264"/>
      <c r="AG148" s="265"/>
      <c r="AH148" s="265"/>
      <c r="AI148" s="265"/>
      <c r="AJ148" s="264"/>
      <c r="AK148" s="264"/>
      <c r="AL148" s="397"/>
      <c r="AM148" s="397"/>
      <c r="AN148" s="397"/>
      <c r="AO148" s="397"/>
      <c r="AP148" s="398"/>
      <c r="AQ148" s="398"/>
      <c r="AR148" s="173"/>
      <c r="AS148" s="173"/>
      <c r="AT148" s="173"/>
    </row>
    <row r="149" spans="2:46">
      <c r="B149" s="365">
        <v>3</v>
      </c>
      <c r="C149" s="156" t="s">
        <v>77</v>
      </c>
      <c r="O149" s="1093">
        <v>3</v>
      </c>
      <c r="P149" s="1093"/>
      <c r="Q149" s="1093" t="s">
        <v>78</v>
      </c>
      <c r="R149" s="1093"/>
      <c r="S149" s="1093"/>
      <c r="T149" s="1093"/>
      <c r="U149" s="1093"/>
      <c r="V149" s="1093"/>
      <c r="W149" s="1093"/>
      <c r="X149" s="1093"/>
      <c r="Y149" s="1093"/>
      <c r="Z149" s="1093"/>
      <c r="AD149" s="386"/>
      <c r="AE149" s="386"/>
      <c r="AF149" s="991">
        <v>993814365</v>
      </c>
      <c r="AG149" s="991"/>
      <c r="AH149" s="991"/>
      <c r="AI149" s="991"/>
      <c r="AJ149" s="991"/>
      <c r="AK149" s="386"/>
      <c r="AL149" s="397"/>
      <c r="AM149" s="397"/>
      <c r="AN149" s="397"/>
      <c r="AO149" s="397"/>
      <c r="AP149" s="398"/>
      <c r="AQ149" s="398"/>
      <c r="AR149" s="173"/>
      <c r="AS149" s="173"/>
      <c r="AT149" s="173"/>
    </row>
    <row r="150" spans="2:46">
      <c r="B150" s="396">
        <f>+B149+B148</f>
        <v>41.499904761904766</v>
      </c>
      <c r="C150" s="259" t="s">
        <v>79</v>
      </c>
      <c r="D150" s="266"/>
      <c r="E150" s="267"/>
      <c r="F150" s="268"/>
      <c r="G150" s="266"/>
      <c r="H150" s="266"/>
      <c r="I150" s="268"/>
      <c r="J150" s="266"/>
      <c r="K150" s="269"/>
      <c r="L150" s="269"/>
      <c r="M150" s="260"/>
      <c r="O150" s="1093">
        <f>+O149+O148</f>
        <v>41.499904761904766</v>
      </c>
      <c r="P150" s="1093"/>
      <c r="AD150" s="386"/>
      <c r="AE150" s="755"/>
      <c r="AF150" s="755"/>
      <c r="AG150" s="386"/>
      <c r="AH150" s="386"/>
      <c r="AI150" s="386"/>
      <c r="AJ150" s="755"/>
      <c r="AK150" s="755"/>
      <c r="AL150" s="399"/>
      <c r="AM150" s="399"/>
      <c r="AN150" s="399"/>
      <c r="AO150" s="399"/>
      <c r="AP150" s="401"/>
      <c r="AQ150" s="173"/>
      <c r="AR150" s="173"/>
      <c r="AS150" s="173"/>
      <c r="AT150" s="173"/>
    </row>
    <row r="151" spans="2:46">
      <c r="B151" s="365"/>
      <c r="AD151" s="386"/>
      <c r="AE151" s="402"/>
      <c r="AF151" s="402"/>
      <c r="AG151" s="402"/>
      <c r="AH151" s="386"/>
      <c r="AI151" s="386"/>
      <c r="AJ151" s="402"/>
      <c r="AK151" s="402"/>
      <c r="AL151" s="397"/>
      <c r="AM151" s="386"/>
      <c r="AN151" s="386"/>
      <c r="AO151" s="386"/>
      <c r="AP151" s="173"/>
      <c r="AQ151" s="173"/>
      <c r="AR151" s="173"/>
      <c r="AS151" s="173"/>
      <c r="AT151" s="173"/>
    </row>
    <row r="152" spans="2:46">
      <c r="B152" s="365">
        <f>+B150*6</f>
        <v>248.99942857142861</v>
      </c>
      <c r="C152" s="156" t="s">
        <v>80</v>
      </c>
      <c r="O152" s="1093" t="s">
        <v>81</v>
      </c>
      <c r="P152" s="1093"/>
      <c r="Q152" s="1093"/>
      <c r="R152" s="1093"/>
      <c r="S152" s="1093"/>
      <c r="T152" s="1093"/>
      <c r="U152" s="1093"/>
      <c r="V152" s="1093"/>
      <c r="W152" s="1093"/>
      <c r="X152" s="1093"/>
      <c r="Y152" s="1093"/>
      <c r="Z152" s="1093"/>
      <c r="AD152" s="386"/>
      <c r="AE152" s="386"/>
      <c r="AF152" s="386"/>
      <c r="AG152" s="386"/>
      <c r="AH152" s="386"/>
      <c r="AI152" s="397"/>
      <c r="AJ152" s="397"/>
      <c r="AK152" s="399"/>
      <c r="AL152" s="751"/>
      <c r="AM152" s="755"/>
      <c r="AN152" s="751"/>
      <c r="AO152" s="386"/>
      <c r="AP152" s="173"/>
      <c r="AQ152" s="173"/>
      <c r="AR152" s="173"/>
      <c r="AS152" s="173"/>
      <c r="AT152" s="173"/>
    </row>
    <row r="153" spans="2:46">
      <c r="B153" s="403">
        <f>+B148</f>
        <v>38.499904761904766</v>
      </c>
      <c r="C153" s="270" t="s">
        <v>82</v>
      </c>
      <c r="D153" s="271"/>
      <c r="E153" s="272"/>
      <c r="F153" s="273"/>
      <c r="G153" s="271"/>
      <c r="H153" s="271"/>
      <c r="I153" s="273"/>
      <c r="J153" s="271"/>
      <c r="K153" s="274"/>
      <c r="L153" s="275"/>
      <c r="O153" s="1093">
        <f>+O145*1.1</f>
        <v>1355.3540000000003</v>
      </c>
      <c r="P153" s="1093"/>
      <c r="Q153" s="1093" t="s">
        <v>70</v>
      </c>
      <c r="R153" s="1093"/>
      <c r="S153" s="1093"/>
      <c r="T153" s="1093"/>
      <c r="U153" s="1093"/>
      <c r="V153" s="1093"/>
      <c r="W153" s="1093"/>
      <c r="X153" s="1093"/>
      <c r="Y153" s="1093"/>
      <c r="Z153" s="1093"/>
      <c r="AA153" s="6" t="s">
        <v>83</v>
      </c>
      <c r="AG153" s="173"/>
      <c r="AH153" s="173"/>
      <c r="AI153" s="398"/>
      <c r="AJ153" s="398"/>
      <c r="AK153" s="398"/>
      <c r="AL153" s="173"/>
      <c r="AM153" s="173"/>
      <c r="AN153" s="173"/>
      <c r="AO153" s="173"/>
    </row>
    <row r="154" spans="2:46">
      <c r="B154" s="396">
        <f>+B153+B152</f>
        <v>287.49933333333337</v>
      </c>
      <c r="C154" s="259" t="s">
        <v>84</v>
      </c>
      <c r="D154" s="266"/>
      <c r="E154" s="267"/>
      <c r="F154" s="268"/>
      <c r="G154" s="266"/>
      <c r="H154" s="266"/>
      <c r="I154" s="268"/>
      <c r="J154" s="266"/>
      <c r="K154" s="276"/>
      <c r="L154" s="275"/>
      <c r="O154" s="1093">
        <f>+O153/30*7</f>
        <v>316.2492666666667</v>
      </c>
      <c r="P154" s="1093"/>
      <c r="Q154" s="1093" t="s">
        <v>73</v>
      </c>
      <c r="R154" s="1093"/>
      <c r="S154" s="1093"/>
      <c r="T154" s="1093"/>
      <c r="U154" s="1093"/>
      <c r="V154" s="1093"/>
      <c r="W154" s="1093"/>
      <c r="X154" s="1093"/>
      <c r="Y154" s="1093"/>
      <c r="Z154" s="1093"/>
      <c r="AA154" s="1092">
        <f>+O154*0.87</f>
        <v>275.13686200000001</v>
      </c>
      <c r="AB154" s="1092"/>
      <c r="AG154" s="173"/>
      <c r="AH154" s="173"/>
      <c r="AI154" s="398"/>
      <c r="AJ154" s="398"/>
      <c r="AK154" s="277"/>
      <c r="AL154" s="173"/>
      <c r="AM154" s="173"/>
      <c r="AN154" s="173"/>
      <c r="AO154" s="173"/>
    </row>
    <row r="155" spans="2:46">
      <c r="B155" s="404"/>
      <c r="C155" s="278"/>
      <c r="D155" s="226"/>
      <c r="E155" s="279"/>
      <c r="F155" s="280"/>
      <c r="G155" s="226"/>
      <c r="H155" s="226"/>
      <c r="I155" s="280"/>
      <c r="J155" s="226"/>
      <c r="K155" s="275"/>
      <c r="L155" s="275"/>
      <c r="O155" s="1093">
        <f>+O154/7</f>
        <v>45.178466666666672</v>
      </c>
      <c r="P155" s="1093"/>
      <c r="Q155" s="1093" t="s">
        <v>74</v>
      </c>
      <c r="R155" s="1093"/>
      <c r="S155" s="1093"/>
      <c r="T155" s="1093"/>
      <c r="U155" s="1093"/>
      <c r="V155" s="1093"/>
      <c r="W155" s="1093"/>
      <c r="X155" s="1093"/>
      <c r="Y155" s="1093"/>
      <c r="Z155" s="1093"/>
      <c r="AG155" s="173"/>
      <c r="AH155" s="173"/>
      <c r="AI155" s="281"/>
      <c r="AJ155" s="282"/>
      <c r="AK155" s="277"/>
      <c r="AL155" s="173"/>
      <c r="AM155" s="173"/>
      <c r="AN155" s="173"/>
      <c r="AO155" s="173"/>
    </row>
    <row r="156" spans="2:46" ht="15.75">
      <c r="B156" s="405">
        <f>+B154/7</f>
        <v>41.071333333333335</v>
      </c>
      <c r="C156" s="283" t="s">
        <v>85</v>
      </c>
      <c r="D156" s="284"/>
      <c r="E156" s="285"/>
      <c r="F156" s="286"/>
      <c r="G156" s="287"/>
      <c r="H156" s="287"/>
      <c r="I156" s="280"/>
      <c r="J156" s="226"/>
      <c r="K156" s="275"/>
      <c r="L156" s="275"/>
      <c r="O156" s="1094">
        <f>(O154-18)/7</f>
        <v>42.607038095238103</v>
      </c>
      <c r="P156" s="1094"/>
      <c r="Q156" s="1094" t="s">
        <v>76</v>
      </c>
      <c r="R156" s="1094"/>
      <c r="S156" s="1094"/>
      <c r="T156" s="1094"/>
      <c r="U156" s="1094"/>
      <c r="V156" s="1094"/>
      <c r="W156" s="1094"/>
      <c r="X156" s="1094"/>
      <c r="Y156" s="1094"/>
      <c r="Z156" s="1094"/>
      <c r="AG156" s="173"/>
      <c r="AH156" s="173"/>
      <c r="AI156" s="173"/>
      <c r="AJ156" s="173"/>
      <c r="AK156" s="277"/>
      <c r="AL156" s="173"/>
      <c r="AM156" s="173"/>
      <c r="AN156" s="173"/>
      <c r="AO156" s="173"/>
    </row>
    <row r="157" spans="2:46">
      <c r="B157" s="404"/>
      <c r="C157" s="278"/>
      <c r="D157" s="226"/>
      <c r="E157" s="279"/>
      <c r="F157" s="280"/>
      <c r="G157" s="226"/>
      <c r="H157" s="226"/>
      <c r="I157" s="280"/>
      <c r="J157" s="226"/>
      <c r="K157" s="275"/>
      <c r="L157" s="275"/>
      <c r="O157" s="1093">
        <v>3</v>
      </c>
      <c r="P157" s="1093"/>
      <c r="Q157" s="1093" t="s">
        <v>78</v>
      </c>
      <c r="R157" s="1093"/>
      <c r="S157" s="1093"/>
      <c r="T157" s="1093"/>
      <c r="U157" s="1093"/>
      <c r="V157" s="1093"/>
      <c r="W157" s="1093"/>
      <c r="X157" s="1093"/>
      <c r="Y157" s="1093"/>
      <c r="Z157" s="109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2:46">
      <c r="B158" s="404"/>
      <c r="C158" s="278"/>
      <c r="D158" s="226"/>
      <c r="E158" s="279"/>
      <c r="F158" s="280"/>
      <c r="G158" s="226"/>
      <c r="H158" s="226"/>
      <c r="I158" s="280"/>
      <c r="J158" s="226"/>
      <c r="K158" s="275"/>
      <c r="L158" s="275"/>
      <c r="O158" s="1093">
        <f>+O157+O156</f>
        <v>45.607038095238103</v>
      </c>
      <c r="P158" s="109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2:46">
      <c r="B159" s="365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2:46"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2:46"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6" ht="26.25" thickBot="1">
      <c r="B162" s="256" t="s">
        <v>86</v>
      </c>
      <c r="H162" s="1124">
        <v>42736</v>
      </c>
      <c r="I162" s="1124"/>
      <c r="J162" s="1124"/>
      <c r="K162" s="1124"/>
      <c r="L162" s="1124"/>
      <c r="M162" s="1124"/>
      <c r="N162" s="1124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2:46" ht="16.5" thickBot="1">
      <c r="B163" s="395">
        <v>850</v>
      </c>
      <c r="C163" s="156" t="s">
        <v>66</v>
      </c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173"/>
      <c r="AQ163" s="173"/>
      <c r="AR163" s="173"/>
      <c r="AS163" s="173"/>
      <c r="AT163" s="173"/>
    </row>
    <row r="164" spans="2:46" ht="15.75">
      <c r="B164" s="365">
        <f>+B163/30*7</f>
        <v>198.33333333333331</v>
      </c>
      <c r="C164" s="156" t="s">
        <v>67</v>
      </c>
      <c r="D164" s="258"/>
      <c r="O164" s="1093" t="s">
        <v>68</v>
      </c>
      <c r="P164" s="1093"/>
      <c r="Q164" s="1093"/>
      <c r="R164" s="1093"/>
      <c r="S164" s="1093"/>
      <c r="T164" s="1093"/>
      <c r="U164" s="1093"/>
      <c r="V164" s="1093"/>
      <c r="W164" s="1093"/>
      <c r="X164" s="1093"/>
      <c r="Y164" s="1093"/>
      <c r="Z164" s="1093"/>
      <c r="AD164" s="386"/>
      <c r="AE164" s="755"/>
      <c r="AF164" s="755"/>
      <c r="AG164" s="386"/>
      <c r="AH164" s="386"/>
      <c r="AI164" s="386"/>
      <c r="AJ164" s="755"/>
      <c r="AK164" s="755"/>
      <c r="AL164" s="386"/>
      <c r="AM164" s="386"/>
      <c r="AN164" s="386"/>
      <c r="AO164" s="386"/>
      <c r="AP164" s="173"/>
      <c r="AQ164" s="173"/>
      <c r="AR164" s="173"/>
      <c r="AS164" s="173"/>
      <c r="AT164" s="173"/>
    </row>
    <row r="165" spans="2:46">
      <c r="B165" s="365">
        <f>+B164-18</f>
        <v>180.33333333333331</v>
      </c>
      <c r="C165" s="156" t="s">
        <v>69</v>
      </c>
      <c r="O165" s="1093">
        <f>+B163</f>
        <v>850</v>
      </c>
      <c r="P165" s="1093"/>
      <c r="Q165" s="1093" t="s">
        <v>70</v>
      </c>
      <c r="R165" s="1093"/>
      <c r="S165" s="1093"/>
      <c r="T165" s="1093"/>
      <c r="U165" s="1093"/>
      <c r="V165" s="1093"/>
      <c r="W165" s="1093"/>
      <c r="X165" s="1093"/>
      <c r="Y165" s="1093"/>
      <c r="Z165" s="1093"/>
      <c r="AA165" s="6" t="s">
        <v>71</v>
      </c>
      <c r="AD165" s="406" t="s">
        <v>87</v>
      </c>
      <c r="AE165" s="288"/>
      <c r="AF165" s="288"/>
      <c r="AG165" s="1122">
        <v>233.32</v>
      </c>
      <c r="AH165" s="1122"/>
      <c r="AI165" s="289"/>
      <c r="AJ165" s="1123">
        <f>233.32-AG165</f>
        <v>0</v>
      </c>
      <c r="AK165" s="1123"/>
      <c r="AL165" s="290"/>
      <c r="AM165" s="386"/>
      <c r="AN165" s="386"/>
      <c r="AO165" s="386"/>
      <c r="AP165" s="173"/>
      <c r="AQ165" s="173"/>
      <c r="AR165" s="173"/>
      <c r="AS165" s="173"/>
      <c r="AT165" s="173"/>
    </row>
    <row r="166" spans="2:46">
      <c r="B166" s="396">
        <f>+B165/7</f>
        <v>25.761904761904759</v>
      </c>
      <c r="C166" s="259" t="s">
        <v>72</v>
      </c>
      <c r="D166" s="260"/>
      <c r="O166" s="1093">
        <f>+O165/30*7</f>
        <v>198.33333333333331</v>
      </c>
      <c r="P166" s="1093"/>
      <c r="Q166" s="1093" t="s">
        <v>73</v>
      </c>
      <c r="R166" s="1093"/>
      <c r="S166" s="1093"/>
      <c r="T166" s="1093"/>
      <c r="U166" s="1093"/>
      <c r="V166" s="1093"/>
      <c r="W166" s="1093"/>
      <c r="X166" s="1093"/>
      <c r="Y166" s="1093"/>
      <c r="Z166" s="1093"/>
      <c r="AA166" s="1092">
        <f>+O166*0.87</f>
        <v>172.54999999999998</v>
      </c>
      <c r="AB166" s="1092"/>
      <c r="AD166" s="407" t="s">
        <v>88</v>
      </c>
      <c r="AE166" s="291"/>
      <c r="AF166" s="291"/>
      <c r="AG166" s="1118">
        <f>218.15-19.83</f>
        <v>198.32</v>
      </c>
      <c r="AH166" s="1118"/>
      <c r="AI166" s="292"/>
      <c r="AJ166" s="1119">
        <f>233.32-AG166</f>
        <v>35</v>
      </c>
      <c r="AK166" s="1119"/>
      <c r="AL166" s="408"/>
      <c r="AM166" s="397"/>
      <c r="AN166" s="397"/>
      <c r="AO166" s="397"/>
      <c r="AP166" s="398"/>
      <c r="AQ166" s="398"/>
      <c r="AR166" s="173"/>
      <c r="AS166" s="173"/>
      <c r="AT166" s="173"/>
    </row>
    <row r="167" spans="2:46">
      <c r="O167" s="1093">
        <f>+O166/7</f>
        <v>28.333333333333332</v>
      </c>
      <c r="P167" s="1093"/>
      <c r="Q167" s="1093" t="s">
        <v>74</v>
      </c>
      <c r="R167" s="1093"/>
      <c r="S167" s="1093"/>
      <c r="T167" s="1093"/>
      <c r="U167" s="1093"/>
      <c r="V167" s="1093"/>
      <c r="W167" s="1093"/>
      <c r="X167" s="1093"/>
      <c r="Y167" s="1093"/>
      <c r="Z167" s="1093"/>
      <c r="AD167" s="407" t="s">
        <v>89</v>
      </c>
      <c r="AE167" s="293"/>
      <c r="AF167" s="293"/>
      <c r="AG167" s="1118">
        <f>218.15-19.83</f>
        <v>198.32</v>
      </c>
      <c r="AH167" s="1118"/>
      <c r="AI167" s="292"/>
      <c r="AJ167" s="1119">
        <f>233.32-AG167</f>
        <v>35</v>
      </c>
      <c r="AK167" s="1119"/>
      <c r="AL167" s="409"/>
      <c r="AM167" s="399"/>
      <c r="AN167" s="397"/>
      <c r="AO167" s="397"/>
      <c r="AP167" s="398"/>
      <c r="AQ167" s="398"/>
      <c r="AR167" s="173"/>
      <c r="AS167" s="173"/>
      <c r="AT167" s="173"/>
    </row>
    <row r="168" spans="2:46" ht="15.75">
      <c r="B168" s="400">
        <f>+B166</f>
        <v>25.761904761904759</v>
      </c>
      <c r="C168" s="262" t="s">
        <v>75</v>
      </c>
      <c r="D168" s="263"/>
      <c r="E168" s="263"/>
      <c r="F168" s="263"/>
      <c r="O168" s="1094">
        <f>(O166-18)/7</f>
        <v>25.761904761904759</v>
      </c>
      <c r="P168" s="1094"/>
      <c r="Q168" s="1094" t="s">
        <v>76</v>
      </c>
      <c r="R168" s="1094"/>
      <c r="S168" s="1094"/>
      <c r="T168" s="1094"/>
      <c r="U168" s="1094"/>
      <c r="V168" s="1094"/>
      <c r="W168" s="1094"/>
      <c r="X168" s="1094"/>
      <c r="Y168" s="1094"/>
      <c r="Z168" s="1094"/>
      <c r="AD168" s="407" t="s">
        <v>90</v>
      </c>
      <c r="AE168" s="294"/>
      <c r="AF168" s="294"/>
      <c r="AG168" s="1118">
        <f>228.07-29.75</f>
        <v>198.32</v>
      </c>
      <c r="AH168" s="1118"/>
      <c r="AI168" s="295"/>
      <c r="AJ168" s="1119">
        <f>233.32-AG168</f>
        <v>35</v>
      </c>
      <c r="AK168" s="1119"/>
      <c r="AL168" s="408"/>
      <c r="AM168" s="397"/>
      <c r="AN168" s="397"/>
      <c r="AO168" s="397"/>
      <c r="AP168" s="398"/>
      <c r="AQ168" s="398"/>
      <c r="AR168" s="173"/>
      <c r="AS168" s="173"/>
      <c r="AT168" s="173"/>
    </row>
    <row r="169" spans="2:46">
      <c r="B169" s="365">
        <v>3</v>
      </c>
      <c r="C169" s="156" t="s">
        <v>77</v>
      </c>
      <c r="O169" s="1093">
        <v>3</v>
      </c>
      <c r="P169" s="1093"/>
      <c r="Q169" s="1093" t="s">
        <v>78</v>
      </c>
      <c r="R169" s="1093"/>
      <c r="S169" s="1093"/>
      <c r="T169" s="1093"/>
      <c r="U169" s="1093"/>
      <c r="V169" s="1093"/>
      <c r="W169" s="1093"/>
      <c r="X169" s="1093"/>
      <c r="Y169" s="1093"/>
      <c r="Z169" s="1093"/>
      <c r="AD169" s="407" t="s">
        <v>91</v>
      </c>
      <c r="AE169" s="292"/>
      <c r="AF169" s="294"/>
      <c r="AG169" s="1118">
        <f>208.24-9.92</f>
        <v>198.32000000000002</v>
      </c>
      <c r="AH169" s="1118"/>
      <c r="AI169" s="295"/>
      <c r="AJ169" s="1119">
        <f>233.32-AG169</f>
        <v>34.999999999999972</v>
      </c>
      <c r="AK169" s="1119"/>
      <c r="AL169" s="408"/>
      <c r="AM169" s="397"/>
      <c r="AN169" s="397"/>
      <c r="AO169" s="397"/>
      <c r="AP169" s="398"/>
      <c r="AQ169" s="398"/>
      <c r="AR169" s="173"/>
      <c r="AS169" s="173"/>
      <c r="AT169" s="173"/>
    </row>
    <row r="170" spans="2:46">
      <c r="B170" s="396">
        <f>+B169+B168</f>
        <v>28.761904761904759</v>
      </c>
      <c r="C170" s="259" t="s">
        <v>79</v>
      </c>
      <c r="D170" s="266"/>
      <c r="E170" s="267"/>
      <c r="F170" s="268"/>
      <c r="G170" s="266"/>
      <c r="H170" s="266"/>
      <c r="I170" s="268"/>
      <c r="J170" s="266"/>
      <c r="K170" s="269"/>
      <c r="L170" s="269"/>
      <c r="M170" s="260"/>
      <c r="O170" s="1093">
        <f>+O169+O168</f>
        <v>28.761904761904759</v>
      </c>
      <c r="P170" s="1093"/>
      <c r="AD170" s="296"/>
      <c r="AE170" s="293"/>
      <c r="AF170" s="293"/>
      <c r="AG170" s="297" t="s">
        <v>92</v>
      </c>
      <c r="AH170" s="298"/>
      <c r="AI170" s="292"/>
      <c r="AJ170" s="293"/>
      <c r="AK170" s="1120">
        <f>SUM(AJ165:AK169)</f>
        <v>139.99999999999997</v>
      </c>
      <c r="AL170" s="1121"/>
      <c r="AM170" s="399"/>
      <c r="AN170" s="399"/>
      <c r="AO170" s="399"/>
      <c r="AP170" s="401"/>
      <c r="AQ170" s="173"/>
      <c r="AR170" s="173"/>
      <c r="AS170" s="173"/>
      <c r="AT170" s="173"/>
    </row>
    <row r="171" spans="2:46">
      <c r="B171" s="365"/>
      <c r="AD171" s="299"/>
      <c r="AE171" s="410"/>
      <c r="AF171" s="410"/>
      <c r="AG171" s="300"/>
      <c r="AH171" s="301"/>
      <c r="AI171" s="411" t="s">
        <v>93</v>
      </c>
      <c r="AJ171" s="410"/>
      <c r="AK171" s="410"/>
      <c r="AL171" s="412"/>
      <c r="AM171" s="386"/>
      <c r="AN171" s="386"/>
      <c r="AO171" s="386"/>
      <c r="AP171" s="173"/>
      <c r="AQ171" s="173"/>
      <c r="AR171" s="173"/>
      <c r="AS171" s="173"/>
      <c r="AT171" s="173"/>
    </row>
    <row r="172" spans="2:46">
      <c r="B172" s="365">
        <f>+B170*6</f>
        <v>172.57142857142856</v>
      </c>
      <c r="C172" s="156" t="s">
        <v>80</v>
      </c>
      <c r="O172" s="1093" t="s">
        <v>81</v>
      </c>
      <c r="P172" s="1093"/>
      <c r="Q172" s="1093"/>
      <c r="R172" s="1093"/>
      <c r="S172" s="1093"/>
      <c r="T172" s="1093"/>
      <c r="U172" s="1093"/>
      <c r="V172" s="1093"/>
      <c r="W172" s="1093"/>
      <c r="X172" s="1093"/>
      <c r="Y172" s="1093"/>
      <c r="Z172" s="1093"/>
      <c r="AD172" s="386"/>
      <c r="AE172" s="386"/>
      <c r="AF172" s="386"/>
      <c r="AG172" s="386"/>
      <c r="AH172" s="386"/>
      <c r="AI172" s="397"/>
      <c r="AJ172" s="397"/>
      <c r="AK172" s="399"/>
      <c r="AL172" s="751"/>
      <c r="AM172" s="755"/>
      <c r="AN172" s="751"/>
      <c r="AO172" s="386"/>
      <c r="AP172" s="173"/>
      <c r="AQ172" s="173"/>
      <c r="AR172" s="173"/>
      <c r="AS172" s="173"/>
      <c r="AT172" s="173"/>
    </row>
    <row r="173" spans="2:46">
      <c r="B173" s="403">
        <f>+B168</f>
        <v>25.761904761904759</v>
      </c>
      <c r="C173" s="270" t="s">
        <v>82</v>
      </c>
      <c r="D173" s="271"/>
      <c r="E173" s="272"/>
      <c r="F173" s="273"/>
      <c r="G173" s="271"/>
      <c r="H173" s="271"/>
      <c r="I173" s="273"/>
      <c r="J173" s="271"/>
      <c r="K173" s="274"/>
      <c r="L173" s="275"/>
      <c r="O173" s="1093">
        <f>+O165*1.1</f>
        <v>935.00000000000011</v>
      </c>
      <c r="P173" s="1093"/>
      <c r="Q173" s="1093" t="s">
        <v>70</v>
      </c>
      <c r="R173" s="1093"/>
      <c r="S173" s="1093"/>
      <c r="T173" s="1093"/>
      <c r="U173" s="1093"/>
      <c r="V173" s="1093"/>
      <c r="W173" s="1093"/>
      <c r="X173" s="1093"/>
      <c r="Y173" s="1093"/>
      <c r="Z173" s="1093"/>
      <c r="AA173" s="6" t="s">
        <v>83</v>
      </c>
      <c r="AG173" s="173"/>
      <c r="AH173" s="173"/>
      <c r="AI173" s="398"/>
      <c r="AJ173" s="398"/>
      <c r="AK173" s="398"/>
      <c r="AL173" s="173"/>
      <c r="AM173" s="173"/>
      <c r="AN173" s="173"/>
      <c r="AO173" s="173"/>
    </row>
    <row r="174" spans="2:46">
      <c r="B174" s="396">
        <f>+B173+B172</f>
        <v>198.33333333333331</v>
      </c>
      <c r="C174" s="259" t="s">
        <v>84</v>
      </c>
      <c r="D174" s="266"/>
      <c r="E174" s="267"/>
      <c r="F174" s="268"/>
      <c r="G174" s="266"/>
      <c r="H174" s="266"/>
      <c r="I174" s="268"/>
      <c r="J174" s="266"/>
      <c r="K174" s="276"/>
      <c r="L174" s="275"/>
      <c r="O174" s="1093">
        <f>+O173/30*7</f>
        <v>218.16666666666669</v>
      </c>
      <c r="P174" s="1093"/>
      <c r="Q174" s="1093" t="s">
        <v>73</v>
      </c>
      <c r="R174" s="1093"/>
      <c r="S174" s="1093"/>
      <c r="T174" s="1093"/>
      <c r="U174" s="1093"/>
      <c r="V174" s="1093"/>
      <c r="W174" s="1093"/>
      <c r="X174" s="1093"/>
      <c r="Y174" s="1093"/>
      <c r="Z174" s="1093"/>
      <c r="AA174" s="1092">
        <f>+O174*0.87</f>
        <v>189.80500000000001</v>
      </c>
      <c r="AB174" s="1092"/>
      <c r="AG174" s="173"/>
      <c r="AH174" s="173"/>
      <c r="AI174" s="398"/>
      <c r="AJ174" s="398"/>
      <c r="AK174" s="277"/>
      <c r="AL174" s="173"/>
      <c r="AM174" s="173"/>
      <c r="AN174" s="173"/>
      <c r="AO174" s="173"/>
    </row>
    <row r="175" spans="2:46">
      <c r="B175" s="404"/>
      <c r="C175" s="278"/>
      <c r="D175" s="226"/>
      <c r="E175" s="279"/>
      <c r="F175" s="280"/>
      <c r="G175" s="226"/>
      <c r="H175" s="226"/>
      <c r="I175" s="280"/>
      <c r="J175" s="226"/>
      <c r="K175" s="275"/>
      <c r="L175" s="275"/>
      <c r="O175" s="1093">
        <f>+O174/7</f>
        <v>31.166666666666668</v>
      </c>
      <c r="P175" s="1093"/>
      <c r="Q175" s="1093" t="s">
        <v>74</v>
      </c>
      <c r="R175" s="1093"/>
      <c r="S175" s="1093"/>
      <c r="T175" s="1093"/>
      <c r="U175" s="1093"/>
      <c r="V175" s="1093"/>
      <c r="W175" s="1093"/>
      <c r="X175" s="1093"/>
      <c r="Y175" s="1093"/>
      <c r="Z175" s="1093"/>
      <c r="AG175" s="173"/>
      <c r="AH175" s="173"/>
      <c r="AI175" s="281"/>
      <c r="AJ175" s="282"/>
      <c r="AK175" s="277"/>
      <c r="AL175" s="173"/>
      <c r="AM175" s="173"/>
      <c r="AN175" s="173"/>
      <c r="AO175" s="173"/>
    </row>
    <row r="176" spans="2:46">
      <c r="B176" s="413">
        <f>+B174/7</f>
        <v>28.333333333333332</v>
      </c>
      <c r="C176" s="302" t="s">
        <v>85</v>
      </c>
      <c r="F176" s="280"/>
      <c r="G176" s="226"/>
      <c r="H176" s="226"/>
      <c r="I176" s="280"/>
      <c r="J176" s="226"/>
      <c r="K176" s="275"/>
      <c r="L176" s="275"/>
      <c r="O176" s="1094">
        <f>(O174-18)/7</f>
        <v>28.595238095238098</v>
      </c>
      <c r="P176" s="1094"/>
      <c r="Q176" s="1094" t="s">
        <v>76</v>
      </c>
      <c r="R176" s="1094"/>
      <c r="S176" s="1094"/>
      <c r="T176" s="1094"/>
      <c r="U176" s="1094"/>
      <c r="V176" s="1094"/>
      <c r="W176" s="1094"/>
      <c r="X176" s="1094"/>
      <c r="Y176" s="1094"/>
      <c r="Z176" s="1094"/>
      <c r="AG176" s="173"/>
      <c r="AH176" s="173"/>
      <c r="AI176" s="173"/>
      <c r="AJ176" s="173"/>
      <c r="AK176" s="277"/>
      <c r="AL176" s="173"/>
      <c r="AM176" s="173"/>
      <c r="AN176" s="173"/>
      <c r="AO176" s="173"/>
    </row>
    <row r="177" spans="2:46">
      <c r="B177" s="404"/>
      <c r="C177" s="278"/>
      <c r="D177" s="226"/>
      <c r="E177" s="279"/>
      <c r="F177" s="280"/>
      <c r="G177" s="226"/>
      <c r="H177" s="226"/>
      <c r="I177" s="280"/>
      <c r="J177" s="226"/>
      <c r="K177" s="275"/>
      <c r="L177" s="275"/>
      <c r="O177" s="1093">
        <v>3</v>
      </c>
      <c r="P177" s="1093"/>
      <c r="Q177" s="1093" t="s">
        <v>78</v>
      </c>
      <c r="R177" s="1093"/>
      <c r="S177" s="1093"/>
      <c r="T177" s="1093"/>
      <c r="U177" s="1093"/>
      <c r="V177" s="1093"/>
      <c r="W177" s="1093"/>
      <c r="X177" s="1093"/>
      <c r="Y177" s="1093"/>
      <c r="Z177" s="109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2:46">
      <c r="B178" s="404"/>
      <c r="C178" s="278"/>
      <c r="D178" s="226"/>
      <c r="E178" s="279"/>
      <c r="F178" s="280"/>
      <c r="G178" s="226"/>
      <c r="H178" s="226"/>
      <c r="I178" s="280"/>
      <c r="J178" s="226"/>
      <c r="K178" s="275"/>
      <c r="L178" s="275"/>
      <c r="O178" s="1093">
        <f>+O177+O176</f>
        <v>31.595238095238098</v>
      </c>
      <c r="P178" s="109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2:46">
      <c r="B179" s="365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2:46"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2:46" ht="15.75" thickBot="1"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2:46" ht="17.25" thickTop="1" thickBot="1">
      <c r="B182" s="628">
        <f>850+80</f>
        <v>930</v>
      </c>
      <c r="C182" s="629" t="s">
        <v>66</v>
      </c>
      <c r="D182" s="630"/>
      <c r="E182" s="631" t="s">
        <v>129</v>
      </c>
      <c r="F182" s="632"/>
      <c r="G182" s="630"/>
      <c r="H182" s="630"/>
      <c r="I182" s="632"/>
      <c r="J182" s="630"/>
      <c r="K182" s="633"/>
      <c r="L182" s="633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4"/>
      <c r="AB182" s="634"/>
      <c r="AC182" s="635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173"/>
      <c r="AQ182" s="173"/>
      <c r="AR182" s="173"/>
      <c r="AS182" s="173"/>
      <c r="AT182" s="173"/>
    </row>
    <row r="183" spans="2:46" ht="15.75">
      <c r="B183" s="636">
        <f>+B182/30*7</f>
        <v>217</v>
      </c>
      <c r="C183" s="278" t="s">
        <v>67</v>
      </c>
      <c r="D183" s="309"/>
      <c r="E183" s="279"/>
      <c r="F183" s="280"/>
      <c r="G183" s="226"/>
      <c r="H183" s="226"/>
      <c r="I183" s="280"/>
      <c r="J183" s="226"/>
      <c r="K183" s="275"/>
      <c r="L183" s="275"/>
      <c r="M183" s="226"/>
      <c r="N183" s="226"/>
      <c r="O183" s="1093" t="s">
        <v>68</v>
      </c>
      <c r="P183" s="1093"/>
      <c r="Q183" s="1093"/>
      <c r="R183" s="1093"/>
      <c r="S183" s="1093"/>
      <c r="T183" s="1093"/>
      <c r="U183" s="1093"/>
      <c r="V183" s="1093"/>
      <c r="W183" s="1093"/>
      <c r="X183" s="1093"/>
      <c r="Y183" s="1093"/>
      <c r="Z183" s="1093"/>
      <c r="AA183" s="104"/>
      <c r="AB183" s="104"/>
      <c r="AC183" s="637"/>
      <c r="AD183" s="386"/>
      <c r="AE183" s="755"/>
      <c r="AF183" s="755"/>
      <c r="AG183" s="386"/>
      <c r="AH183" s="386"/>
      <c r="AI183" s="386"/>
      <c r="AJ183" s="755"/>
      <c r="AK183" s="755"/>
      <c r="AL183" s="386"/>
      <c r="AM183" s="386"/>
      <c r="AN183" s="386"/>
      <c r="AO183" s="386"/>
      <c r="AP183" s="173"/>
      <c r="AQ183" s="173"/>
      <c r="AR183" s="173"/>
      <c r="AS183" s="173"/>
      <c r="AT183" s="173"/>
    </row>
    <row r="184" spans="2:46">
      <c r="B184" s="636">
        <f>+B183-18</f>
        <v>199</v>
      </c>
      <c r="C184" s="278" t="s">
        <v>69</v>
      </c>
      <c r="D184" s="226"/>
      <c r="E184" s="279"/>
      <c r="F184" s="280"/>
      <c r="G184" s="226"/>
      <c r="H184" s="226"/>
      <c r="I184" s="280"/>
      <c r="J184" s="226"/>
      <c r="K184" s="275"/>
      <c r="L184" s="275"/>
      <c r="M184" s="226"/>
      <c r="N184" s="226"/>
      <c r="O184" s="1093">
        <f>+B182</f>
        <v>930</v>
      </c>
      <c r="P184" s="1093"/>
      <c r="Q184" s="1093" t="s">
        <v>70</v>
      </c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4" t="s">
        <v>71</v>
      </c>
      <c r="AB184" s="104"/>
      <c r="AC184" s="637"/>
      <c r="AD184" s="386"/>
      <c r="AE184" s="755"/>
      <c r="AF184" s="755"/>
      <c r="AG184" s="386"/>
      <c r="AH184" s="386"/>
      <c r="AI184" s="386"/>
      <c r="AJ184" s="755"/>
      <c r="AK184" s="755"/>
      <c r="AL184" s="386"/>
      <c r="AM184" s="386"/>
      <c r="AN184" s="386"/>
      <c r="AO184" s="386"/>
      <c r="AP184" s="173"/>
      <c r="AQ184" s="173"/>
      <c r="AR184" s="173"/>
      <c r="AS184" s="173"/>
      <c r="AT184" s="173"/>
    </row>
    <row r="185" spans="2:46">
      <c r="B185" s="638">
        <f>+B184/7</f>
        <v>28.428571428571427</v>
      </c>
      <c r="C185" s="259" t="s">
        <v>72</v>
      </c>
      <c r="D185" s="260"/>
      <c r="E185" s="279"/>
      <c r="F185" s="280"/>
      <c r="G185" s="226"/>
      <c r="H185" s="226"/>
      <c r="I185" s="280"/>
      <c r="J185" s="226"/>
      <c r="K185" s="275"/>
      <c r="L185" s="275"/>
      <c r="M185" s="226"/>
      <c r="N185" s="226"/>
      <c r="O185" s="1093">
        <f>+O184/30*7</f>
        <v>217</v>
      </c>
      <c r="P185" s="1093"/>
      <c r="Q185" s="1093" t="s">
        <v>73</v>
      </c>
      <c r="R185" s="1093"/>
      <c r="S185" s="1093"/>
      <c r="T185" s="1093"/>
      <c r="U185" s="1093"/>
      <c r="V185" s="1093"/>
      <c r="W185" s="1093"/>
      <c r="X185" s="1093"/>
      <c r="Y185" s="1093"/>
      <c r="Z185" s="1093"/>
      <c r="AA185" s="1092">
        <f>+O185*0.87</f>
        <v>188.79</v>
      </c>
      <c r="AB185" s="1092"/>
      <c r="AC185" s="637"/>
      <c r="AD185" s="386"/>
      <c r="AE185" s="261"/>
      <c r="AF185" s="261"/>
      <c r="AG185" s="386"/>
      <c r="AH185" s="386"/>
      <c r="AI185" s="386"/>
      <c r="AJ185" s="261"/>
      <c r="AK185" s="261"/>
      <c r="AL185" s="397"/>
      <c r="AM185" s="397"/>
      <c r="AN185" s="397"/>
      <c r="AO185" s="397"/>
      <c r="AP185" s="398"/>
      <c r="AQ185" s="398"/>
      <c r="AR185" s="173"/>
      <c r="AS185" s="173"/>
      <c r="AT185" s="173"/>
    </row>
    <row r="186" spans="2:46">
      <c r="B186" s="639"/>
      <c r="C186" s="226"/>
      <c r="D186" s="226"/>
      <c r="E186" s="279"/>
      <c r="F186" s="280"/>
      <c r="G186" s="226"/>
      <c r="H186" s="226"/>
      <c r="I186" s="280"/>
      <c r="J186" s="226"/>
      <c r="K186" s="275"/>
      <c r="L186" s="275"/>
      <c r="M186" s="226"/>
      <c r="N186" s="226"/>
      <c r="O186" s="1093">
        <f>+O185/7</f>
        <v>31</v>
      </c>
      <c r="P186" s="1093"/>
      <c r="Q186" s="1093" t="s">
        <v>74</v>
      </c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4"/>
      <c r="AB186" s="104"/>
      <c r="AC186" s="637"/>
      <c r="AD186" s="386"/>
      <c r="AE186" s="755"/>
      <c r="AF186" s="755"/>
      <c r="AG186" s="386"/>
      <c r="AH186" s="386"/>
      <c r="AI186" s="386"/>
      <c r="AJ186" s="755"/>
      <c r="AK186" s="755"/>
      <c r="AL186" s="399"/>
      <c r="AM186" s="399"/>
      <c r="AN186" s="397"/>
      <c r="AO186" s="397"/>
      <c r="AP186" s="398"/>
      <c r="AQ186" s="398"/>
      <c r="AR186" s="173"/>
      <c r="AS186" s="173"/>
      <c r="AT186" s="173"/>
    </row>
    <row r="187" spans="2:46" ht="15.75">
      <c r="B187" s="756">
        <f>+B185</f>
        <v>28.428571428571427</v>
      </c>
      <c r="C187" s="312" t="s">
        <v>75</v>
      </c>
      <c r="D187" s="286"/>
      <c r="E187" s="286"/>
      <c r="F187" s="286"/>
      <c r="G187" s="226"/>
      <c r="H187" s="226"/>
      <c r="I187" s="280"/>
      <c r="J187" s="226"/>
      <c r="K187" s="275"/>
      <c r="L187" s="275"/>
      <c r="M187" s="226"/>
      <c r="N187" s="226"/>
      <c r="O187" s="1094">
        <f>(O185-18)/7</f>
        <v>28.428571428571427</v>
      </c>
      <c r="P187" s="1094"/>
      <c r="Q187" s="1094" t="s">
        <v>76</v>
      </c>
      <c r="R187" s="1094"/>
      <c r="S187" s="1094"/>
      <c r="T187" s="1094"/>
      <c r="U187" s="1094"/>
      <c r="V187" s="1094"/>
      <c r="W187" s="1094"/>
      <c r="X187" s="1094"/>
      <c r="Y187" s="1094"/>
      <c r="Z187" s="1094"/>
      <c r="AA187" s="104"/>
      <c r="AB187" s="104"/>
      <c r="AC187" s="637"/>
      <c r="AD187" s="386"/>
      <c r="AE187" s="264"/>
      <c r="AF187" s="264"/>
      <c r="AG187" s="265"/>
      <c r="AH187" s="265"/>
      <c r="AI187" s="265"/>
      <c r="AJ187" s="264"/>
      <c r="AK187" s="264"/>
      <c r="AL187" s="397"/>
      <c r="AM187" s="397"/>
      <c r="AN187" s="397"/>
      <c r="AO187" s="397"/>
      <c r="AP187" s="398"/>
      <c r="AQ187" s="398"/>
      <c r="AR187" s="173"/>
      <c r="AS187" s="173"/>
      <c r="AT187" s="173"/>
    </row>
    <row r="188" spans="2:46">
      <c r="B188" s="636">
        <v>3</v>
      </c>
      <c r="C188" s="278" t="s">
        <v>77</v>
      </c>
      <c r="D188" s="226"/>
      <c r="E188" s="279"/>
      <c r="F188" s="280"/>
      <c r="G188" s="226"/>
      <c r="H188" s="226"/>
      <c r="I188" s="280"/>
      <c r="J188" s="226"/>
      <c r="K188" s="275"/>
      <c r="L188" s="275"/>
      <c r="M188" s="226"/>
      <c r="N188" s="226"/>
      <c r="O188" s="1093">
        <v>3</v>
      </c>
      <c r="P188" s="1093"/>
      <c r="Q188" s="1093" t="s">
        <v>78</v>
      </c>
      <c r="R188" s="1093"/>
      <c r="S188" s="1093"/>
      <c r="T188" s="1093"/>
      <c r="U188" s="1093"/>
      <c r="V188" s="1093"/>
      <c r="W188" s="1093"/>
      <c r="X188" s="1093"/>
      <c r="Y188" s="1093"/>
      <c r="Z188" s="1093"/>
      <c r="AA188" s="104"/>
      <c r="AB188" s="104"/>
      <c r="AC188" s="637"/>
      <c r="AD188" s="386"/>
      <c r="AE188" s="386"/>
      <c r="AF188" s="264"/>
      <c r="AG188" s="265"/>
      <c r="AH188" s="265"/>
      <c r="AI188" s="265"/>
      <c r="AJ188" s="264"/>
      <c r="AK188" s="264"/>
      <c r="AL188" s="397"/>
      <c r="AM188" s="397"/>
      <c r="AN188" s="397"/>
      <c r="AO188" s="397"/>
      <c r="AP188" s="398"/>
      <c r="AQ188" s="398"/>
      <c r="AR188" s="173"/>
      <c r="AS188" s="173"/>
      <c r="AT188" s="173"/>
    </row>
    <row r="189" spans="2:46">
      <c r="B189" s="638">
        <f>+B188+B187</f>
        <v>31.428571428571427</v>
      </c>
      <c r="C189" s="259" t="s">
        <v>79</v>
      </c>
      <c r="D189" s="266"/>
      <c r="E189" s="267"/>
      <c r="F189" s="268"/>
      <c r="G189" s="266"/>
      <c r="H189" s="266"/>
      <c r="I189" s="268"/>
      <c r="J189" s="266"/>
      <c r="K189" s="269"/>
      <c r="L189" s="269"/>
      <c r="M189" s="260"/>
      <c r="N189" s="226"/>
      <c r="O189" s="1093">
        <f>+O188+O187</f>
        <v>31.428571428571427</v>
      </c>
      <c r="P189" s="1093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104"/>
      <c r="AB189" s="104"/>
      <c r="AC189" s="637"/>
      <c r="AD189" s="386"/>
      <c r="AE189" s="755"/>
      <c r="AF189" s="755"/>
      <c r="AG189" s="386"/>
      <c r="AH189" s="386"/>
      <c r="AI189" s="386"/>
      <c r="AJ189" s="755"/>
      <c r="AK189" s="755"/>
      <c r="AL189" s="399"/>
      <c r="AM189" s="399"/>
      <c r="AN189" s="399"/>
      <c r="AO189" s="399"/>
      <c r="AP189" s="401"/>
      <c r="AQ189" s="173"/>
      <c r="AR189" s="173"/>
      <c r="AS189" s="173"/>
      <c r="AT189" s="173"/>
    </row>
    <row r="190" spans="2:46">
      <c r="B190" s="636"/>
      <c r="C190" s="226"/>
      <c r="D190" s="226"/>
      <c r="E190" s="279"/>
      <c r="F190" s="280"/>
      <c r="G190" s="226"/>
      <c r="H190" s="226"/>
      <c r="I190" s="280"/>
      <c r="J190" s="226"/>
      <c r="K190" s="275"/>
      <c r="L190" s="275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104"/>
      <c r="AB190" s="104"/>
      <c r="AC190" s="637"/>
      <c r="AD190" s="386"/>
      <c r="AE190" s="402"/>
      <c r="AF190" s="402"/>
      <c r="AG190" s="402"/>
      <c r="AH190" s="386"/>
      <c r="AI190" s="386"/>
      <c r="AJ190" s="402"/>
      <c r="AK190" s="402"/>
      <c r="AL190" s="397"/>
      <c r="AM190" s="386"/>
      <c r="AN190" s="386"/>
      <c r="AO190" s="386"/>
      <c r="AP190" s="173"/>
      <c r="AQ190" s="173"/>
      <c r="AR190" s="173"/>
      <c r="AS190" s="173"/>
      <c r="AT190" s="173"/>
    </row>
    <row r="191" spans="2:46">
      <c r="B191" s="636">
        <f>+B189*6</f>
        <v>188.57142857142856</v>
      </c>
      <c r="C191" s="278" t="s">
        <v>80</v>
      </c>
      <c r="D191" s="226"/>
      <c r="E191" s="279"/>
      <c r="F191" s="280"/>
      <c r="G191" s="226"/>
      <c r="H191" s="226"/>
      <c r="I191" s="280"/>
      <c r="J191" s="226"/>
      <c r="K191" s="275"/>
      <c r="L191" s="275"/>
      <c r="M191" s="226"/>
      <c r="N191" s="226"/>
      <c r="O191" s="1093" t="s">
        <v>81</v>
      </c>
      <c r="P191" s="1093"/>
      <c r="Q191" s="1093"/>
      <c r="R191" s="1093"/>
      <c r="S191" s="1093"/>
      <c r="T191" s="1093"/>
      <c r="U191" s="1093"/>
      <c r="V191" s="1093"/>
      <c r="W191" s="1093"/>
      <c r="X191" s="1093"/>
      <c r="Y191" s="1093"/>
      <c r="Z191" s="1093"/>
      <c r="AA191" s="104"/>
      <c r="AB191" s="104"/>
      <c r="AC191" s="637"/>
      <c r="AD191" s="386"/>
      <c r="AE191" s="386"/>
      <c r="AF191" s="386"/>
      <c r="AG191" s="386"/>
      <c r="AH191" s="386"/>
      <c r="AI191" s="397"/>
      <c r="AJ191" s="397"/>
      <c r="AK191" s="399"/>
      <c r="AL191" s="751"/>
      <c r="AM191" s="755"/>
      <c r="AN191" s="751"/>
      <c r="AO191" s="386"/>
      <c r="AP191" s="173"/>
      <c r="AQ191" s="173"/>
      <c r="AR191" s="173"/>
      <c r="AS191" s="173"/>
      <c r="AT191" s="173"/>
    </row>
    <row r="192" spans="2:46">
      <c r="B192" s="641">
        <f>+B187</f>
        <v>28.428571428571427</v>
      </c>
      <c r="C192" s="270" t="s">
        <v>82</v>
      </c>
      <c r="D192" s="271"/>
      <c r="E192" s="272"/>
      <c r="F192" s="273"/>
      <c r="G192" s="271"/>
      <c r="H192" s="271"/>
      <c r="I192" s="273"/>
      <c r="J192" s="271"/>
      <c r="K192" s="274"/>
      <c r="L192" s="275"/>
      <c r="M192" s="226"/>
      <c r="N192" s="226"/>
      <c r="O192" s="1093">
        <f>+O184*1.1</f>
        <v>1023.0000000000001</v>
      </c>
      <c r="P192" s="1093"/>
      <c r="Q192" s="1093" t="s">
        <v>70</v>
      </c>
      <c r="R192" s="1093"/>
      <c r="S192" s="1093"/>
      <c r="T192" s="1093"/>
      <c r="U192" s="1093"/>
      <c r="V192" s="1093"/>
      <c r="W192" s="1093"/>
      <c r="X192" s="1093"/>
      <c r="Y192" s="1093"/>
      <c r="Z192" s="1093"/>
      <c r="AA192" s="104" t="s">
        <v>83</v>
      </c>
      <c r="AB192" s="104"/>
      <c r="AC192" s="637"/>
      <c r="AG192" s="173"/>
      <c r="AH192" s="173"/>
      <c r="AI192" s="398"/>
      <c r="AJ192" s="398"/>
      <c r="AK192" s="398"/>
      <c r="AL192" s="173"/>
      <c r="AM192" s="173"/>
      <c r="AN192" s="173"/>
      <c r="AO192" s="173"/>
    </row>
    <row r="193" spans="1:50">
      <c r="B193" s="638">
        <f>+B192+B191</f>
        <v>216.99999999999997</v>
      </c>
      <c r="C193" s="259" t="s">
        <v>84</v>
      </c>
      <c r="D193" s="266"/>
      <c r="E193" s="267"/>
      <c r="F193" s="268"/>
      <c r="G193" s="266"/>
      <c r="H193" s="266"/>
      <c r="I193" s="268"/>
      <c r="J193" s="266"/>
      <c r="K193" s="276"/>
      <c r="L193" s="275"/>
      <c r="M193" s="226"/>
      <c r="N193" s="226"/>
      <c r="O193" s="1093">
        <f>+O192/30*7</f>
        <v>238.70000000000002</v>
      </c>
      <c r="P193" s="1093"/>
      <c r="Q193" s="1093" t="s">
        <v>73</v>
      </c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2">
        <f>+O193*0.87</f>
        <v>207.66900000000001</v>
      </c>
      <c r="AB193" s="1092"/>
      <c r="AC193" s="637"/>
      <c r="AG193" s="173"/>
      <c r="AH193" s="173"/>
      <c r="AI193" s="398"/>
      <c r="AJ193" s="398"/>
      <c r="AK193" s="277"/>
      <c r="AL193" s="173"/>
      <c r="AM193" s="173"/>
      <c r="AN193" s="173"/>
      <c r="AO193" s="173"/>
    </row>
    <row r="194" spans="1:50">
      <c r="B194" s="636"/>
      <c r="C194" s="278"/>
      <c r="D194" s="226"/>
      <c r="E194" s="279"/>
      <c r="F194" s="280"/>
      <c r="G194" s="226"/>
      <c r="H194" s="226"/>
      <c r="I194" s="280"/>
      <c r="J194" s="226"/>
      <c r="K194" s="275"/>
      <c r="L194" s="275"/>
      <c r="M194" s="226"/>
      <c r="N194" s="226"/>
      <c r="O194" s="1093">
        <f>+O193/7</f>
        <v>34.1</v>
      </c>
      <c r="P194" s="1093"/>
      <c r="Q194" s="1093" t="s">
        <v>74</v>
      </c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4"/>
      <c r="AB194" s="104"/>
      <c r="AC194" s="637"/>
      <c r="AG194" s="173"/>
      <c r="AH194" s="173"/>
      <c r="AI194" s="281"/>
      <c r="AJ194" s="282"/>
      <c r="AK194" s="277"/>
      <c r="AL194" s="173"/>
      <c r="AM194" s="173"/>
      <c r="AN194" s="173"/>
      <c r="AO194" s="173"/>
    </row>
    <row r="195" spans="1:50">
      <c r="B195" s="642">
        <f>+B193/7</f>
        <v>30.999999999999996</v>
      </c>
      <c r="C195" s="313" t="s">
        <v>85</v>
      </c>
      <c r="D195" s="226"/>
      <c r="E195" s="279"/>
      <c r="F195" s="280"/>
      <c r="G195" s="226"/>
      <c r="H195" s="226"/>
      <c r="I195" s="280"/>
      <c r="J195" s="226"/>
      <c r="K195" s="275"/>
      <c r="L195" s="275"/>
      <c r="M195" s="226"/>
      <c r="N195" s="226"/>
      <c r="O195" s="1094">
        <f>(O193-18)/7</f>
        <v>31.528571428571432</v>
      </c>
      <c r="P195" s="1094"/>
      <c r="Q195" s="1094" t="s">
        <v>76</v>
      </c>
      <c r="R195" s="1094"/>
      <c r="S195" s="1094"/>
      <c r="T195" s="1094"/>
      <c r="U195" s="1094"/>
      <c r="V195" s="1094"/>
      <c r="W195" s="1094"/>
      <c r="X195" s="1094"/>
      <c r="Y195" s="1094"/>
      <c r="Z195" s="1094"/>
      <c r="AA195" s="104"/>
      <c r="AB195" s="104"/>
      <c r="AC195" s="637"/>
      <c r="AG195" s="173"/>
      <c r="AH195" s="173"/>
      <c r="AI195" s="173"/>
      <c r="AJ195" s="173"/>
      <c r="AK195" s="277"/>
      <c r="AL195" s="173"/>
      <c r="AM195" s="173"/>
      <c r="AN195" s="173"/>
      <c r="AO195" s="173"/>
    </row>
    <row r="196" spans="1:50">
      <c r="B196" s="636"/>
      <c r="C196" s="278"/>
      <c r="D196" s="226"/>
      <c r="E196" s="279"/>
      <c r="F196" s="280"/>
      <c r="G196" s="226"/>
      <c r="H196" s="226"/>
      <c r="I196" s="280"/>
      <c r="J196" s="226"/>
      <c r="K196" s="275"/>
      <c r="L196" s="275"/>
      <c r="M196" s="226"/>
      <c r="N196" s="226"/>
      <c r="O196" s="1093">
        <v>3</v>
      </c>
      <c r="P196" s="1093"/>
      <c r="Q196" s="1093" t="s">
        <v>78</v>
      </c>
      <c r="R196" s="1093"/>
      <c r="S196" s="1093"/>
      <c r="T196" s="1093"/>
      <c r="U196" s="1093"/>
      <c r="V196" s="1093"/>
      <c r="W196" s="1093"/>
      <c r="X196" s="1093"/>
      <c r="Y196" s="1093"/>
      <c r="Z196" s="1093"/>
      <c r="AA196" s="104"/>
      <c r="AB196" s="104"/>
      <c r="AC196" s="637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:50" ht="15.75" thickBot="1">
      <c r="B197" s="643"/>
      <c r="C197" s="644"/>
      <c r="D197" s="645"/>
      <c r="E197" s="646"/>
      <c r="F197" s="647"/>
      <c r="G197" s="645"/>
      <c r="H197" s="645"/>
      <c r="I197" s="647"/>
      <c r="J197" s="645"/>
      <c r="K197" s="648"/>
      <c r="L197" s="648"/>
      <c r="M197" s="645"/>
      <c r="N197" s="645"/>
      <c r="O197" s="1080">
        <f>+O196+O195</f>
        <v>34.528571428571432</v>
      </c>
      <c r="P197" s="1080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9"/>
      <c r="AB197" s="649"/>
      <c r="AC197" s="650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:50" ht="15.75" thickTop="1">
      <c r="B198" s="365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:50" ht="3" customHeight="1">
      <c r="Q199" s="211"/>
      <c r="R199" s="212"/>
      <c r="S199" s="213"/>
      <c r="T199" s="214"/>
      <c r="AA199" s="753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373"/>
      <c r="AN199" s="373"/>
      <c r="AO199" s="373"/>
      <c r="AP199" s="373"/>
      <c r="AQ199" s="169"/>
      <c r="AS199" s="170"/>
      <c r="AT199" s="170"/>
      <c r="AX199" s="172"/>
    </row>
    <row r="200" spans="1:50" ht="14.1" customHeight="1">
      <c r="B200" s="6" t="s">
        <v>32</v>
      </c>
      <c r="C200" s="1081" t="s">
        <v>33</v>
      </c>
      <c r="D200" s="1081"/>
      <c r="E200" s="1081" t="s">
        <v>34</v>
      </c>
      <c r="F200" s="1081"/>
      <c r="G200" s="1082" t="s">
        <v>122</v>
      </c>
      <c r="H200" s="1083"/>
      <c r="I200" s="1088" t="s">
        <v>36</v>
      </c>
      <c r="J200" s="1089"/>
      <c r="K200" s="1090" t="s">
        <v>37</v>
      </c>
      <c r="L200" s="1090"/>
      <c r="M200" s="5"/>
      <c r="N200" s="1091" t="s">
        <v>38</v>
      </c>
      <c r="O200" s="1091"/>
      <c r="P200" s="5"/>
      <c r="Q200" s="1095" t="s">
        <v>39</v>
      </c>
      <c r="R200" s="1096"/>
      <c r="U200" s="1101" t="s">
        <v>40</v>
      </c>
      <c r="V200" s="1104" t="s">
        <v>41</v>
      </c>
      <c r="W200" s="1107" t="s">
        <v>42</v>
      </c>
      <c r="X200" s="1110" t="s">
        <v>43</v>
      </c>
      <c r="AA200" s="753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373"/>
      <c r="AN200" s="373"/>
      <c r="AO200" s="373"/>
      <c r="AP200" s="373"/>
      <c r="AQ200" s="169"/>
      <c r="AS200" s="170"/>
      <c r="AT200" s="170"/>
      <c r="AX200" s="172"/>
    </row>
    <row r="201" spans="1:50" ht="14.1" customHeight="1">
      <c r="B201" s="6" t="s">
        <v>45</v>
      </c>
      <c r="C201" s="1081"/>
      <c r="D201" s="1081"/>
      <c r="E201" s="1081"/>
      <c r="F201" s="1081"/>
      <c r="G201" s="1084"/>
      <c r="H201" s="1085"/>
      <c r="I201" s="1088"/>
      <c r="J201" s="1089"/>
      <c r="K201" s="1090"/>
      <c r="L201" s="1090"/>
      <c r="M201" s="5"/>
      <c r="N201" s="1091"/>
      <c r="O201" s="1091"/>
      <c r="P201" s="5"/>
      <c r="Q201" s="1097"/>
      <c r="R201" s="1098"/>
      <c r="U201" s="1102"/>
      <c r="V201" s="1105"/>
      <c r="W201" s="1108"/>
      <c r="X201" s="1111"/>
      <c r="AA201" s="753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373"/>
      <c r="AN201" s="373"/>
      <c r="AO201" s="373"/>
      <c r="AP201" s="373"/>
      <c r="AQ201" s="169"/>
      <c r="AS201" s="170"/>
      <c r="AT201" s="170"/>
      <c r="AX201" s="172"/>
    </row>
    <row r="202" spans="1:50" ht="14.1" customHeight="1">
      <c r="B202" s="6" t="s">
        <v>46</v>
      </c>
      <c r="C202" s="1081"/>
      <c r="D202" s="1081"/>
      <c r="E202" s="1081"/>
      <c r="F202" s="1081"/>
      <c r="G202" s="1084"/>
      <c r="H202" s="1085"/>
      <c r="I202" s="1088"/>
      <c r="J202" s="1089"/>
      <c r="K202" s="1090"/>
      <c r="L202" s="1090"/>
      <c r="M202" s="5"/>
      <c r="N202" s="1091"/>
      <c r="O202" s="1091"/>
      <c r="P202" s="5"/>
      <c r="Q202" s="1099"/>
      <c r="R202" s="1100"/>
      <c r="U202" s="1102"/>
      <c r="V202" s="1105"/>
      <c r="W202" s="1108"/>
      <c r="X202" s="1111"/>
      <c r="AA202" s="753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373"/>
      <c r="AN202" s="373"/>
      <c r="AO202" s="373"/>
      <c r="AP202" s="373"/>
      <c r="AQ202" s="169"/>
      <c r="AS202" s="170"/>
      <c r="AT202" s="170"/>
      <c r="AV202" s="373"/>
      <c r="AX202" s="172"/>
    </row>
    <row r="203" spans="1:50" ht="26.25">
      <c r="B203" s="227" t="s">
        <v>47</v>
      </c>
      <c r="C203" s="1113">
        <f>+E203*7</f>
        <v>198.33333333333331</v>
      </c>
      <c r="D203" s="1113"/>
      <c r="E203" s="1114">
        <f>+K203/30</f>
        <v>28.333333333333332</v>
      </c>
      <c r="F203" s="1114"/>
      <c r="G203" s="1084"/>
      <c r="H203" s="1085"/>
      <c r="I203" s="1115">
        <f>+E203/8</f>
        <v>3.5416666666666665</v>
      </c>
      <c r="J203" s="1116"/>
      <c r="K203" s="1117">
        <v>850</v>
      </c>
      <c r="L203" s="1117"/>
      <c r="M203" s="228"/>
      <c r="N203" s="1078">
        <f>+I203/6*7</f>
        <v>4.1319444444444446</v>
      </c>
      <c r="O203" s="1079"/>
      <c r="P203" s="228"/>
      <c r="Q203" s="1072">
        <f>+$I$69-I203</f>
        <v>1.6895833333333337</v>
      </c>
      <c r="R203" s="1072"/>
      <c r="U203" s="1102"/>
      <c r="V203" s="1105"/>
      <c r="W203" s="1108"/>
      <c r="X203" s="1111"/>
      <c r="AA203" s="753"/>
      <c r="AB203" s="753"/>
      <c r="AC203" s="753"/>
      <c r="AD203" s="753"/>
    </row>
    <row r="204" spans="1:50" ht="24.75">
      <c r="B204" s="229" t="s">
        <v>48</v>
      </c>
      <c r="C204" s="1073">
        <f>+E204*7</f>
        <v>267.75</v>
      </c>
      <c r="D204" s="1073"/>
      <c r="E204" s="1074">
        <f>+K204/30</f>
        <v>38.25</v>
      </c>
      <c r="F204" s="1074"/>
      <c r="G204" s="1086"/>
      <c r="H204" s="1087"/>
      <c r="I204" s="1075">
        <f>+E204/8</f>
        <v>4.78125</v>
      </c>
      <c r="J204" s="1076"/>
      <c r="K204" s="1077">
        <f>+K203*1.35</f>
        <v>1147.5</v>
      </c>
      <c r="L204" s="1077"/>
      <c r="M204" s="228"/>
      <c r="N204" s="1078">
        <f>+I204/6*7</f>
        <v>5.578125</v>
      </c>
      <c r="O204" s="1079"/>
      <c r="P204" s="228"/>
      <c r="Q204" s="1072">
        <f>+$I$69-I204</f>
        <v>0.45000000000000018</v>
      </c>
      <c r="R204" s="1072"/>
      <c r="U204" s="1102"/>
      <c r="V204" s="1105"/>
      <c r="W204" s="1108"/>
      <c r="X204" s="1111"/>
      <c r="Z204" s="389"/>
      <c r="AA204" s="754"/>
      <c r="AB204" s="754"/>
      <c r="AC204" s="754"/>
      <c r="AD204" s="754"/>
      <c r="AE204" s="386"/>
      <c r="AF204" s="386"/>
      <c r="AG204" s="242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</row>
    <row r="205" spans="1:50" ht="2.1" customHeight="1">
      <c r="B205" s="230"/>
      <c r="C205" s="231"/>
      <c r="D205" s="231"/>
      <c r="G205" s="232"/>
      <c r="H205" s="232"/>
      <c r="I205" s="233"/>
      <c r="J205" s="233"/>
      <c r="K205" s="234"/>
      <c r="L205" s="234"/>
      <c r="M205" s="5"/>
      <c r="N205" s="235"/>
      <c r="O205" s="235"/>
      <c r="P205" s="5"/>
      <c r="Q205" s="236"/>
      <c r="R205" s="236"/>
      <c r="U205" s="1103"/>
      <c r="V205" s="1106"/>
      <c r="W205" s="1109"/>
      <c r="X205" s="1112"/>
      <c r="Z205" s="389"/>
      <c r="AA205" s="754"/>
      <c r="AB205" s="754"/>
      <c r="AC205" s="754"/>
      <c r="AD205" s="754"/>
      <c r="AE205" s="386"/>
      <c r="AF205" s="386"/>
      <c r="AG205" s="242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</row>
    <row r="206" spans="1:50" ht="16.5">
      <c r="A206" s="1">
        <v>1</v>
      </c>
      <c r="B206" s="237" t="s">
        <v>49</v>
      </c>
      <c r="C206" s="1070">
        <f>6*3+7*33.8</f>
        <v>254.59999999999997</v>
      </c>
      <c r="D206" s="1071"/>
      <c r="E206" s="1048">
        <f t="shared" ref="E206:E213" si="66">+C206/7</f>
        <v>36.371428571428567</v>
      </c>
      <c r="F206" s="1049"/>
      <c r="G206" s="388"/>
      <c r="H206" s="388"/>
      <c r="I206" s="1052">
        <f t="shared" ref="I206:I213" si="67">+E206/8</f>
        <v>4.5464285714285708</v>
      </c>
      <c r="J206" s="1058"/>
      <c r="K206" s="1059">
        <f t="shared" ref="K206:K210" si="68">+E206*30</f>
        <v>1091.1428571428569</v>
      </c>
      <c r="L206" s="1059"/>
      <c r="M206" s="5"/>
      <c r="N206" s="1020">
        <f t="shared" ref="N206:N210" si="69">+I206/6*7</f>
        <v>5.3041666666666654</v>
      </c>
      <c r="O206" s="1020"/>
      <c r="P206" s="5"/>
      <c r="Q206" s="1056">
        <f t="shared" ref="Q206:Q210" si="70">+$I$69-I206</f>
        <v>0.68482142857142936</v>
      </c>
      <c r="R206" s="1057"/>
      <c r="U206" s="238">
        <f t="shared" ref="U206:U212" si="71">+AE167+U167+K167+AO146+AE146+U146+K146</f>
        <v>0</v>
      </c>
      <c r="V206" s="239">
        <v>48</v>
      </c>
      <c r="W206" s="240">
        <f t="shared" ref="W206:W210" si="72">+V206-U206</f>
        <v>48</v>
      </c>
      <c r="X206" s="241" t="e">
        <f t="shared" ref="X206:X212" si="73">+J146+T146+AD146+J167+T167+AD167</f>
        <v>#VALUE!</v>
      </c>
      <c r="Z206" s="389"/>
      <c r="AA206" s="754"/>
      <c r="AB206" s="754"/>
      <c r="AC206" s="754"/>
      <c r="AD206" s="754"/>
      <c r="AE206" s="386"/>
      <c r="AF206" s="386"/>
      <c r="AG206" s="242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</row>
    <row r="207" spans="1:50" ht="16.5">
      <c r="A207" s="1">
        <v>2</v>
      </c>
      <c r="B207" s="237" t="s">
        <v>50</v>
      </c>
      <c r="C207" s="1070">
        <f>6*3+7*38.5</f>
        <v>287.5</v>
      </c>
      <c r="D207" s="1071"/>
      <c r="E207" s="1048">
        <f t="shared" si="66"/>
        <v>41.071428571428569</v>
      </c>
      <c r="F207" s="1049"/>
      <c r="G207" s="388"/>
      <c r="H207" s="388"/>
      <c r="I207" s="1052">
        <f t="shared" si="67"/>
        <v>5.1339285714285712</v>
      </c>
      <c r="J207" s="1058"/>
      <c r="K207" s="1059">
        <f t="shared" si="68"/>
        <v>1232.1428571428571</v>
      </c>
      <c r="L207" s="1059"/>
      <c r="M207" s="5"/>
      <c r="N207" s="1020">
        <f t="shared" si="69"/>
        <v>5.989583333333333</v>
      </c>
      <c r="O207" s="1020"/>
      <c r="P207" s="5"/>
      <c r="Q207" s="1056">
        <f t="shared" si="70"/>
        <v>9.7321428571429003E-2</v>
      </c>
      <c r="R207" s="1057"/>
      <c r="U207" s="238">
        <f t="shared" si="71"/>
        <v>0</v>
      </c>
      <c r="V207" s="239">
        <v>48</v>
      </c>
      <c r="W207" s="240">
        <f t="shared" si="72"/>
        <v>48</v>
      </c>
      <c r="X207" s="241" t="e">
        <f t="shared" si="73"/>
        <v>#VALUE!</v>
      </c>
      <c r="Z207" s="389"/>
      <c r="AA207" s="754"/>
      <c r="AB207" s="754"/>
      <c r="AC207" s="754"/>
      <c r="AD207" s="754"/>
      <c r="AE207" s="386"/>
      <c r="AF207" s="386"/>
      <c r="AG207" s="242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</row>
    <row r="208" spans="1:50" ht="16.5">
      <c r="A208" s="1">
        <v>2</v>
      </c>
      <c r="B208" s="237" t="s">
        <v>51</v>
      </c>
      <c r="C208" s="1070">
        <f>6*3+7*38.5</f>
        <v>287.5</v>
      </c>
      <c r="D208" s="1071"/>
      <c r="E208" s="1048">
        <f t="shared" si="66"/>
        <v>41.071428571428569</v>
      </c>
      <c r="F208" s="1049"/>
      <c r="G208" s="388"/>
      <c r="H208" s="388"/>
      <c r="I208" s="1052">
        <f t="shared" si="67"/>
        <v>5.1339285714285712</v>
      </c>
      <c r="J208" s="1058"/>
      <c r="K208" s="1059">
        <f t="shared" si="68"/>
        <v>1232.1428571428571</v>
      </c>
      <c r="L208" s="1059"/>
      <c r="M208" s="5"/>
      <c r="N208" s="1020">
        <f t="shared" si="69"/>
        <v>5.989583333333333</v>
      </c>
      <c r="O208" s="1020"/>
      <c r="P208" s="5"/>
      <c r="Q208" s="1056">
        <f t="shared" si="70"/>
        <v>9.7321428571429003E-2</v>
      </c>
      <c r="R208" s="1057"/>
      <c r="U208" s="238">
        <f t="shared" si="71"/>
        <v>0</v>
      </c>
      <c r="V208" s="239">
        <v>48</v>
      </c>
      <c r="W208" s="240">
        <f t="shared" si="72"/>
        <v>48</v>
      </c>
      <c r="X208" s="241" t="e">
        <f t="shared" si="73"/>
        <v>#VALUE!</v>
      </c>
      <c r="Z208" s="389"/>
      <c r="AA208" s="754"/>
      <c r="AB208" s="754"/>
      <c r="AC208" s="754"/>
      <c r="AD208" s="754"/>
      <c r="AE208" s="386"/>
      <c r="AF208" s="386"/>
      <c r="AG208" s="242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</row>
    <row r="209" spans="1:46" ht="16.5">
      <c r="A209" s="1">
        <v>4</v>
      </c>
      <c r="B209" s="243" t="s">
        <v>52</v>
      </c>
      <c r="C209" s="1046">
        <f>6*3+7*30.762</f>
        <v>233.334</v>
      </c>
      <c r="D209" s="1047"/>
      <c r="E209" s="1048">
        <f t="shared" si="66"/>
        <v>33.33342857142857</v>
      </c>
      <c r="F209" s="1049"/>
      <c r="G209" s="388"/>
      <c r="H209" s="388"/>
      <c r="I209" s="1052">
        <f t="shared" si="67"/>
        <v>4.1666785714285712</v>
      </c>
      <c r="J209" s="1058"/>
      <c r="K209" s="1059">
        <f t="shared" si="68"/>
        <v>1000.0028571428571</v>
      </c>
      <c r="L209" s="1059"/>
      <c r="M209" s="5"/>
      <c r="N209" s="1020">
        <f t="shared" si="69"/>
        <v>4.8611250000000004</v>
      </c>
      <c r="O209" s="1020"/>
      <c r="P209" s="5"/>
      <c r="Q209" s="1056">
        <f t="shared" si="70"/>
        <v>1.0645714285714289</v>
      </c>
      <c r="R209" s="1057"/>
      <c r="S209" s="1066">
        <f>20*30/180*117</f>
        <v>390</v>
      </c>
      <c r="T209" s="1067"/>
      <c r="U209" s="238">
        <f t="shared" si="71"/>
        <v>0</v>
      </c>
      <c r="V209" s="239">
        <v>48</v>
      </c>
      <c r="W209" s="240">
        <f t="shared" si="72"/>
        <v>48</v>
      </c>
      <c r="X209" s="241">
        <f t="shared" si="73"/>
        <v>0</v>
      </c>
      <c r="Z209" s="1045" t="s">
        <v>53</v>
      </c>
      <c r="AA209" s="1045"/>
      <c r="AB209" s="1045"/>
      <c r="AC209" s="1045"/>
      <c r="AD209" s="389" t="s">
        <v>54</v>
      </c>
      <c r="AE209" s="754"/>
      <c r="AF209" s="386"/>
      <c r="AG209" s="755"/>
      <c r="AH209" s="755"/>
      <c r="AI209" s="386"/>
      <c r="AJ209" s="386"/>
      <c r="AK209" s="751"/>
      <c r="AL209" s="751"/>
      <c r="AM209" s="751"/>
      <c r="AN209" s="751"/>
      <c r="AO209" s="751"/>
      <c r="AP209" s="751"/>
      <c r="AQ209" s="751"/>
      <c r="AR209" s="751"/>
      <c r="AS209" s="386"/>
      <c r="AT209" s="386"/>
    </row>
    <row r="210" spans="1:46" ht="16.5">
      <c r="A210" s="1">
        <v>5</v>
      </c>
      <c r="B210" s="237" t="s">
        <v>55</v>
      </c>
      <c r="C210" s="1046">
        <f>6*3+7*38.5</f>
        <v>287.5</v>
      </c>
      <c r="D210" s="1047"/>
      <c r="E210" s="1048">
        <f t="shared" si="66"/>
        <v>41.071428571428569</v>
      </c>
      <c r="F210" s="1049"/>
      <c r="G210" s="388"/>
      <c r="H210" s="388"/>
      <c r="I210" s="1052">
        <f t="shared" si="67"/>
        <v>5.1339285714285712</v>
      </c>
      <c r="J210" s="1058"/>
      <c r="K210" s="1059">
        <f t="shared" si="68"/>
        <v>1232.1428571428571</v>
      </c>
      <c r="L210" s="1059"/>
      <c r="M210" s="5"/>
      <c r="N210" s="1020">
        <f t="shared" si="69"/>
        <v>5.989583333333333</v>
      </c>
      <c r="O210" s="1020"/>
      <c r="P210" s="5"/>
      <c r="Q210" s="1056">
        <f t="shared" si="70"/>
        <v>9.7321428571429003E-2</v>
      </c>
      <c r="R210" s="1057"/>
      <c r="U210" s="238">
        <f t="shared" si="71"/>
        <v>0</v>
      </c>
      <c r="V210" s="239">
        <v>48</v>
      </c>
      <c r="W210" s="240">
        <f t="shared" si="72"/>
        <v>48</v>
      </c>
      <c r="X210" s="241">
        <f t="shared" si="73"/>
        <v>0</v>
      </c>
      <c r="Z210" s="754"/>
      <c r="AA210" s="754"/>
      <c r="AB210" s="754"/>
      <c r="AC210" s="754"/>
      <c r="AD210" s="754"/>
      <c r="AE210" s="386"/>
      <c r="AF210" s="386"/>
      <c r="AG210" s="244"/>
      <c r="AH210" s="244"/>
      <c r="AI210" s="755"/>
      <c r="AJ210" s="755"/>
      <c r="AK210" s="755"/>
      <c r="AL210" s="755"/>
      <c r="AM210" s="755"/>
      <c r="AN210" s="755"/>
      <c r="AO210" s="755"/>
      <c r="AP210" s="755"/>
      <c r="AQ210" s="755"/>
      <c r="AR210" s="755"/>
      <c r="AS210" s="386"/>
      <c r="AT210" s="386"/>
    </row>
    <row r="211" spans="1:46" ht="16.5">
      <c r="A211" s="1">
        <v>7</v>
      </c>
      <c r="B211" s="245" t="s">
        <v>56</v>
      </c>
      <c r="C211" s="1060">
        <f>6*3+7*(38.5)</f>
        <v>287.5</v>
      </c>
      <c r="D211" s="1061"/>
      <c r="E211" s="1048">
        <f t="shared" si="66"/>
        <v>41.071428571428569</v>
      </c>
      <c r="F211" s="1049"/>
      <c r="G211" s="1068"/>
      <c r="H211" s="1069"/>
      <c r="I211" s="1052">
        <f t="shared" si="67"/>
        <v>5.1339285714285712</v>
      </c>
      <c r="J211" s="1058"/>
      <c r="K211" s="1059">
        <f>+E211*30</f>
        <v>1232.1428571428571</v>
      </c>
      <c r="L211" s="1059"/>
      <c r="M211" s="5"/>
      <c r="N211" s="1020">
        <f>+I211/6*7</f>
        <v>5.989583333333333</v>
      </c>
      <c r="O211" s="1020"/>
      <c r="P211" s="5"/>
      <c r="Q211" s="1056">
        <f>+$I$69-I211</f>
        <v>9.7321428571429003E-2</v>
      </c>
      <c r="R211" s="1057"/>
      <c r="U211" s="238">
        <f t="shared" si="71"/>
        <v>0</v>
      </c>
      <c r="V211" s="239">
        <v>48</v>
      </c>
      <c r="W211" s="240">
        <f>+V211-U211</f>
        <v>48</v>
      </c>
      <c r="X211" s="241">
        <f t="shared" si="73"/>
        <v>0</v>
      </c>
      <c r="Z211" s="246"/>
      <c r="AA211" s="246"/>
      <c r="AB211" s="1064" t="s">
        <v>57</v>
      </c>
      <c r="AC211" s="1065"/>
      <c r="AD211" s="1065"/>
      <c r="AE211" s="1065"/>
      <c r="AF211" s="1065"/>
      <c r="AG211" s="1065"/>
      <c r="AH211" s="1065"/>
      <c r="AI211" s="1065"/>
      <c r="AJ211" s="1065"/>
      <c r="AK211" s="1065"/>
      <c r="AL211" s="393"/>
      <c r="AM211" s="755"/>
      <c r="AN211" s="755"/>
      <c r="AO211" s="755"/>
      <c r="AP211" s="755"/>
      <c r="AQ211" s="755"/>
      <c r="AR211" s="755"/>
      <c r="AS211" s="386"/>
      <c r="AT211" s="386"/>
    </row>
    <row r="212" spans="1:46" s="249" customFormat="1" ht="16.5">
      <c r="A212" s="247">
        <v>6</v>
      </c>
      <c r="B212" s="245" t="s">
        <v>62</v>
      </c>
      <c r="C212" s="1060">
        <f>6*3+7*(27)</f>
        <v>207</v>
      </c>
      <c r="D212" s="1061"/>
      <c r="E212" s="1048">
        <f t="shared" si="66"/>
        <v>29.571428571428573</v>
      </c>
      <c r="F212" s="1049"/>
      <c r="G212" s="1062"/>
      <c r="H212" s="1063"/>
      <c r="I212" s="1052">
        <f t="shared" si="67"/>
        <v>3.6964285714285716</v>
      </c>
      <c r="J212" s="1058"/>
      <c r="K212" s="1059">
        <f>+E212*30</f>
        <v>887.14285714285722</v>
      </c>
      <c r="L212" s="1059"/>
      <c r="M212" s="5"/>
      <c r="N212" s="1020">
        <f t="shared" ref="N212:N213" si="74">+I212/6*7</f>
        <v>4.3125</v>
      </c>
      <c r="O212" s="1020"/>
      <c r="P212" s="5"/>
      <c r="Q212" s="1056">
        <f t="shared" ref="Q212:Q213" si="75">+$I$69-I212</f>
        <v>1.5348214285714286</v>
      </c>
      <c r="R212" s="1057"/>
      <c r="S212" s="1066">
        <f>20*30/180*117</f>
        <v>390</v>
      </c>
      <c r="T212" s="1067"/>
      <c r="U212" s="238">
        <f t="shared" si="71"/>
        <v>0</v>
      </c>
      <c r="V212" s="239">
        <v>48</v>
      </c>
      <c r="W212" s="240">
        <f t="shared" ref="W212:W213" si="76">+V212-U212</f>
        <v>48</v>
      </c>
      <c r="X212" s="241">
        <f t="shared" si="73"/>
        <v>0</v>
      </c>
      <c r="Y212" s="248"/>
      <c r="Z212" s="754"/>
      <c r="AA212" s="754"/>
      <c r="AB212" s="754"/>
      <c r="AC212" s="754"/>
      <c r="AD212" s="754"/>
      <c r="AE212" s="386"/>
      <c r="AF212" s="386"/>
      <c r="AG212" s="755"/>
      <c r="AH212" s="755"/>
      <c r="AI212" s="393"/>
      <c r="AJ212" s="393"/>
      <c r="AK212" s="393"/>
      <c r="AL212" s="393"/>
      <c r="AM212" s="755"/>
      <c r="AN212" s="755"/>
      <c r="AO212" s="755"/>
      <c r="AP212" s="755"/>
      <c r="AQ212" s="755"/>
      <c r="AR212" s="755"/>
      <c r="AS212" s="386"/>
      <c r="AT212" s="386"/>
    </row>
    <row r="213" spans="1:46" s="249" customFormat="1" ht="16.5">
      <c r="A213" s="1">
        <v>8</v>
      </c>
      <c r="B213" s="245" t="s">
        <v>117</v>
      </c>
      <c r="C213" s="1060">
        <f>6*3+7*(25.7619)</f>
        <v>198.33330000000001</v>
      </c>
      <c r="D213" s="1061"/>
      <c r="E213" s="1048">
        <f t="shared" si="66"/>
        <v>28.333328571428574</v>
      </c>
      <c r="F213" s="1049"/>
      <c r="G213" s="1050">
        <v>25.761900000000001</v>
      </c>
      <c r="H213" s="1051"/>
      <c r="I213" s="1052">
        <f t="shared" si="67"/>
        <v>3.5416660714285717</v>
      </c>
      <c r="J213" s="1058"/>
      <c r="K213" s="1059">
        <f>+E213*30</f>
        <v>849.99985714285719</v>
      </c>
      <c r="L213" s="1059"/>
      <c r="M213" s="5"/>
      <c r="N213" s="1020">
        <f t="shared" si="74"/>
        <v>4.1319437500000005</v>
      </c>
      <c r="O213" s="1020"/>
      <c r="P213" s="5"/>
      <c r="Q213" s="1056">
        <f t="shared" si="75"/>
        <v>1.6895839285714285</v>
      </c>
      <c r="R213" s="1057"/>
      <c r="S213" s="753"/>
      <c r="T213" s="753"/>
      <c r="U213" s="238">
        <f>+AE175+U175+K175+AO154+AE154+U154+K154</f>
        <v>0</v>
      </c>
      <c r="V213" s="239">
        <v>48</v>
      </c>
      <c r="W213" s="240">
        <f t="shared" si="76"/>
        <v>48</v>
      </c>
      <c r="X213" s="241">
        <f>+J154+T154+AD154+J175+T175+AD175</f>
        <v>0</v>
      </c>
      <c r="Y213" s="753"/>
      <c r="Z213" s="754"/>
      <c r="AA213" s="754"/>
      <c r="AB213" s="754"/>
      <c r="AC213" s="754"/>
      <c r="AD213" s="754"/>
      <c r="AE213" s="386"/>
      <c r="AF213" s="386"/>
      <c r="AG213" s="755"/>
      <c r="AH213" s="755"/>
      <c r="AI213" s="393"/>
      <c r="AJ213" s="393"/>
      <c r="AK213" s="393"/>
      <c r="AL213" s="393"/>
      <c r="AM213" s="755"/>
      <c r="AN213" s="755"/>
      <c r="AO213" s="755"/>
      <c r="AP213" s="755"/>
      <c r="AQ213" s="755"/>
      <c r="AR213" s="755"/>
      <c r="AS213" s="386"/>
      <c r="AT213" s="386"/>
    </row>
    <row r="214" spans="1:46" ht="16.5">
      <c r="B214" s="245" t="s">
        <v>121</v>
      </c>
      <c r="C214" s="1060"/>
      <c r="D214" s="1061"/>
      <c r="E214" s="1048"/>
      <c r="F214" s="1049"/>
      <c r="G214" s="1062"/>
      <c r="H214" s="1063"/>
      <c r="I214" s="1052"/>
      <c r="J214" s="1058"/>
      <c r="K214" s="1059">
        <f t="shared" ref="K214" si="77">+E214*30</f>
        <v>0</v>
      </c>
      <c r="L214" s="1059"/>
      <c r="M214" s="5"/>
      <c r="N214" s="1020">
        <f>+I214/6*7</f>
        <v>0</v>
      </c>
      <c r="O214" s="1020"/>
      <c r="P214" s="5"/>
      <c r="Q214" s="1056">
        <f>+$I$69-I214</f>
        <v>5.2312500000000002</v>
      </c>
      <c r="R214" s="1057"/>
      <c r="U214" s="238">
        <f>+AE179+U179+K179+AO158+AE158+U158+K158</f>
        <v>0</v>
      </c>
      <c r="V214" s="239">
        <v>48</v>
      </c>
      <c r="W214" s="240">
        <f>+V214-U214</f>
        <v>48</v>
      </c>
      <c r="X214" s="241" t="e">
        <f>+#REF!+#REF!+#REF!+#REF!+#REF!+#REF!</f>
        <v>#REF!</v>
      </c>
      <c r="Z214" s="246"/>
      <c r="AA214" s="246"/>
      <c r="AB214" s="754"/>
      <c r="AC214" s="754"/>
      <c r="AD214" s="754"/>
      <c r="AE214" s="386"/>
      <c r="AF214" s="386"/>
      <c r="AG214" s="755"/>
      <c r="AH214" s="755"/>
      <c r="AI214" s="755"/>
      <c r="AJ214" s="755"/>
      <c r="AK214" s="755"/>
      <c r="AL214" s="755"/>
      <c r="AM214" s="755"/>
      <c r="AN214" s="755"/>
      <c r="AO214" s="755"/>
      <c r="AP214" s="755"/>
      <c r="AQ214" s="755"/>
      <c r="AR214" s="755"/>
      <c r="AS214" s="386"/>
      <c r="AT214" s="386"/>
    </row>
    <row r="215" spans="1:46" ht="16.5">
      <c r="B215" s="245" t="s">
        <v>121</v>
      </c>
      <c r="C215" s="1046">
        <f>6*3+7*35</f>
        <v>263</v>
      </c>
      <c r="D215" s="1047"/>
      <c r="E215" s="1048">
        <f t="shared" ref="E215:E220" si="78">+C215/7</f>
        <v>37.571428571428569</v>
      </c>
      <c r="F215" s="1049"/>
      <c r="G215" s="388"/>
      <c r="H215" s="388"/>
      <c r="I215" s="1052">
        <f>+E215/8</f>
        <v>4.6964285714285712</v>
      </c>
      <c r="J215" s="1058"/>
      <c r="K215" s="1059">
        <f>+E215*30</f>
        <v>1127.1428571428571</v>
      </c>
      <c r="L215" s="1059"/>
      <c r="M215" s="251"/>
      <c r="N215" s="1020">
        <f>+I215/6*7</f>
        <v>5.479166666666667</v>
      </c>
      <c r="O215" s="1020"/>
      <c r="P215" s="5"/>
      <c r="Q215" s="1056">
        <f>+$I$69-I215</f>
        <v>0.534821428571429</v>
      </c>
      <c r="R215" s="1057"/>
      <c r="U215" s="238">
        <f>+AE176+U176+K176+AO155+AE155+U155+K155</f>
        <v>0</v>
      </c>
      <c r="V215" s="239">
        <v>48</v>
      </c>
      <c r="W215" s="240">
        <f>+V215-U215</f>
        <v>48</v>
      </c>
      <c r="X215" s="241">
        <f>+J155+T155+AD155+J176+T176+AD176</f>
        <v>0</v>
      </c>
      <c r="Z215" s="1045">
        <f>+K215/E215</f>
        <v>30</v>
      </c>
      <c r="AA215" s="1045"/>
      <c r="AB215" s="1045"/>
      <c r="AC215" s="1045"/>
      <c r="AD215" s="754"/>
      <c r="AE215" s="386"/>
      <c r="AF215" s="386"/>
      <c r="AG215" s="244"/>
      <c r="AH215" s="244"/>
      <c r="AI215" s="755"/>
      <c r="AJ215" s="755"/>
      <c r="AK215" s="755"/>
      <c r="AL215" s="755"/>
      <c r="AM215" s="755"/>
      <c r="AN215" s="755"/>
      <c r="AO215" s="755"/>
      <c r="AP215" s="755"/>
      <c r="AQ215" s="755"/>
      <c r="AR215" s="755"/>
      <c r="AS215" s="386"/>
      <c r="AT215" s="386"/>
    </row>
    <row r="216" spans="1:46" ht="16.5">
      <c r="A216" s="1">
        <v>3</v>
      </c>
      <c r="B216" s="237" t="s">
        <v>118</v>
      </c>
      <c r="C216" s="1046">
        <f>6*3+7*34.0952</f>
        <v>256.66639999999995</v>
      </c>
      <c r="D216" s="1047"/>
      <c r="E216" s="1048">
        <f t="shared" si="78"/>
        <v>36.666628571428568</v>
      </c>
      <c r="F216" s="1049"/>
      <c r="G216" s="1050">
        <f>(C216-18)/7</f>
        <v>34.095199999999991</v>
      </c>
      <c r="H216" s="1051"/>
      <c r="I216" s="1052">
        <f>+E216/8</f>
        <v>4.583328571428571</v>
      </c>
      <c r="J216" s="1053"/>
      <c r="K216" s="1054">
        <f>+E216*30</f>
        <v>1099.9988571428571</v>
      </c>
      <c r="L216" s="1055"/>
      <c r="M216" s="251"/>
      <c r="N216" s="1043">
        <f>+I216/6*7</f>
        <v>5.3472166666666663</v>
      </c>
      <c r="O216" s="1044"/>
      <c r="P216" s="5"/>
      <c r="Q216" s="1056">
        <f>+$I$69-I216</f>
        <v>0.6479214285714292</v>
      </c>
      <c r="R216" s="1057"/>
      <c r="U216" s="238">
        <f>+AE177+U177+K177+AO156+AE156+U156+K156</f>
        <v>0</v>
      </c>
      <c r="V216" s="239">
        <v>48</v>
      </c>
      <c r="W216" s="240">
        <f>+V216-U216</f>
        <v>48</v>
      </c>
      <c r="X216" s="241">
        <f>+J156+T156+AD156+J177+T177+AD177</f>
        <v>0</v>
      </c>
      <c r="Z216" s="252"/>
      <c r="AA216" s="394"/>
      <c r="AB216" s="389"/>
      <c r="AC216" s="754"/>
      <c r="AD216" s="754"/>
      <c r="AE216" s="386"/>
      <c r="AF216" s="386"/>
      <c r="AG216" s="755"/>
      <c r="AH216" s="755"/>
      <c r="AI216" s="393"/>
      <c r="AJ216" s="393"/>
      <c r="AK216" s="393"/>
      <c r="AL216" s="393"/>
      <c r="AM216" s="755"/>
      <c r="AN216" s="755"/>
      <c r="AO216" s="755"/>
      <c r="AP216" s="755"/>
      <c r="AQ216" s="755"/>
      <c r="AR216" s="755"/>
      <c r="AS216" s="386"/>
      <c r="AT216" s="386"/>
    </row>
    <row r="217" spans="1:46" ht="16.5">
      <c r="B217" s="250" t="s">
        <v>123</v>
      </c>
      <c r="C217" s="1035">
        <f>+G217*6</f>
        <v>169.99979999999999</v>
      </c>
      <c r="D217" s="1036"/>
      <c r="E217" s="1037">
        <f t="shared" si="78"/>
        <v>24.285685714285712</v>
      </c>
      <c r="F217" s="1038"/>
      <c r="G217" s="1039">
        <f>28.3333</f>
        <v>28.333300000000001</v>
      </c>
      <c r="H217" s="1040"/>
      <c r="I217" s="1037">
        <f>+G217/8</f>
        <v>3.5416625000000002</v>
      </c>
      <c r="J217" s="1038"/>
      <c r="K217" s="1041">
        <f>+G217*30</f>
        <v>849.99900000000002</v>
      </c>
      <c r="L217" s="1042"/>
      <c r="M217" s="5"/>
      <c r="N217" s="1043">
        <f t="shared" ref="N217" si="79">+I217/6*7</f>
        <v>4.1319395833333337</v>
      </c>
      <c r="O217" s="1044"/>
      <c r="P217" s="5"/>
      <c r="Q217" s="1004">
        <f t="shared" ref="Q217" si="80">+$I$69-I217</f>
        <v>1.6895875</v>
      </c>
      <c r="R217" s="1005"/>
      <c r="U217" s="238">
        <f>+AE179+U179+K179+AO158+AE158+U158+K158</f>
        <v>0</v>
      </c>
      <c r="V217" s="239">
        <v>48</v>
      </c>
      <c r="W217" s="240">
        <f t="shared" ref="W217" si="81">+V217-U217</f>
        <v>48</v>
      </c>
      <c r="X217" s="241">
        <f>+J157+T157+AD157+J178+T178+AD178</f>
        <v>0</v>
      </c>
      <c r="Z217" s="252"/>
      <c r="AA217" s="394"/>
      <c r="AB217" s="389"/>
      <c r="AC217" s="754"/>
      <c r="AD217" s="754"/>
      <c r="AE217" s="386"/>
      <c r="AF217" s="386"/>
      <c r="AG217" s="393"/>
      <c r="AH217" s="393"/>
      <c r="AI217" s="755"/>
      <c r="AJ217" s="755"/>
      <c r="AK217" s="755"/>
      <c r="AL217" s="755"/>
      <c r="AM217" s="755"/>
      <c r="AN217" s="755"/>
      <c r="AO217" s="755"/>
      <c r="AP217" s="755"/>
      <c r="AQ217" s="755"/>
      <c r="AR217" s="755"/>
      <c r="AS217" s="386"/>
      <c r="AT217" s="386"/>
    </row>
    <row r="218" spans="1:46" ht="16.5">
      <c r="B218" s="250" t="s">
        <v>124</v>
      </c>
      <c r="C218" s="1035">
        <f>+G218*6</f>
        <v>199.99979999999999</v>
      </c>
      <c r="D218" s="1036"/>
      <c r="E218" s="1037">
        <f t="shared" si="78"/>
        <v>28.571400000000001</v>
      </c>
      <c r="F218" s="1038"/>
      <c r="G218" s="1039">
        <v>33.333300000000001</v>
      </c>
      <c r="H218" s="1040"/>
      <c r="I218" s="1037">
        <f>+G218/8</f>
        <v>4.1666625000000002</v>
      </c>
      <c r="J218" s="1038"/>
      <c r="K218" s="1041">
        <f>+G218*30</f>
        <v>999.99900000000002</v>
      </c>
      <c r="L218" s="1042"/>
      <c r="M218" s="5"/>
      <c r="N218" s="1043">
        <f>+I218/6*7</f>
        <v>4.8611062500000006</v>
      </c>
      <c r="O218" s="1044"/>
      <c r="P218" s="5"/>
      <c r="Q218" s="1004">
        <f>+$I$69-I218</f>
        <v>1.0645875</v>
      </c>
      <c r="R218" s="1005"/>
      <c r="U218" s="238">
        <f>+AE180+U180+K180+AO159+AE159+U159+K159</f>
        <v>0</v>
      </c>
      <c r="V218" s="239">
        <v>48</v>
      </c>
      <c r="W218" s="240">
        <f>+V218-U218</f>
        <v>48</v>
      </c>
      <c r="X218" s="241">
        <f>+J158+T158+AD158+J179+T179+AD179</f>
        <v>0</v>
      </c>
      <c r="Z218" s="246"/>
      <c r="AA218" s="246"/>
      <c r="AB218" s="754"/>
      <c r="AC218" s="754"/>
      <c r="AD218" s="754">
        <v>200</v>
      </c>
      <c r="AE218" s="386"/>
      <c r="AF218" s="1023">
        <f>+AD218/6</f>
        <v>33.333333333333336</v>
      </c>
      <c r="AG218" s="1023"/>
      <c r="AH218" s="1023"/>
      <c r="AI218" s="755"/>
      <c r="AJ218" s="755"/>
      <c r="AK218" s="755"/>
      <c r="AL218" s="755"/>
      <c r="AM218" s="755"/>
      <c r="AN218" s="755"/>
      <c r="AO218" s="755"/>
      <c r="AP218" s="755"/>
      <c r="AQ218" s="755"/>
      <c r="AR218" s="755"/>
      <c r="AS218" s="386"/>
      <c r="AT218" s="386"/>
    </row>
    <row r="219" spans="1:46" ht="16.5">
      <c r="A219" s="247"/>
      <c r="B219" s="250" t="s">
        <v>30</v>
      </c>
      <c r="C219" s="1024">
        <v>100</v>
      </c>
      <c r="D219" s="1025"/>
      <c r="E219" s="1026">
        <f t="shared" si="78"/>
        <v>14.285714285714286</v>
      </c>
      <c r="F219" s="1027"/>
      <c r="G219" s="1028">
        <f>+C219/6</f>
        <v>16.666666666666668</v>
      </c>
      <c r="H219" s="1029"/>
      <c r="I219" s="1030">
        <f>+E219/8/6*7</f>
        <v>2.0833333333333335</v>
      </c>
      <c r="J219" s="1031"/>
      <c r="K219" s="1032">
        <f>+G219*30</f>
        <v>500.00000000000006</v>
      </c>
      <c r="L219" s="1032"/>
      <c r="M219" s="5"/>
      <c r="N219" s="1020">
        <f>+I219/6*7</f>
        <v>2.4305555555555558</v>
      </c>
      <c r="O219" s="1020"/>
      <c r="P219" s="5"/>
      <c r="Q219" s="1033">
        <f>+$I$69-I219</f>
        <v>3.1479166666666667</v>
      </c>
      <c r="R219" s="1034"/>
      <c r="U219" s="238">
        <f>+AE179+U179+K179+AO158+AE158+U158+K158</f>
        <v>0</v>
      </c>
      <c r="V219" s="239">
        <v>48</v>
      </c>
      <c r="W219" s="240">
        <f t="shared" ref="W219:W220" si="82">+V219-U219</f>
        <v>48</v>
      </c>
      <c r="X219" s="241">
        <f>+J158+T158+AD158+J179+T179+AD179</f>
        <v>0</v>
      </c>
      <c r="Y219" s="248"/>
      <c r="Z219" s="754"/>
      <c r="AA219" s="754"/>
      <c r="AB219" s="754"/>
      <c r="AC219" s="754"/>
      <c r="AG219" s="755"/>
      <c r="AH219" s="755"/>
      <c r="AI219" s="386"/>
      <c r="AJ219" s="386"/>
      <c r="AK219" s="751"/>
      <c r="AL219" s="751"/>
      <c r="AM219" s="751"/>
      <c r="AN219" s="751"/>
      <c r="AO219" s="751"/>
      <c r="AP219" s="751"/>
      <c r="AQ219" s="751"/>
      <c r="AR219" s="751"/>
      <c r="AS219" s="386"/>
      <c r="AT219" s="386"/>
    </row>
    <row r="220" spans="1:46" ht="16.5">
      <c r="B220" s="253" t="s">
        <v>63</v>
      </c>
      <c r="C220" s="1010">
        <f>6*3+7*(G220)</f>
        <v>548.33330000000001</v>
      </c>
      <c r="D220" s="1011"/>
      <c r="E220" s="1012">
        <f t="shared" si="78"/>
        <v>78.333328571428567</v>
      </c>
      <c r="F220" s="1013"/>
      <c r="G220" s="1014">
        <v>75.761899999999997</v>
      </c>
      <c r="H220" s="1015"/>
      <c r="I220" s="1016">
        <f>+E220/8</f>
        <v>9.7916660714285708</v>
      </c>
      <c r="J220" s="1017"/>
      <c r="K220" s="1018">
        <f>+E220*30</f>
        <v>2349.9998571428569</v>
      </c>
      <c r="L220" s="1019"/>
      <c r="M220" s="5"/>
      <c r="N220" s="1020">
        <f t="shared" ref="N220" si="83">+I220/6*7</f>
        <v>11.423610416666666</v>
      </c>
      <c r="O220" s="1020"/>
      <c r="P220" s="5"/>
      <c r="Q220" s="1004">
        <f t="shared" ref="Q220" si="84">+$I$69-I220</f>
        <v>-4.5604160714285706</v>
      </c>
      <c r="R220" s="1005"/>
      <c r="U220" s="238">
        <f>+AE183+U183+K183+AO162+AE162+U162+K162</f>
        <v>0</v>
      </c>
      <c r="V220" s="239">
        <v>48</v>
      </c>
      <c r="W220" s="240">
        <f t="shared" si="82"/>
        <v>48</v>
      </c>
      <c r="X220" s="241">
        <f>+J162+T162+AD162+J183+T183+AD183</f>
        <v>0</v>
      </c>
      <c r="Z220" s="246"/>
      <c r="AA220" s="246"/>
      <c r="AB220" s="754"/>
      <c r="AC220" s="754"/>
      <c r="AD220" s="754"/>
      <c r="AE220" s="386"/>
      <c r="AF220" s="386"/>
      <c r="AG220" s="755"/>
      <c r="AH220" s="755"/>
      <c r="AI220" s="755"/>
      <c r="AJ220" s="755"/>
      <c r="AK220" s="755"/>
      <c r="AL220" s="755"/>
      <c r="AM220" s="755"/>
      <c r="AN220" s="755"/>
      <c r="AO220" s="755"/>
      <c r="AP220" s="755"/>
      <c r="AQ220" s="386"/>
      <c r="AR220" s="386"/>
      <c r="AS220" s="386"/>
      <c r="AT220" s="386"/>
    </row>
    <row r="221" spans="1:46">
      <c r="AE221" s="255"/>
      <c r="AF221" s="255"/>
      <c r="AJ221" s="255"/>
      <c r="AK221" s="255"/>
    </row>
    <row r="222" spans="1:46" ht="15.75" thickBot="1">
      <c r="AE222" s="255"/>
      <c r="AF222" s="255"/>
      <c r="AJ222" s="255"/>
      <c r="AK222" s="255"/>
    </row>
    <row r="223" spans="1:46">
      <c r="C223" s="321"/>
      <c r="D223" s="752"/>
      <c r="E223" s="304"/>
      <c r="F223" s="305"/>
      <c r="G223" s="752"/>
      <c r="H223" s="752"/>
      <c r="I223" s="305"/>
      <c r="J223" s="752"/>
      <c r="K223" s="306"/>
      <c r="L223" s="306"/>
      <c r="M223" s="752"/>
      <c r="N223" s="752"/>
      <c r="O223" s="752"/>
      <c r="P223" s="752"/>
      <c r="Q223" s="752"/>
      <c r="R223" s="752"/>
      <c r="S223" s="752"/>
      <c r="T223" s="752"/>
      <c r="U223" s="752"/>
      <c r="V223" s="752"/>
      <c r="W223" s="752"/>
      <c r="X223" s="752"/>
      <c r="Y223" s="752"/>
      <c r="Z223" s="752"/>
      <c r="AA223" s="307"/>
      <c r="AB223" s="307"/>
      <c r="AC223" s="307"/>
      <c r="AD223" s="307"/>
      <c r="AE223" s="322"/>
      <c r="AF223" s="322"/>
      <c r="AG223" s="308"/>
      <c r="AJ223" s="255"/>
      <c r="AK223" s="255"/>
    </row>
    <row r="224" spans="1:46" ht="18">
      <c r="C224" s="323"/>
      <c r="D224" s="226"/>
      <c r="E224" s="324" t="s">
        <v>130</v>
      </c>
      <c r="F224" s="280"/>
      <c r="G224" s="226"/>
      <c r="H224" s="226"/>
      <c r="I224" s="280"/>
      <c r="J224" s="226"/>
      <c r="K224" s="275"/>
      <c r="L224" s="275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104"/>
      <c r="AB224" s="104"/>
      <c r="AC224" s="104"/>
      <c r="AD224" s="104"/>
      <c r="AE224" s="255"/>
      <c r="AF224" s="255"/>
      <c r="AG224" s="310"/>
      <c r="AJ224" s="255"/>
      <c r="AK224" s="255"/>
    </row>
    <row r="225" spans="3:41">
      <c r="C225" s="323"/>
      <c r="D225" s="226"/>
      <c r="E225" s="279"/>
      <c r="F225" s="280"/>
      <c r="G225" s="226"/>
      <c r="H225" s="226"/>
      <c r="I225" s="280"/>
      <c r="J225" s="226"/>
      <c r="K225" s="275"/>
      <c r="L225" s="275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1006" t="s">
        <v>95</v>
      </c>
      <c r="AB225" s="1007"/>
      <c r="AC225" s="1008"/>
      <c r="AD225" s="974" t="s">
        <v>135</v>
      </c>
      <c r="AE225" s="975"/>
      <c r="AF225" s="976"/>
      <c r="AG225" s="310"/>
      <c r="AH225" s="104"/>
      <c r="AI225" s="104"/>
      <c r="AJ225" s="255"/>
      <c r="AK225" s="255"/>
    </row>
    <row r="226" spans="3:41" ht="16.5" thickBot="1">
      <c r="C226" s="323"/>
      <c r="D226" s="977" t="s">
        <v>97</v>
      </c>
      <c r="E226" s="977"/>
      <c r="F226" s="977"/>
      <c r="G226" s="977"/>
      <c r="H226" s="977"/>
      <c r="I226" s="978" t="s">
        <v>98</v>
      </c>
      <c r="J226" s="978"/>
      <c r="K226" s="978"/>
      <c r="L226" s="979" t="s">
        <v>99</v>
      </c>
      <c r="M226" s="979"/>
      <c r="N226" s="979"/>
      <c r="O226" s="979" t="s">
        <v>100</v>
      </c>
      <c r="P226" s="979"/>
      <c r="Q226" s="979"/>
      <c r="R226" s="1009" t="s">
        <v>141</v>
      </c>
      <c r="S226" s="1009"/>
      <c r="T226" s="1009"/>
      <c r="U226" s="979" t="s">
        <v>102</v>
      </c>
      <c r="V226" s="979"/>
      <c r="W226" s="981"/>
      <c r="X226" s="982" t="s">
        <v>103</v>
      </c>
      <c r="Y226" s="983"/>
      <c r="Z226" s="984"/>
      <c r="AA226" s="1021" t="s">
        <v>134</v>
      </c>
      <c r="AB226" s="1021"/>
      <c r="AC226" s="1022"/>
      <c r="AD226" s="987" t="s">
        <v>136</v>
      </c>
      <c r="AE226" s="988"/>
      <c r="AF226" s="989"/>
      <c r="AG226" s="310"/>
      <c r="AH226" s="104"/>
      <c r="AI226" s="104"/>
      <c r="AJ226" s="255"/>
      <c r="AK226" s="255"/>
    </row>
    <row r="227" spans="3:41" ht="19.5" thickTop="1">
      <c r="C227" s="325">
        <v>1</v>
      </c>
      <c r="D227" s="957" t="s">
        <v>52</v>
      </c>
      <c r="E227" s="957"/>
      <c r="F227" s="957"/>
      <c r="G227" s="957"/>
      <c r="H227" s="957"/>
      <c r="I227" s="1000">
        <v>30.762</v>
      </c>
      <c r="J227" s="1000"/>
      <c r="K227" s="1000"/>
      <c r="L227" s="959">
        <v>1</v>
      </c>
      <c r="M227" s="959"/>
      <c r="N227" s="959"/>
      <c r="O227" s="959">
        <v>2</v>
      </c>
      <c r="P227" s="959"/>
      <c r="Q227" s="959"/>
      <c r="R227" s="1001">
        <f t="shared" ref="R227:R234" si="85">+I227+L227+O227</f>
        <v>33.762</v>
      </c>
      <c r="S227" s="1001"/>
      <c r="T227" s="1001"/>
      <c r="U227" s="961">
        <f t="shared" ref="U227:U234" si="86">+I227*7+(L227+O227)*6</f>
        <v>233.334</v>
      </c>
      <c r="V227" s="961"/>
      <c r="W227" s="962"/>
      <c r="X227" s="963">
        <f t="shared" ref="X227:X234" si="87">+U227/7*30</f>
        <v>1000.0028571428571</v>
      </c>
      <c r="Y227" s="964"/>
      <c r="Z227" s="965"/>
      <c r="AA227" s="1002">
        <v>31</v>
      </c>
      <c r="AB227" s="1003"/>
      <c r="AC227" s="1003"/>
      <c r="AD227" s="999">
        <f>+AA227-I227</f>
        <v>0.23799999999999955</v>
      </c>
      <c r="AE227" s="999"/>
      <c r="AF227" s="999"/>
      <c r="AG227" s="310"/>
      <c r="AH227" s="104"/>
      <c r="AI227" s="995">
        <f>+AD227+I227</f>
        <v>31</v>
      </c>
      <c r="AJ227" s="995"/>
      <c r="AK227" s="995"/>
    </row>
    <row r="228" spans="3:41" ht="18.75">
      <c r="C228" s="325">
        <v>2</v>
      </c>
      <c r="D228" s="950" t="s">
        <v>131</v>
      </c>
      <c r="E228" s="950"/>
      <c r="F228" s="950"/>
      <c r="G228" s="950"/>
      <c r="H228" s="950"/>
      <c r="I228" s="997">
        <v>25.762</v>
      </c>
      <c r="J228" s="997"/>
      <c r="K228" s="997"/>
      <c r="L228" s="952">
        <v>1</v>
      </c>
      <c r="M228" s="952"/>
      <c r="N228" s="952"/>
      <c r="O228" s="952">
        <v>2</v>
      </c>
      <c r="P228" s="952"/>
      <c r="Q228" s="952"/>
      <c r="R228" s="998">
        <f t="shared" si="85"/>
        <v>28.762</v>
      </c>
      <c r="S228" s="998"/>
      <c r="T228" s="998"/>
      <c r="U228" s="953">
        <f t="shared" si="86"/>
        <v>198.334</v>
      </c>
      <c r="V228" s="953"/>
      <c r="W228" s="954"/>
      <c r="X228" s="947">
        <f t="shared" si="87"/>
        <v>850.00285714285724</v>
      </c>
      <c r="Y228" s="948"/>
      <c r="Z228" s="949"/>
      <c r="AA228" s="993">
        <v>31</v>
      </c>
      <c r="AB228" s="994"/>
      <c r="AC228" s="994"/>
      <c r="AD228" s="995">
        <f t="shared" ref="AD228" si="88">+AA228-I228</f>
        <v>5.2379999999999995</v>
      </c>
      <c r="AE228" s="995"/>
      <c r="AF228" s="995"/>
      <c r="AG228" s="310"/>
      <c r="AH228" s="104"/>
      <c r="AI228" s="999">
        <f>+AD228+I228</f>
        <v>31</v>
      </c>
      <c r="AJ228" s="999"/>
      <c r="AK228" s="999"/>
    </row>
    <row r="229" spans="3:41" ht="18.75">
      <c r="C229" s="325">
        <v>3</v>
      </c>
      <c r="D229" s="950" t="s">
        <v>109</v>
      </c>
      <c r="E229" s="950"/>
      <c r="F229" s="950"/>
      <c r="G229" s="950"/>
      <c r="H229" s="950"/>
      <c r="I229" s="997">
        <v>38.5</v>
      </c>
      <c r="J229" s="997"/>
      <c r="K229" s="997"/>
      <c r="L229" s="952">
        <v>1</v>
      </c>
      <c r="M229" s="952"/>
      <c r="N229" s="952"/>
      <c r="O229" s="952">
        <v>2</v>
      </c>
      <c r="P229" s="952"/>
      <c r="Q229" s="952"/>
      <c r="R229" s="998">
        <f t="shared" si="85"/>
        <v>41.5</v>
      </c>
      <c r="S229" s="998"/>
      <c r="T229" s="998"/>
      <c r="U229" s="953">
        <f t="shared" si="86"/>
        <v>287.5</v>
      </c>
      <c r="V229" s="953"/>
      <c r="W229" s="954"/>
      <c r="X229" s="947">
        <f t="shared" si="87"/>
        <v>1232.1428571428571</v>
      </c>
      <c r="Y229" s="948"/>
      <c r="Z229" s="949"/>
      <c r="AA229" s="993">
        <v>31</v>
      </c>
      <c r="AB229" s="994"/>
      <c r="AC229" s="994"/>
      <c r="AD229" s="995">
        <v>0</v>
      </c>
      <c r="AE229" s="995"/>
      <c r="AF229" s="995"/>
      <c r="AG229" s="310"/>
      <c r="AH229" s="104"/>
      <c r="AI229" s="104"/>
      <c r="AJ229" s="255"/>
      <c r="AK229" s="255"/>
    </row>
    <row r="230" spans="3:41" ht="18.75">
      <c r="C230" s="325">
        <v>4</v>
      </c>
      <c r="D230" s="950" t="s">
        <v>105</v>
      </c>
      <c r="E230" s="950"/>
      <c r="F230" s="950"/>
      <c r="G230" s="950"/>
      <c r="H230" s="950"/>
      <c r="I230" s="997">
        <v>38.5</v>
      </c>
      <c r="J230" s="997"/>
      <c r="K230" s="997"/>
      <c r="L230" s="952">
        <v>1</v>
      </c>
      <c r="M230" s="952"/>
      <c r="N230" s="952"/>
      <c r="O230" s="952">
        <v>2</v>
      </c>
      <c r="P230" s="952"/>
      <c r="Q230" s="952"/>
      <c r="R230" s="998">
        <f t="shared" si="85"/>
        <v>41.5</v>
      </c>
      <c r="S230" s="998"/>
      <c r="T230" s="998"/>
      <c r="U230" s="953">
        <f t="shared" si="86"/>
        <v>287.5</v>
      </c>
      <c r="V230" s="953"/>
      <c r="W230" s="954"/>
      <c r="X230" s="947">
        <f t="shared" si="87"/>
        <v>1232.1428571428571</v>
      </c>
      <c r="Y230" s="948"/>
      <c r="Z230" s="949"/>
      <c r="AA230" s="993">
        <v>31</v>
      </c>
      <c r="AB230" s="994"/>
      <c r="AC230" s="994"/>
      <c r="AD230" s="995">
        <v>0</v>
      </c>
      <c r="AE230" s="995"/>
      <c r="AF230" s="995"/>
      <c r="AG230" s="310"/>
      <c r="AH230" s="104"/>
      <c r="AI230" s="104"/>
      <c r="AJ230" s="255"/>
      <c r="AK230" s="255"/>
    </row>
    <row r="231" spans="3:41" ht="18.75">
      <c r="C231" s="325">
        <v>5</v>
      </c>
      <c r="D231" s="950" t="s">
        <v>108</v>
      </c>
      <c r="E231" s="950"/>
      <c r="F231" s="950"/>
      <c r="G231" s="950"/>
      <c r="H231" s="950"/>
      <c r="I231" s="997">
        <v>38.5</v>
      </c>
      <c r="J231" s="997"/>
      <c r="K231" s="997"/>
      <c r="L231" s="952">
        <v>1</v>
      </c>
      <c r="M231" s="952"/>
      <c r="N231" s="952"/>
      <c r="O231" s="952">
        <v>2</v>
      </c>
      <c r="P231" s="952"/>
      <c r="Q231" s="952"/>
      <c r="R231" s="998">
        <f t="shared" si="85"/>
        <v>41.5</v>
      </c>
      <c r="S231" s="998"/>
      <c r="T231" s="998"/>
      <c r="U231" s="953">
        <f t="shared" si="86"/>
        <v>287.5</v>
      </c>
      <c r="V231" s="953"/>
      <c r="W231" s="954"/>
      <c r="X231" s="947">
        <f t="shared" si="87"/>
        <v>1232.1428571428571</v>
      </c>
      <c r="Y231" s="948"/>
      <c r="Z231" s="949"/>
      <c r="AA231" s="993">
        <v>31</v>
      </c>
      <c r="AB231" s="994"/>
      <c r="AC231" s="994"/>
      <c r="AD231" s="995">
        <v>0</v>
      </c>
      <c r="AE231" s="995"/>
      <c r="AF231" s="995"/>
      <c r="AG231" s="310"/>
      <c r="AH231" s="104"/>
      <c r="AI231" s="104"/>
      <c r="AJ231" s="255"/>
      <c r="AK231" s="255"/>
    </row>
    <row r="232" spans="3:41" ht="18.75">
      <c r="C232" s="325">
        <v>6</v>
      </c>
      <c r="D232" s="950" t="s">
        <v>132</v>
      </c>
      <c r="E232" s="950"/>
      <c r="F232" s="950"/>
      <c r="G232" s="950"/>
      <c r="H232" s="950"/>
      <c r="I232" s="997">
        <v>33.799999999999997</v>
      </c>
      <c r="J232" s="997"/>
      <c r="K232" s="997"/>
      <c r="L232" s="952">
        <v>1</v>
      </c>
      <c r="M232" s="952"/>
      <c r="N232" s="952"/>
      <c r="O232" s="952">
        <v>2</v>
      </c>
      <c r="P232" s="952"/>
      <c r="Q232" s="952"/>
      <c r="R232" s="998">
        <f t="shared" si="85"/>
        <v>36.799999999999997</v>
      </c>
      <c r="S232" s="998"/>
      <c r="T232" s="998"/>
      <c r="U232" s="953">
        <f t="shared" si="86"/>
        <v>254.59999999999997</v>
      </c>
      <c r="V232" s="953"/>
      <c r="W232" s="954"/>
      <c r="X232" s="947">
        <f t="shared" si="87"/>
        <v>1091.1428571428569</v>
      </c>
      <c r="Y232" s="948"/>
      <c r="Z232" s="949"/>
      <c r="AA232" s="993">
        <v>31</v>
      </c>
      <c r="AB232" s="994"/>
      <c r="AC232" s="994"/>
      <c r="AD232" s="995">
        <v>0</v>
      </c>
      <c r="AE232" s="995"/>
      <c r="AF232" s="995"/>
      <c r="AG232" s="310"/>
      <c r="AH232" s="104"/>
      <c r="AI232" s="104"/>
      <c r="AJ232" s="255"/>
      <c r="AK232" s="255"/>
    </row>
    <row r="233" spans="3:41" ht="18.75">
      <c r="C233" s="325">
        <v>7</v>
      </c>
      <c r="D233" s="950" t="s">
        <v>133</v>
      </c>
      <c r="E233" s="950"/>
      <c r="F233" s="950"/>
      <c r="G233" s="950"/>
      <c r="H233" s="950"/>
      <c r="I233" s="997">
        <v>38.5</v>
      </c>
      <c r="J233" s="997"/>
      <c r="K233" s="997"/>
      <c r="L233" s="952">
        <v>1</v>
      </c>
      <c r="M233" s="952"/>
      <c r="N233" s="952"/>
      <c r="O233" s="952">
        <v>2</v>
      </c>
      <c r="P233" s="952"/>
      <c r="Q233" s="952"/>
      <c r="R233" s="998">
        <f t="shared" si="85"/>
        <v>41.5</v>
      </c>
      <c r="S233" s="998"/>
      <c r="T233" s="998"/>
      <c r="U233" s="953">
        <f t="shared" si="86"/>
        <v>287.5</v>
      </c>
      <c r="V233" s="953"/>
      <c r="W233" s="954"/>
      <c r="X233" s="947">
        <f t="shared" si="87"/>
        <v>1232.1428571428571</v>
      </c>
      <c r="Y233" s="948"/>
      <c r="Z233" s="949"/>
      <c r="AA233" s="993">
        <v>31</v>
      </c>
      <c r="AB233" s="994"/>
      <c r="AC233" s="994"/>
      <c r="AD233" s="995">
        <v>0</v>
      </c>
      <c r="AE233" s="995"/>
      <c r="AF233" s="995"/>
      <c r="AG233" s="310"/>
      <c r="AH233" s="104"/>
      <c r="AI233" s="104"/>
      <c r="AJ233" s="255"/>
      <c r="AK233" s="255"/>
    </row>
    <row r="234" spans="3:41" ht="18.75">
      <c r="C234" s="325">
        <v>8</v>
      </c>
      <c r="D234" s="950" t="s">
        <v>118</v>
      </c>
      <c r="E234" s="950"/>
      <c r="F234" s="950"/>
      <c r="G234" s="950"/>
      <c r="H234" s="950"/>
      <c r="I234" s="997">
        <v>34.095199999999998</v>
      </c>
      <c r="J234" s="997"/>
      <c r="K234" s="997"/>
      <c r="L234" s="952">
        <v>1</v>
      </c>
      <c r="M234" s="952"/>
      <c r="N234" s="952"/>
      <c r="O234" s="952">
        <v>2</v>
      </c>
      <c r="P234" s="952"/>
      <c r="Q234" s="952"/>
      <c r="R234" s="998">
        <f t="shared" si="85"/>
        <v>37.095199999999998</v>
      </c>
      <c r="S234" s="998"/>
      <c r="T234" s="998"/>
      <c r="U234" s="953">
        <f t="shared" si="86"/>
        <v>256.66639999999995</v>
      </c>
      <c r="V234" s="953"/>
      <c r="W234" s="954"/>
      <c r="X234" s="947">
        <f t="shared" si="87"/>
        <v>1099.9988571428571</v>
      </c>
      <c r="Y234" s="948"/>
      <c r="Z234" s="949"/>
      <c r="AA234" s="993">
        <v>31</v>
      </c>
      <c r="AB234" s="994"/>
      <c r="AC234" s="994"/>
      <c r="AD234" s="995">
        <v>0</v>
      </c>
      <c r="AE234" s="995"/>
      <c r="AF234" s="995"/>
      <c r="AG234" s="310"/>
      <c r="AH234" s="104"/>
      <c r="AI234" s="104"/>
      <c r="AJ234" s="255"/>
      <c r="AK234" s="255"/>
    </row>
    <row r="235" spans="3:41" ht="17.25">
      <c r="C235" s="325">
        <v>9</v>
      </c>
      <c r="D235" s="950"/>
      <c r="E235" s="950"/>
      <c r="F235" s="950"/>
      <c r="G235" s="950"/>
      <c r="H235" s="950"/>
      <c r="I235" s="951"/>
      <c r="J235" s="951"/>
      <c r="K235" s="951"/>
      <c r="L235" s="952"/>
      <c r="M235" s="952"/>
      <c r="N235" s="952"/>
      <c r="O235" s="952"/>
      <c r="P235" s="952"/>
      <c r="Q235" s="952"/>
      <c r="R235" s="938"/>
      <c r="S235" s="938"/>
      <c r="T235" s="938"/>
      <c r="U235" s="953"/>
      <c r="V235" s="953"/>
      <c r="W235" s="954"/>
      <c r="X235" s="947"/>
      <c r="Y235" s="948"/>
      <c r="Z235" s="949"/>
      <c r="AA235" s="993"/>
      <c r="AB235" s="994"/>
      <c r="AC235" s="994"/>
      <c r="AD235" s="995"/>
      <c r="AE235" s="995"/>
      <c r="AF235" s="995"/>
      <c r="AG235" s="310"/>
      <c r="AH235" s="104"/>
      <c r="AI235" s="104"/>
      <c r="AJ235" s="255"/>
      <c r="AK235" s="255"/>
    </row>
    <row r="236" spans="3:41" ht="17.25">
      <c r="C236" s="323"/>
      <c r="D236" s="278"/>
      <c r="E236" s="279"/>
      <c r="F236" s="280"/>
      <c r="G236" s="226"/>
      <c r="H236" s="226"/>
      <c r="I236" s="280"/>
      <c r="J236" s="226"/>
      <c r="K236" s="275"/>
      <c r="L236" s="275"/>
      <c r="M236" s="226"/>
      <c r="N236" s="226"/>
      <c r="O236" s="226"/>
      <c r="P236" s="226"/>
      <c r="Q236" s="226"/>
      <c r="R236" s="226"/>
      <c r="S236" s="938" t="s">
        <v>23</v>
      </c>
      <c r="T236" s="938"/>
      <c r="U236" s="938"/>
      <c r="V236" s="226"/>
      <c r="W236" s="226"/>
      <c r="X236" s="939">
        <f>SUM(X227:Z235)</f>
        <v>8969.718857142856</v>
      </c>
      <c r="Y236" s="940"/>
      <c r="Z236" s="941"/>
      <c r="AA236" s="326"/>
      <c r="AB236" s="326"/>
      <c r="AC236" s="326"/>
      <c r="AD236" s="996">
        <f>SUM(AD227:AF235)</f>
        <v>5.4759999999999991</v>
      </c>
      <c r="AE236" s="996"/>
      <c r="AF236" s="996"/>
      <c r="AG236" s="310"/>
      <c r="AH236" s="104"/>
      <c r="AI236" s="104"/>
      <c r="AJ236" s="255"/>
      <c r="AK236" s="255"/>
    </row>
    <row r="237" spans="3:41" ht="15.75" thickBot="1">
      <c r="C237" s="323"/>
      <c r="D237" s="992">
        <v>28.333300000000001</v>
      </c>
      <c r="E237" s="992"/>
      <c r="F237" s="992"/>
      <c r="G237" s="652" t="s">
        <v>139</v>
      </c>
      <c r="H237" s="226"/>
      <c r="I237" s="280"/>
      <c r="J237" s="226"/>
      <c r="K237" s="275"/>
      <c r="L237" s="275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104"/>
      <c r="AB237" s="104"/>
      <c r="AC237" s="104"/>
      <c r="AD237" s="104"/>
      <c r="AE237" s="255"/>
      <c r="AF237" s="255"/>
      <c r="AG237" s="310"/>
      <c r="AH237" s="104"/>
      <c r="AI237" s="104"/>
      <c r="AJ237" s="255"/>
      <c r="AK237" s="255"/>
    </row>
    <row r="238" spans="3:41" ht="15.75" thickBot="1">
      <c r="C238" s="323"/>
      <c r="D238" s="992">
        <v>31</v>
      </c>
      <c r="E238" s="992"/>
      <c r="F238" s="992"/>
      <c r="G238" s="652" t="s">
        <v>140</v>
      </c>
      <c r="H238" s="226"/>
      <c r="I238" s="280"/>
      <c r="J238" s="226"/>
      <c r="K238" s="275"/>
      <c r="L238" s="275"/>
      <c r="M238" s="992">
        <f>+D238-D237</f>
        <v>2.6666999999999987</v>
      </c>
      <c r="N238" s="992"/>
      <c r="O238" s="992"/>
      <c r="P238" s="651" t="s">
        <v>138</v>
      </c>
      <c r="Q238" s="226"/>
      <c r="R238" s="226"/>
      <c r="S238" s="226"/>
      <c r="T238" s="327"/>
      <c r="U238" s="226"/>
      <c r="V238" s="226"/>
      <c r="W238" s="327" t="s">
        <v>137</v>
      </c>
      <c r="X238" s="226"/>
      <c r="Y238" s="226"/>
      <c r="Z238" s="226"/>
      <c r="AA238" s="104"/>
      <c r="AB238" s="104"/>
      <c r="AC238" s="104"/>
      <c r="AD238" s="944">
        <f>+AD236</f>
        <v>5.4759999999999991</v>
      </c>
      <c r="AE238" s="945"/>
      <c r="AF238" s="946"/>
      <c r="AG238" s="310"/>
      <c r="AH238" s="104"/>
      <c r="AI238" s="104"/>
      <c r="AJ238" s="255"/>
      <c r="AK238" s="255"/>
    </row>
    <row r="239" spans="3:41" ht="15.75" thickBot="1">
      <c r="C239" s="328"/>
      <c r="D239" s="315"/>
      <c r="E239" s="316"/>
      <c r="F239" s="317"/>
      <c r="G239" s="315"/>
      <c r="H239" s="315"/>
      <c r="I239" s="317"/>
      <c r="J239" s="315"/>
      <c r="K239" s="318"/>
      <c r="L239" s="318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9"/>
      <c r="AB239" s="319"/>
      <c r="AC239" s="319"/>
      <c r="AD239" s="329"/>
      <c r="AE239" s="329"/>
      <c r="AF239" s="329"/>
      <c r="AG239" s="320"/>
      <c r="AH239" s="104"/>
      <c r="AI239" s="104"/>
      <c r="AJ239" s="255"/>
      <c r="AK239" s="255"/>
    </row>
    <row r="240" spans="3:41"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2:46" ht="15.75" thickBot="1"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2:46" ht="16.5" thickBot="1">
      <c r="B242" s="592">
        <v>850</v>
      </c>
      <c r="C242" s="593" t="s">
        <v>66</v>
      </c>
      <c r="D242" s="594"/>
      <c r="E242" s="627" t="s">
        <v>29</v>
      </c>
      <c r="F242" s="595"/>
      <c r="G242" s="594"/>
      <c r="H242" s="594"/>
      <c r="I242" s="595"/>
      <c r="J242" s="594"/>
      <c r="K242" s="595"/>
      <c r="L242" s="595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6"/>
      <c r="AB242" s="596"/>
      <c r="AC242" s="597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173"/>
      <c r="AQ242" s="173"/>
      <c r="AR242" s="173"/>
      <c r="AS242" s="173"/>
      <c r="AT242" s="173"/>
    </row>
    <row r="243" spans="2:46" ht="15.75">
      <c r="B243" s="598">
        <f>+B242/30*7</f>
        <v>198.33333333333331</v>
      </c>
      <c r="C243" s="599" t="s">
        <v>67</v>
      </c>
      <c r="D243" s="600"/>
      <c r="E243" s="601"/>
      <c r="F243" s="602"/>
      <c r="G243" s="601"/>
      <c r="H243" s="601"/>
      <c r="I243" s="602"/>
      <c r="J243" s="601"/>
      <c r="K243" s="602"/>
      <c r="L243" s="602"/>
      <c r="M243" s="601"/>
      <c r="N243" s="601"/>
      <c r="O243" s="969" t="s">
        <v>126</v>
      </c>
      <c r="P243" s="969"/>
      <c r="Q243" s="969"/>
      <c r="R243" s="969"/>
      <c r="S243" s="969"/>
      <c r="T243" s="969"/>
      <c r="U243" s="969"/>
      <c r="V243" s="969"/>
      <c r="W243" s="969"/>
      <c r="X243" s="969"/>
      <c r="Y243" s="969"/>
      <c r="Z243" s="969"/>
      <c r="AA243" s="603"/>
      <c r="AB243" s="603"/>
      <c r="AC243" s="604"/>
      <c r="AD243" s="386"/>
      <c r="AE243" s="755"/>
      <c r="AF243" s="755"/>
      <c r="AG243" s="386"/>
      <c r="AH243" s="386"/>
      <c r="AI243" s="386"/>
      <c r="AJ243" s="755"/>
      <c r="AK243" s="755"/>
      <c r="AL243" s="386"/>
      <c r="AM243" s="386"/>
      <c r="AN243" s="386"/>
      <c r="AO243" s="386"/>
      <c r="AP243" s="173"/>
      <c r="AQ243" s="173"/>
      <c r="AR243" s="173"/>
      <c r="AS243" s="173"/>
      <c r="AT243" s="173"/>
    </row>
    <row r="244" spans="2:46">
      <c r="B244" s="598">
        <f>+B243-18</f>
        <v>180.33333333333331</v>
      </c>
      <c r="C244" s="599" t="s">
        <v>69</v>
      </c>
      <c r="D244" s="601"/>
      <c r="E244" s="601"/>
      <c r="F244" s="602"/>
      <c r="G244" s="601"/>
      <c r="H244" s="601"/>
      <c r="I244" s="602"/>
      <c r="J244" s="601"/>
      <c r="K244" s="602"/>
      <c r="L244" s="602"/>
      <c r="M244" s="601"/>
      <c r="N244" s="601"/>
      <c r="O244" s="969">
        <f>+B242</f>
        <v>850</v>
      </c>
      <c r="P244" s="969"/>
      <c r="Q244" s="969" t="s">
        <v>70</v>
      </c>
      <c r="R244" s="969"/>
      <c r="S244" s="969"/>
      <c r="T244" s="969"/>
      <c r="U244" s="969"/>
      <c r="V244" s="969"/>
      <c r="W244" s="969"/>
      <c r="X244" s="969"/>
      <c r="Y244" s="969"/>
      <c r="Z244" s="969"/>
      <c r="AA244" s="603" t="s">
        <v>71</v>
      </c>
      <c r="AB244" s="603"/>
      <c r="AC244" s="604"/>
      <c r="AD244" s="386"/>
      <c r="AE244" s="755"/>
      <c r="AF244" s="755"/>
      <c r="AG244" s="386"/>
      <c r="AH244" s="386"/>
      <c r="AI244" s="386"/>
      <c r="AJ244" s="755"/>
      <c r="AK244" s="755"/>
      <c r="AL244" s="386"/>
      <c r="AM244" s="386"/>
      <c r="AN244" s="386"/>
      <c r="AO244" s="386"/>
      <c r="AP244" s="173"/>
      <c r="AQ244" s="173"/>
      <c r="AR244" s="173"/>
      <c r="AS244" s="173"/>
      <c r="AT244" s="173"/>
    </row>
    <row r="245" spans="2:46">
      <c r="B245" s="605">
        <f>+B244/7</f>
        <v>25.761904761904759</v>
      </c>
      <c r="C245" s="606" t="s">
        <v>72</v>
      </c>
      <c r="D245" s="607"/>
      <c r="E245" s="601"/>
      <c r="F245" s="602"/>
      <c r="G245" s="601"/>
      <c r="H245" s="601"/>
      <c r="I245" s="602"/>
      <c r="J245" s="601"/>
      <c r="K245" s="602"/>
      <c r="L245" s="602"/>
      <c r="M245" s="601"/>
      <c r="N245" s="601"/>
      <c r="O245" s="969">
        <f>+O244/30*7</f>
        <v>198.33333333333331</v>
      </c>
      <c r="P245" s="969"/>
      <c r="Q245" s="969" t="s">
        <v>73</v>
      </c>
      <c r="R245" s="969"/>
      <c r="S245" s="969"/>
      <c r="T245" s="969"/>
      <c r="U245" s="969"/>
      <c r="V245" s="969"/>
      <c r="W245" s="969"/>
      <c r="X245" s="969"/>
      <c r="Y245" s="969"/>
      <c r="Z245" s="969"/>
      <c r="AA245" s="990">
        <f>+O245*0.87</f>
        <v>172.54999999999998</v>
      </c>
      <c r="AB245" s="990"/>
      <c r="AC245" s="604"/>
      <c r="AD245" s="386"/>
      <c r="AE245" s="261"/>
      <c r="AF245" s="261"/>
      <c r="AG245" s="386"/>
      <c r="AH245" s="386"/>
      <c r="AI245" s="386"/>
      <c r="AJ245" s="261"/>
      <c r="AK245" s="261"/>
      <c r="AL245" s="397"/>
      <c r="AM245" s="397"/>
      <c r="AN245" s="397"/>
      <c r="AO245" s="397"/>
      <c r="AP245" s="398"/>
      <c r="AQ245" s="398"/>
      <c r="AR245" s="173"/>
      <c r="AS245" s="173"/>
      <c r="AT245" s="173"/>
    </row>
    <row r="246" spans="2:46">
      <c r="B246" s="608"/>
      <c r="C246" s="601"/>
      <c r="D246" s="601"/>
      <c r="E246" s="601"/>
      <c r="F246" s="602"/>
      <c r="G246" s="601"/>
      <c r="H246" s="601"/>
      <c r="I246" s="602"/>
      <c r="J246" s="601"/>
      <c r="K246" s="602"/>
      <c r="L246" s="602"/>
      <c r="M246" s="601"/>
      <c r="N246" s="601"/>
      <c r="O246" s="969">
        <f>+O245/7</f>
        <v>28.333333333333332</v>
      </c>
      <c r="P246" s="969"/>
      <c r="Q246" s="969" t="s">
        <v>74</v>
      </c>
      <c r="R246" s="969"/>
      <c r="S246" s="969"/>
      <c r="T246" s="969"/>
      <c r="U246" s="969"/>
      <c r="V246" s="969"/>
      <c r="W246" s="969"/>
      <c r="X246" s="969"/>
      <c r="Y246" s="969"/>
      <c r="Z246" s="969"/>
      <c r="AA246" s="603"/>
      <c r="AB246" s="603"/>
      <c r="AC246" s="604"/>
      <c r="AD246" s="386"/>
      <c r="AE246" s="755"/>
      <c r="AF246" s="755"/>
      <c r="AG246" s="386"/>
      <c r="AH246" s="386"/>
      <c r="AI246" s="386"/>
      <c r="AJ246" s="755"/>
      <c r="AK246" s="755"/>
      <c r="AL246" s="399"/>
      <c r="AM246" s="399"/>
      <c r="AN246" s="397"/>
      <c r="AO246" s="397"/>
      <c r="AP246" s="398"/>
      <c r="AQ246" s="398"/>
      <c r="AR246" s="173"/>
      <c r="AS246" s="173"/>
      <c r="AT246" s="173"/>
    </row>
    <row r="247" spans="2:46" ht="15.75">
      <c r="B247" s="609">
        <f>+B245</f>
        <v>25.761904761904759</v>
      </c>
      <c r="C247" s="610" t="s">
        <v>127</v>
      </c>
      <c r="D247" s="611"/>
      <c r="E247" s="611"/>
      <c r="F247" s="611"/>
      <c r="G247" s="601"/>
      <c r="H247" s="601"/>
      <c r="I247" s="602"/>
      <c r="J247" s="601"/>
      <c r="K247" s="602"/>
      <c r="L247" s="602"/>
      <c r="M247" s="601"/>
      <c r="N247" s="601"/>
      <c r="O247" s="969">
        <f>(O245-18)/7</f>
        <v>25.761904761904759</v>
      </c>
      <c r="P247" s="969"/>
      <c r="Q247" s="969" t="s">
        <v>76</v>
      </c>
      <c r="R247" s="969"/>
      <c r="S247" s="969"/>
      <c r="T247" s="969"/>
      <c r="U247" s="969"/>
      <c r="V247" s="969"/>
      <c r="W247" s="969"/>
      <c r="X247" s="969"/>
      <c r="Y247" s="969"/>
      <c r="Z247" s="969"/>
      <c r="AA247" s="603"/>
      <c r="AB247" s="603"/>
      <c r="AC247" s="604"/>
      <c r="AD247" s="386"/>
      <c r="AE247" s="264"/>
      <c r="AF247" s="264"/>
      <c r="AG247" s="265"/>
      <c r="AH247" s="265"/>
      <c r="AI247" s="265"/>
      <c r="AJ247" s="264"/>
      <c r="AK247" s="264"/>
      <c r="AL247" s="397"/>
      <c r="AM247" s="397"/>
      <c r="AN247" s="397"/>
      <c r="AO247" s="397"/>
      <c r="AP247" s="398"/>
      <c r="AQ247" s="398"/>
      <c r="AR247" s="173"/>
      <c r="AS247" s="173"/>
      <c r="AT247" s="173"/>
    </row>
    <row r="248" spans="2:46">
      <c r="B248" s="598">
        <v>3</v>
      </c>
      <c r="C248" s="599" t="s">
        <v>77</v>
      </c>
      <c r="D248" s="601"/>
      <c r="E248" s="601"/>
      <c r="F248" s="602"/>
      <c r="G248" s="601"/>
      <c r="H248" s="601"/>
      <c r="I248" s="602"/>
      <c r="J248" s="601"/>
      <c r="K248" s="602"/>
      <c r="L248" s="602"/>
      <c r="M248" s="601"/>
      <c r="N248" s="601"/>
      <c r="O248" s="969">
        <v>3</v>
      </c>
      <c r="P248" s="969"/>
      <c r="Q248" s="969" t="s">
        <v>78</v>
      </c>
      <c r="R248" s="969"/>
      <c r="S248" s="969"/>
      <c r="T248" s="969"/>
      <c r="U248" s="969"/>
      <c r="V248" s="969"/>
      <c r="W248" s="969"/>
      <c r="X248" s="969"/>
      <c r="Y248" s="969"/>
      <c r="Z248" s="969"/>
      <c r="AA248" s="603"/>
      <c r="AB248" s="603"/>
      <c r="AC248" s="604"/>
      <c r="AD248" s="386"/>
      <c r="AE248" s="386"/>
      <c r="AF248" s="991">
        <v>993814365</v>
      </c>
      <c r="AG248" s="991"/>
      <c r="AH248" s="991"/>
      <c r="AI248" s="991"/>
      <c r="AJ248" s="991"/>
      <c r="AK248" s="386"/>
      <c r="AL248" s="397"/>
      <c r="AM248" s="397"/>
      <c r="AN248" s="397"/>
      <c r="AO248" s="397"/>
      <c r="AP248" s="398"/>
      <c r="AQ248" s="398"/>
      <c r="AR248" s="173"/>
      <c r="AS248" s="173"/>
      <c r="AT248" s="173"/>
    </row>
    <row r="249" spans="2:46">
      <c r="B249" s="605">
        <f>+B248+B247</f>
        <v>28.761904761904759</v>
      </c>
      <c r="C249" s="606" t="s">
        <v>79</v>
      </c>
      <c r="D249" s="612"/>
      <c r="E249" s="612"/>
      <c r="F249" s="613"/>
      <c r="G249" s="612"/>
      <c r="H249" s="612"/>
      <c r="I249" s="613"/>
      <c r="J249" s="612"/>
      <c r="K249" s="613"/>
      <c r="L249" s="613"/>
      <c r="M249" s="607"/>
      <c r="N249" s="601"/>
      <c r="O249" s="969">
        <f>+O248+O247</f>
        <v>28.761904761904759</v>
      </c>
      <c r="P249" s="969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  <c r="AA249" s="603"/>
      <c r="AB249" s="603"/>
      <c r="AC249" s="604"/>
      <c r="AD249" s="386"/>
      <c r="AE249" s="755"/>
      <c r="AF249" s="755"/>
      <c r="AG249" s="386"/>
      <c r="AH249" s="386"/>
      <c r="AI249" s="386"/>
      <c r="AJ249" s="755"/>
      <c r="AK249" s="755"/>
      <c r="AL249" s="399"/>
      <c r="AM249" s="399"/>
      <c r="AN249" s="399"/>
      <c r="AO249" s="399"/>
      <c r="AP249" s="401"/>
      <c r="AQ249" s="173"/>
      <c r="AR249" s="173"/>
      <c r="AS249" s="173"/>
      <c r="AT249" s="173"/>
    </row>
    <row r="250" spans="2:46">
      <c r="B250" s="598"/>
      <c r="C250" s="601"/>
      <c r="D250" s="601"/>
      <c r="E250" s="601"/>
      <c r="F250" s="602"/>
      <c r="G250" s="601"/>
      <c r="H250" s="601"/>
      <c r="I250" s="602"/>
      <c r="J250" s="601"/>
      <c r="K250" s="602"/>
      <c r="L250" s="602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  <c r="AA250" s="603"/>
      <c r="AB250" s="603"/>
      <c r="AC250" s="604"/>
      <c r="AD250" s="386"/>
      <c r="AE250" s="402"/>
      <c r="AF250" s="402"/>
      <c r="AG250" s="402"/>
      <c r="AH250" s="386"/>
      <c r="AI250" s="386"/>
      <c r="AJ250" s="402"/>
      <c r="AK250" s="402"/>
      <c r="AL250" s="397"/>
      <c r="AM250" s="386"/>
      <c r="AN250" s="386"/>
      <c r="AO250" s="386"/>
      <c r="AP250" s="173"/>
      <c r="AQ250" s="173"/>
      <c r="AR250" s="173"/>
      <c r="AS250" s="173"/>
      <c r="AT250" s="173"/>
    </row>
    <row r="251" spans="2:46">
      <c r="B251" s="598">
        <f>+B249*6</f>
        <v>172.57142857142856</v>
      </c>
      <c r="C251" s="599" t="s">
        <v>80</v>
      </c>
      <c r="D251" s="601"/>
      <c r="E251" s="601"/>
      <c r="F251" s="602"/>
      <c r="G251" s="601"/>
      <c r="H251" s="601"/>
      <c r="I251" s="602"/>
      <c r="J251" s="601"/>
      <c r="K251" s="602"/>
      <c r="L251" s="602"/>
      <c r="M251" s="601"/>
      <c r="N251" s="601"/>
      <c r="O251" s="969" t="s">
        <v>128</v>
      </c>
      <c r="P251" s="969"/>
      <c r="Q251" s="969"/>
      <c r="R251" s="969"/>
      <c r="S251" s="969"/>
      <c r="T251" s="969"/>
      <c r="U251" s="969"/>
      <c r="V251" s="969"/>
      <c r="W251" s="969"/>
      <c r="X251" s="969"/>
      <c r="Y251" s="969"/>
      <c r="Z251" s="969"/>
      <c r="AA251" s="603"/>
      <c r="AB251" s="603"/>
      <c r="AC251" s="604"/>
      <c r="AD251" s="386"/>
      <c r="AE251" s="386"/>
      <c r="AF251" s="386"/>
      <c r="AG251" s="386"/>
      <c r="AH251" s="386"/>
      <c r="AI251" s="397"/>
      <c r="AJ251" s="397"/>
      <c r="AK251" s="399"/>
      <c r="AL251" s="751"/>
      <c r="AM251" s="755"/>
      <c r="AN251" s="751"/>
      <c r="AO251" s="386"/>
      <c r="AP251" s="173"/>
      <c r="AQ251" s="173"/>
      <c r="AR251" s="173"/>
      <c r="AS251" s="173"/>
      <c r="AT251" s="173"/>
    </row>
    <row r="252" spans="2:46">
      <c r="B252" s="614">
        <f>+B247</f>
        <v>25.761904761904759</v>
      </c>
      <c r="C252" s="615" t="s">
        <v>82</v>
      </c>
      <c r="D252" s="616"/>
      <c r="E252" s="616"/>
      <c r="F252" s="617"/>
      <c r="G252" s="616"/>
      <c r="H252" s="616"/>
      <c r="I252" s="617"/>
      <c r="J252" s="616"/>
      <c r="K252" s="617"/>
      <c r="L252" s="602"/>
      <c r="M252" s="601"/>
      <c r="N252" s="601"/>
      <c r="O252" s="969">
        <f>+O244*1.1</f>
        <v>935.00000000000011</v>
      </c>
      <c r="P252" s="969"/>
      <c r="Q252" s="969" t="s">
        <v>70</v>
      </c>
      <c r="R252" s="969"/>
      <c r="S252" s="969"/>
      <c r="T252" s="969"/>
      <c r="U252" s="969"/>
      <c r="V252" s="969"/>
      <c r="W252" s="969"/>
      <c r="X252" s="969"/>
      <c r="Y252" s="969"/>
      <c r="Z252" s="969"/>
      <c r="AA252" s="603" t="s">
        <v>83</v>
      </c>
      <c r="AB252" s="603"/>
      <c r="AC252" s="604"/>
      <c r="AG252" s="173"/>
      <c r="AH252" s="173"/>
      <c r="AI252" s="398"/>
      <c r="AJ252" s="398"/>
      <c r="AK252" s="398"/>
      <c r="AL252" s="173"/>
      <c r="AM252" s="173"/>
      <c r="AN252" s="173"/>
      <c r="AO252" s="173"/>
    </row>
    <row r="253" spans="2:46">
      <c r="B253" s="605">
        <f>+B252+B251</f>
        <v>198.33333333333331</v>
      </c>
      <c r="C253" s="606" t="s">
        <v>84</v>
      </c>
      <c r="D253" s="612"/>
      <c r="E253" s="612"/>
      <c r="F253" s="613"/>
      <c r="G253" s="612"/>
      <c r="H253" s="612"/>
      <c r="I253" s="613"/>
      <c r="J253" s="612"/>
      <c r="K253" s="618"/>
      <c r="L253" s="602"/>
      <c r="M253" s="601"/>
      <c r="N253" s="601"/>
      <c r="O253" s="969">
        <f>+O252/30*7</f>
        <v>218.16666666666669</v>
      </c>
      <c r="P253" s="969"/>
      <c r="Q253" s="969" t="s">
        <v>73</v>
      </c>
      <c r="R253" s="969"/>
      <c r="S253" s="969"/>
      <c r="T253" s="969"/>
      <c r="U253" s="969"/>
      <c r="V253" s="969"/>
      <c r="W253" s="969"/>
      <c r="X253" s="969"/>
      <c r="Y253" s="969"/>
      <c r="Z253" s="969"/>
      <c r="AA253" s="990">
        <f>+O253*0.87</f>
        <v>189.80500000000001</v>
      </c>
      <c r="AB253" s="990"/>
      <c r="AC253" s="604"/>
      <c r="AG253" s="173"/>
      <c r="AH253" s="173"/>
      <c r="AI253" s="398"/>
      <c r="AJ253" s="398"/>
      <c r="AK253" s="277"/>
      <c r="AL253" s="173"/>
      <c r="AM253" s="173"/>
      <c r="AN253" s="173"/>
      <c r="AO253" s="173"/>
    </row>
    <row r="254" spans="2:46">
      <c r="B254" s="598"/>
      <c r="C254" s="599"/>
      <c r="D254" s="601"/>
      <c r="E254" s="601"/>
      <c r="F254" s="602"/>
      <c r="G254" s="601"/>
      <c r="H254" s="601"/>
      <c r="I254" s="602"/>
      <c r="J254" s="601"/>
      <c r="K254" s="602"/>
      <c r="L254" s="602"/>
      <c r="M254" s="601"/>
      <c r="N254" s="601"/>
      <c r="O254" s="969">
        <f>+O253/7</f>
        <v>31.166666666666668</v>
      </c>
      <c r="P254" s="969"/>
      <c r="Q254" s="969" t="s">
        <v>74</v>
      </c>
      <c r="R254" s="969"/>
      <c r="S254" s="969"/>
      <c r="T254" s="969"/>
      <c r="U254" s="969"/>
      <c r="V254" s="969"/>
      <c r="W254" s="969"/>
      <c r="X254" s="969"/>
      <c r="Y254" s="969"/>
      <c r="Z254" s="969"/>
      <c r="AA254" s="603"/>
      <c r="AB254" s="603"/>
      <c r="AC254" s="604"/>
      <c r="AG254" s="173"/>
      <c r="AH254" s="173"/>
      <c r="AI254" s="281"/>
      <c r="AJ254" s="282"/>
      <c r="AK254" s="277"/>
      <c r="AL254" s="173"/>
      <c r="AM254" s="173"/>
      <c r="AN254" s="173"/>
      <c r="AO254" s="173"/>
    </row>
    <row r="255" spans="2:46">
      <c r="B255" s="619">
        <f>+B253/7</f>
        <v>28.333333333333332</v>
      </c>
      <c r="C255" s="620" t="s">
        <v>85</v>
      </c>
      <c r="D255" s="601"/>
      <c r="E255" s="601"/>
      <c r="F255" s="602"/>
      <c r="G255" s="601"/>
      <c r="H255" s="601"/>
      <c r="I255" s="602"/>
      <c r="J255" s="601"/>
      <c r="K255" s="602"/>
      <c r="L255" s="602"/>
      <c r="M255" s="601"/>
      <c r="N255" s="601"/>
      <c r="O255" s="969">
        <f>(O253-18)/7</f>
        <v>28.595238095238098</v>
      </c>
      <c r="P255" s="969"/>
      <c r="Q255" s="969" t="s">
        <v>76</v>
      </c>
      <c r="R255" s="969"/>
      <c r="S255" s="969"/>
      <c r="T255" s="969"/>
      <c r="U255" s="969"/>
      <c r="V255" s="969"/>
      <c r="W255" s="969"/>
      <c r="X255" s="969"/>
      <c r="Y255" s="969"/>
      <c r="Z255" s="969"/>
      <c r="AA255" s="603"/>
      <c r="AB255" s="603"/>
      <c r="AC255" s="604"/>
      <c r="AG255" s="173"/>
      <c r="AH255" s="173"/>
      <c r="AI255" s="173"/>
      <c r="AJ255" s="173"/>
      <c r="AK255" s="277"/>
      <c r="AL255" s="173"/>
      <c r="AM255" s="173"/>
      <c r="AN255" s="173"/>
      <c r="AO255" s="173"/>
    </row>
    <row r="256" spans="2:46">
      <c r="B256" s="598"/>
      <c r="C256" s="599"/>
      <c r="D256" s="601"/>
      <c r="E256" s="601"/>
      <c r="F256" s="602"/>
      <c r="G256" s="601"/>
      <c r="H256" s="601"/>
      <c r="I256" s="602"/>
      <c r="J256" s="601"/>
      <c r="K256" s="602"/>
      <c r="L256" s="602"/>
      <c r="M256" s="601"/>
      <c r="N256" s="601"/>
      <c r="O256" s="969">
        <v>3</v>
      </c>
      <c r="P256" s="969"/>
      <c r="Q256" s="969" t="s">
        <v>78</v>
      </c>
      <c r="R256" s="969"/>
      <c r="S256" s="969"/>
      <c r="T256" s="969"/>
      <c r="U256" s="969"/>
      <c r="V256" s="969"/>
      <c r="W256" s="969"/>
      <c r="X256" s="969"/>
      <c r="Y256" s="969"/>
      <c r="Z256" s="969"/>
      <c r="AA256" s="603"/>
      <c r="AB256" s="603"/>
      <c r="AC256" s="604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2:41" ht="15.75" thickBot="1">
      <c r="B257" s="621"/>
      <c r="C257" s="622"/>
      <c r="D257" s="623"/>
      <c r="E257" s="623"/>
      <c r="F257" s="624"/>
      <c r="G257" s="623"/>
      <c r="H257" s="623"/>
      <c r="I257" s="624"/>
      <c r="J257" s="623"/>
      <c r="K257" s="624"/>
      <c r="L257" s="624"/>
      <c r="M257" s="623"/>
      <c r="N257" s="623"/>
      <c r="O257" s="970">
        <f>+O256+O255</f>
        <v>31.595238095238098</v>
      </c>
      <c r="P257" s="970"/>
      <c r="Q257" s="623"/>
      <c r="R257" s="623"/>
      <c r="S257" s="623"/>
      <c r="T257" s="623"/>
      <c r="U257" s="623"/>
      <c r="V257" s="623"/>
      <c r="W257" s="623"/>
      <c r="X257" s="623"/>
      <c r="Y257" s="623"/>
      <c r="Z257" s="623"/>
      <c r="AA257" s="625"/>
      <c r="AB257" s="625"/>
      <c r="AC257" s="626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2:41">
      <c r="B258" s="365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2:41" ht="15.75" thickBot="1">
      <c r="AE259" s="255"/>
      <c r="AF259" s="255"/>
      <c r="AJ259" s="255"/>
      <c r="AK259" s="255"/>
    </row>
    <row r="260" spans="2:41">
      <c r="C260" s="321"/>
      <c r="D260" s="752"/>
      <c r="E260" s="304"/>
      <c r="F260" s="305"/>
      <c r="G260" s="752"/>
      <c r="H260" s="752"/>
      <c r="I260" s="305"/>
      <c r="J260" s="752"/>
      <c r="K260" s="306"/>
      <c r="L260" s="306"/>
      <c r="M260" s="752"/>
      <c r="N260" s="752"/>
      <c r="O260" s="752"/>
      <c r="P260" s="752"/>
      <c r="Q260" s="752"/>
      <c r="R260" s="752"/>
      <c r="S260" s="752"/>
      <c r="T260" s="752"/>
      <c r="U260" s="752"/>
      <c r="V260" s="752"/>
      <c r="W260" s="752"/>
      <c r="X260" s="752"/>
      <c r="Y260" s="752"/>
      <c r="Z260" s="752"/>
      <c r="AA260" s="307"/>
      <c r="AB260" s="307"/>
      <c r="AC260" s="307"/>
      <c r="AD260" s="307"/>
      <c r="AE260" s="322"/>
      <c r="AF260" s="322"/>
      <c r="AG260" s="308"/>
      <c r="AJ260" s="255"/>
      <c r="AK260" s="255"/>
    </row>
    <row r="261" spans="2:41" ht="18">
      <c r="C261" s="323"/>
      <c r="D261" s="226"/>
      <c r="E261" s="324" t="s">
        <v>94</v>
      </c>
      <c r="F261" s="280"/>
      <c r="G261" s="226"/>
      <c r="H261" s="226"/>
      <c r="I261" s="280"/>
      <c r="J261" s="226"/>
      <c r="K261" s="275"/>
      <c r="L261" s="275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104"/>
      <c r="AB261" s="104"/>
      <c r="AC261" s="104"/>
      <c r="AD261" s="104"/>
      <c r="AE261" s="255"/>
      <c r="AF261" s="255"/>
      <c r="AG261" s="310"/>
      <c r="AJ261" s="255"/>
      <c r="AK261" s="255"/>
    </row>
    <row r="262" spans="2:41">
      <c r="C262" s="323"/>
      <c r="D262" s="226"/>
      <c r="E262" s="279"/>
      <c r="F262" s="280"/>
      <c r="G262" s="226"/>
      <c r="H262" s="226"/>
      <c r="I262" s="280"/>
      <c r="J262" s="226"/>
      <c r="K262" s="275"/>
      <c r="L262" s="275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971" t="s">
        <v>95</v>
      </c>
      <c r="AB262" s="972"/>
      <c r="AC262" s="973"/>
      <c r="AD262" s="974" t="s">
        <v>96</v>
      </c>
      <c r="AE262" s="975"/>
      <c r="AF262" s="976"/>
      <c r="AG262" s="310"/>
      <c r="AH262" s="104"/>
      <c r="AI262" s="104"/>
      <c r="AJ262" s="255"/>
      <c r="AK262" s="255"/>
    </row>
    <row r="263" spans="2:41" ht="16.5" thickBot="1">
      <c r="C263" s="323"/>
      <c r="D263" s="977" t="s">
        <v>97</v>
      </c>
      <c r="E263" s="977"/>
      <c r="F263" s="977"/>
      <c r="G263" s="977"/>
      <c r="H263" s="977"/>
      <c r="I263" s="978" t="s">
        <v>98</v>
      </c>
      <c r="J263" s="978"/>
      <c r="K263" s="978"/>
      <c r="L263" s="979" t="s">
        <v>99</v>
      </c>
      <c r="M263" s="979"/>
      <c r="N263" s="979"/>
      <c r="O263" s="979" t="s">
        <v>100</v>
      </c>
      <c r="P263" s="979"/>
      <c r="Q263" s="979"/>
      <c r="R263" s="980" t="s">
        <v>101</v>
      </c>
      <c r="S263" s="980"/>
      <c r="T263" s="980"/>
      <c r="U263" s="979" t="s">
        <v>102</v>
      </c>
      <c r="V263" s="979"/>
      <c r="W263" s="981"/>
      <c r="X263" s="982" t="s">
        <v>103</v>
      </c>
      <c r="Y263" s="983"/>
      <c r="Z263" s="984"/>
      <c r="AA263" s="985" t="s">
        <v>104</v>
      </c>
      <c r="AB263" s="985"/>
      <c r="AC263" s="986"/>
      <c r="AD263" s="987" t="s">
        <v>104</v>
      </c>
      <c r="AE263" s="988"/>
      <c r="AF263" s="989"/>
      <c r="AG263" s="310"/>
      <c r="AH263" s="104"/>
      <c r="AI263" s="104"/>
      <c r="AJ263" s="255"/>
      <c r="AK263" s="255"/>
    </row>
    <row r="264" spans="2:41" ht="19.5" thickTop="1">
      <c r="C264" s="325">
        <v>1</v>
      </c>
      <c r="D264" s="957" t="s">
        <v>105</v>
      </c>
      <c r="E264" s="957"/>
      <c r="F264" s="957"/>
      <c r="G264" s="957"/>
      <c r="H264" s="957"/>
      <c r="I264" s="958">
        <v>38.5</v>
      </c>
      <c r="J264" s="958"/>
      <c r="K264" s="958"/>
      <c r="L264" s="959">
        <v>1</v>
      </c>
      <c r="M264" s="959"/>
      <c r="N264" s="959"/>
      <c r="O264" s="959">
        <v>2</v>
      </c>
      <c r="P264" s="959"/>
      <c r="Q264" s="959"/>
      <c r="R264" s="960">
        <f t="shared" ref="R264:R270" si="89">+I264+L264+O264</f>
        <v>41.5</v>
      </c>
      <c r="S264" s="960"/>
      <c r="T264" s="960"/>
      <c r="U264" s="961">
        <f t="shared" ref="U264:U270" si="90">+I264*7+(L264+O264)*6</f>
        <v>287.5</v>
      </c>
      <c r="V264" s="961"/>
      <c r="W264" s="962"/>
      <c r="X264" s="963">
        <f t="shared" ref="X264:X270" si="91">+U264/7*30</f>
        <v>1232.1428571428571</v>
      </c>
      <c r="Y264" s="964"/>
      <c r="Z264" s="965"/>
      <c r="AA264" s="966">
        <v>37.571399999999997</v>
      </c>
      <c r="AB264" s="967"/>
      <c r="AC264" s="967"/>
      <c r="AD264" s="968">
        <f t="shared" ref="AD264:AD270" si="92">+AA264*30</f>
        <v>1127.1419999999998</v>
      </c>
      <c r="AE264" s="968"/>
      <c r="AF264" s="968"/>
      <c r="AG264" s="310"/>
      <c r="AH264" s="104" t="s">
        <v>106</v>
      </c>
      <c r="AI264" s="954" t="s">
        <v>107</v>
      </c>
      <c r="AJ264" s="955"/>
      <c r="AK264" s="955"/>
      <c r="AL264" s="955"/>
      <c r="AM264" s="956"/>
    </row>
    <row r="265" spans="2:41" ht="17.25">
      <c r="C265" s="325">
        <v>2</v>
      </c>
      <c r="D265" s="950" t="s">
        <v>108</v>
      </c>
      <c r="E265" s="950"/>
      <c r="F265" s="950"/>
      <c r="G265" s="950"/>
      <c r="H265" s="950"/>
      <c r="I265" s="951">
        <v>38.5</v>
      </c>
      <c r="J265" s="951"/>
      <c r="K265" s="951"/>
      <c r="L265" s="952">
        <v>1</v>
      </c>
      <c r="M265" s="952"/>
      <c r="N265" s="952"/>
      <c r="O265" s="952">
        <v>2</v>
      </c>
      <c r="P265" s="952"/>
      <c r="Q265" s="952"/>
      <c r="R265" s="938">
        <f t="shared" si="89"/>
        <v>41.5</v>
      </c>
      <c r="S265" s="938"/>
      <c r="T265" s="938"/>
      <c r="U265" s="953">
        <f t="shared" si="90"/>
        <v>287.5</v>
      </c>
      <c r="V265" s="953"/>
      <c r="W265" s="954"/>
      <c r="X265" s="947">
        <f t="shared" si="91"/>
        <v>1232.1428571428571</v>
      </c>
      <c r="Y265" s="948"/>
      <c r="Z265" s="949"/>
      <c r="AA265" s="935">
        <v>35.571399999999997</v>
      </c>
      <c r="AB265" s="936"/>
      <c r="AC265" s="936"/>
      <c r="AD265" s="937">
        <f t="shared" si="92"/>
        <v>1067.1419999999998</v>
      </c>
      <c r="AE265" s="937"/>
      <c r="AF265" s="937"/>
      <c r="AG265" s="310"/>
      <c r="AH265" s="104"/>
      <c r="AI265" s="104"/>
      <c r="AJ265" s="255"/>
      <c r="AK265" s="255"/>
    </row>
    <row r="266" spans="2:41" ht="17.25">
      <c r="C266" s="325">
        <v>3</v>
      </c>
      <c r="D266" s="950" t="s">
        <v>109</v>
      </c>
      <c r="E266" s="950"/>
      <c r="F266" s="950"/>
      <c r="G266" s="950"/>
      <c r="H266" s="950"/>
      <c r="I266" s="951">
        <v>38.5</v>
      </c>
      <c r="J266" s="951"/>
      <c r="K266" s="951"/>
      <c r="L266" s="952">
        <v>1</v>
      </c>
      <c r="M266" s="952"/>
      <c r="N266" s="952"/>
      <c r="O266" s="952">
        <v>2</v>
      </c>
      <c r="P266" s="952"/>
      <c r="Q266" s="952"/>
      <c r="R266" s="938">
        <f t="shared" si="89"/>
        <v>41.5</v>
      </c>
      <c r="S266" s="938"/>
      <c r="T266" s="938"/>
      <c r="U266" s="953">
        <f t="shared" si="90"/>
        <v>287.5</v>
      </c>
      <c r="V266" s="953"/>
      <c r="W266" s="954"/>
      <c r="X266" s="947">
        <f t="shared" si="91"/>
        <v>1232.1428571428571</v>
      </c>
      <c r="Y266" s="948"/>
      <c r="Z266" s="949"/>
      <c r="AA266" s="935">
        <v>32.571399999999997</v>
      </c>
      <c r="AB266" s="936"/>
      <c r="AC266" s="936"/>
      <c r="AD266" s="937">
        <f t="shared" si="92"/>
        <v>977.14199999999994</v>
      </c>
      <c r="AE266" s="937"/>
      <c r="AF266" s="937"/>
      <c r="AG266" s="310"/>
      <c r="AH266" s="104"/>
      <c r="AI266" s="104"/>
      <c r="AJ266" s="255"/>
      <c r="AK266" s="255"/>
    </row>
    <row r="267" spans="2:41" ht="17.25">
      <c r="C267" s="325">
        <v>4</v>
      </c>
      <c r="D267" s="950" t="s">
        <v>110</v>
      </c>
      <c r="E267" s="950"/>
      <c r="F267" s="950"/>
      <c r="G267" s="950"/>
      <c r="H267" s="950"/>
      <c r="I267" s="951">
        <v>35</v>
      </c>
      <c r="J267" s="951"/>
      <c r="K267" s="951"/>
      <c r="L267" s="952">
        <v>1</v>
      </c>
      <c r="M267" s="952"/>
      <c r="N267" s="952"/>
      <c r="O267" s="952">
        <v>2</v>
      </c>
      <c r="P267" s="952"/>
      <c r="Q267" s="952"/>
      <c r="R267" s="938">
        <f t="shared" si="89"/>
        <v>38</v>
      </c>
      <c r="S267" s="938"/>
      <c r="T267" s="938"/>
      <c r="U267" s="953">
        <f t="shared" si="90"/>
        <v>263</v>
      </c>
      <c r="V267" s="953"/>
      <c r="W267" s="954"/>
      <c r="X267" s="947">
        <f t="shared" si="91"/>
        <v>1127.1428571428571</v>
      </c>
      <c r="Y267" s="948"/>
      <c r="Z267" s="949"/>
      <c r="AA267" s="935">
        <v>35.321399999999997</v>
      </c>
      <c r="AB267" s="936"/>
      <c r="AC267" s="936"/>
      <c r="AD267" s="937">
        <f t="shared" si="92"/>
        <v>1059.6419999999998</v>
      </c>
      <c r="AE267" s="937"/>
      <c r="AF267" s="937"/>
      <c r="AG267" s="310"/>
      <c r="AH267" s="104"/>
      <c r="AI267" s="104"/>
      <c r="AJ267" s="255"/>
      <c r="AK267" s="255"/>
    </row>
    <row r="268" spans="2:41" ht="17.25">
      <c r="C268" s="325">
        <v>5</v>
      </c>
      <c r="D268" s="950" t="s">
        <v>111</v>
      </c>
      <c r="E268" s="950"/>
      <c r="F268" s="950"/>
      <c r="G268" s="950"/>
      <c r="H268" s="950"/>
      <c r="I268" s="951">
        <v>33.799999999999997</v>
      </c>
      <c r="J268" s="951"/>
      <c r="K268" s="951"/>
      <c r="L268" s="952">
        <v>1</v>
      </c>
      <c r="M268" s="952"/>
      <c r="N268" s="952"/>
      <c r="O268" s="952">
        <v>2</v>
      </c>
      <c r="P268" s="952"/>
      <c r="Q268" s="952"/>
      <c r="R268" s="938">
        <f t="shared" si="89"/>
        <v>36.799999999999997</v>
      </c>
      <c r="S268" s="938"/>
      <c r="T268" s="938"/>
      <c r="U268" s="953">
        <f t="shared" si="90"/>
        <v>254.59999999999997</v>
      </c>
      <c r="V268" s="953"/>
      <c r="W268" s="954"/>
      <c r="X268" s="947">
        <f t="shared" si="91"/>
        <v>1091.1428571428569</v>
      </c>
      <c r="Y268" s="948"/>
      <c r="Z268" s="949"/>
      <c r="AA268" s="935">
        <v>31.571400000000001</v>
      </c>
      <c r="AB268" s="936"/>
      <c r="AC268" s="936"/>
      <c r="AD268" s="937">
        <f t="shared" si="92"/>
        <v>947.14200000000005</v>
      </c>
      <c r="AE268" s="937"/>
      <c r="AF268" s="937"/>
      <c r="AG268" s="310"/>
      <c r="AH268" s="104"/>
      <c r="AI268" s="104"/>
      <c r="AJ268" s="255"/>
      <c r="AK268" s="255"/>
    </row>
    <row r="269" spans="2:41" ht="17.25">
      <c r="C269" s="325">
        <v>6</v>
      </c>
      <c r="D269" s="950" t="s">
        <v>112</v>
      </c>
      <c r="E269" s="950"/>
      <c r="F269" s="950"/>
      <c r="G269" s="950"/>
      <c r="H269" s="950"/>
      <c r="I269" s="951">
        <v>33.799999999999997</v>
      </c>
      <c r="J269" s="951"/>
      <c r="K269" s="951"/>
      <c r="L269" s="952">
        <v>1</v>
      </c>
      <c r="M269" s="952"/>
      <c r="N269" s="952"/>
      <c r="O269" s="952">
        <v>2</v>
      </c>
      <c r="P269" s="952"/>
      <c r="Q269" s="952"/>
      <c r="R269" s="938">
        <f t="shared" si="89"/>
        <v>36.799999999999997</v>
      </c>
      <c r="S269" s="938"/>
      <c r="T269" s="938"/>
      <c r="U269" s="953">
        <f t="shared" si="90"/>
        <v>254.59999999999997</v>
      </c>
      <c r="V269" s="953"/>
      <c r="W269" s="954"/>
      <c r="X269" s="947">
        <f t="shared" si="91"/>
        <v>1091.1428571428569</v>
      </c>
      <c r="Y269" s="948"/>
      <c r="Z269" s="949"/>
      <c r="AA269" s="935">
        <v>33.333300000000001</v>
      </c>
      <c r="AB269" s="936"/>
      <c r="AC269" s="936"/>
      <c r="AD269" s="937">
        <f t="shared" si="92"/>
        <v>999.99900000000002</v>
      </c>
      <c r="AE269" s="937"/>
      <c r="AF269" s="937"/>
      <c r="AG269" s="310"/>
      <c r="AH269" s="104"/>
      <c r="AI269" s="104"/>
      <c r="AJ269" s="255"/>
      <c r="AK269" s="255"/>
    </row>
    <row r="270" spans="2:41" ht="17.25">
      <c r="C270" s="325">
        <v>7</v>
      </c>
      <c r="D270" s="950" t="s">
        <v>113</v>
      </c>
      <c r="E270" s="950"/>
      <c r="F270" s="950"/>
      <c r="G270" s="950"/>
      <c r="H270" s="950"/>
      <c r="I270" s="951">
        <v>26</v>
      </c>
      <c r="J270" s="951"/>
      <c r="K270" s="951"/>
      <c r="L270" s="952">
        <v>1</v>
      </c>
      <c r="M270" s="952"/>
      <c r="N270" s="952"/>
      <c r="O270" s="952">
        <v>2</v>
      </c>
      <c r="P270" s="952"/>
      <c r="Q270" s="952"/>
      <c r="R270" s="938">
        <f t="shared" si="89"/>
        <v>29</v>
      </c>
      <c r="S270" s="938"/>
      <c r="T270" s="938"/>
      <c r="U270" s="953">
        <f t="shared" si="90"/>
        <v>200</v>
      </c>
      <c r="V270" s="953"/>
      <c r="W270" s="954"/>
      <c r="X270" s="947">
        <f t="shared" si="91"/>
        <v>857.14285714285722</v>
      </c>
      <c r="Y270" s="948"/>
      <c r="Z270" s="949"/>
      <c r="AA270" s="935">
        <v>25</v>
      </c>
      <c r="AB270" s="936"/>
      <c r="AC270" s="936"/>
      <c r="AD270" s="937">
        <f t="shared" si="92"/>
        <v>750</v>
      </c>
      <c r="AE270" s="937"/>
      <c r="AF270" s="937"/>
      <c r="AG270" s="310"/>
      <c r="AH270" s="104"/>
      <c r="AI270" s="104"/>
      <c r="AJ270" s="255"/>
      <c r="AK270" s="255"/>
    </row>
    <row r="271" spans="2:41" ht="17.25">
      <c r="C271" s="323"/>
      <c r="D271" s="278"/>
      <c r="E271" s="279"/>
      <c r="F271" s="280"/>
      <c r="G271" s="226"/>
      <c r="H271" s="226"/>
      <c r="I271" s="280"/>
      <c r="J271" s="226"/>
      <c r="K271" s="275"/>
      <c r="L271" s="275"/>
      <c r="M271" s="226"/>
      <c r="N271" s="226"/>
      <c r="O271" s="226"/>
      <c r="P271" s="226"/>
      <c r="Q271" s="226"/>
      <c r="R271" s="226"/>
      <c r="S271" s="938" t="s">
        <v>23</v>
      </c>
      <c r="T271" s="938"/>
      <c r="U271" s="938"/>
      <c r="V271" s="226"/>
      <c r="W271" s="226"/>
      <c r="X271" s="939">
        <f>SUM(X264:Z270)</f>
        <v>7862.9999999999991</v>
      </c>
      <c r="Y271" s="940"/>
      <c r="Z271" s="941"/>
      <c r="AA271" s="326"/>
      <c r="AB271" s="326"/>
      <c r="AC271" s="326"/>
      <c r="AD271" s="942">
        <f>SUM(AD264:AF270)</f>
        <v>6928.2089999999989</v>
      </c>
      <c r="AE271" s="942"/>
      <c r="AF271" s="942"/>
      <c r="AG271" s="310"/>
      <c r="AH271" s="104"/>
      <c r="AI271" s="104"/>
      <c r="AJ271" s="255"/>
      <c r="AK271" s="255"/>
    </row>
    <row r="272" spans="2:41" ht="15.75" thickBot="1">
      <c r="C272" s="323"/>
      <c r="D272" s="226"/>
      <c r="E272" s="279"/>
      <c r="F272" s="280"/>
      <c r="G272" s="226"/>
      <c r="H272" s="226"/>
      <c r="I272" s="280"/>
      <c r="J272" s="226"/>
      <c r="K272" s="275"/>
      <c r="L272" s="275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104"/>
      <c r="AB272" s="104"/>
      <c r="AC272" s="104"/>
      <c r="AD272" s="104"/>
      <c r="AE272" s="255"/>
      <c r="AF272" s="255"/>
      <c r="AG272" s="310"/>
      <c r="AH272" s="104"/>
      <c r="AI272" s="104"/>
      <c r="AJ272" s="255"/>
      <c r="AK272" s="255"/>
    </row>
    <row r="273" spans="3:41" ht="15.75" thickBot="1">
      <c r="C273" s="323"/>
      <c r="D273" s="226"/>
      <c r="E273" s="279"/>
      <c r="F273" s="280"/>
      <c r="G273" s="226"/>
      <c r="H273" s="226"/>
      <c r="I273" s="280"/>
      <c r="J273" s="226"/>
      <c r="K273" s="275"/>
      <c r="L273" s="943" t="s">
        <v>114</v>
      </c>
      <c r="M273" s="943"/>
      <c r="N273" s="943"/>
      <c r="O273" s="226"/>
      <c r="P273" s="226"/>
      <c r="Q273" s="226"/>
      <c r="R273" s="226"/>
      <c r="S273" s="226"/>
      <c r="T273" s="327" t="s">
        <v>115</v>
      </c>
      <c r="U273" s="226"/>
      <c r="V273" s="226"/>
      <c r="W273" s="226"/>
      <c r="X273" s="226"/>
      <c r="Y273" s="226"/>
      <c r="Z273" s="226"/>
      <c r="AA273" s="104"/>
      <c r="AB273" s="104"/>
      <c r="AC273" s="104"/>
      <c r="AD273" s="944">
        <f>+X271-AD271+0.01</f>
        <v>934.80100000000016</v>
      </c>
      <c r="AE273" s="945"/>
      <c r="AF273" s="946"/>
      <c r="AG273" s="310"/>
      <c r="AH273" s="104"/>
      <c r="AI273" s="104"/>
      <c r="AJ273" s="255"/>
      <c r="AK273" s="255"/>
    </row>
    <row r="274" spans="3:41" ht="15.75" thickBot="1">
      <c r="C274" s="328"/>
      <c r="D274" s="315"/>
      <c r="E274" s="316"/>
      <c r="F274" s="317"/>
      <c r="G274" s="315"/>
      <c r="H274" s="315"/>
      <c r="I274" s="317"/>
      <c r="J274" s="315"/>
      <c r="K274" s="318"/>
      <c r="L274" s="318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9"/>
      <c r="AB274" s="319"/>
      <c r="AC274" s="319"/>
      <c r="AD274" s="329"/>
      <c r="AE274" s="329"/>
      <c r="AF274" s="329"/>
      <c r="AG274" s="320"/>
      <c r="AH274" s="104"/>
      <c r="AI274" s="104"/>
      <c r="AJ274" s="255"/>
      <c r="AK274" s="255"/>
    </row>
    <row r="275" spans="3:41"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3:41"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3:41">
      <c r="AG277" s="173"/>
      <c r="AH277" s="173"/>
      <c r="AI277" s="173"/>
      <c r="AJ277" s="173"/>
      <c r="AK277" s="173"/>
      <c r="AL277" s="173"/>
      <c r="AM277" s="173"/>
      <c r="AN277" s="173"/>
      <c r="AO277" s="173"/>
    </row>
  </sheetData>
  <mergeCells count="832">
    <mergeCell ref="AA270:AC270"/>
    <mergeCell ref="AD270:AF270"/>
    <mergeCell ref="S271:U271"/>
    <mergeCell ref="X271:Z271"/>
    <mergeCell ref="AD271:AF271"/>
    <mergeCell ref="L273:N273"/>
    <mergeCell ref="AD273:AF273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D269:H269"/>
    <mergeCell ref="I269:K269"/>
    <mergeCell ref="L269:N269"/>
    <mergeCell ref="O269:Q269"/>
    <mergeCell ref="R269:T269"/>
    <mergeCell ref="U269:W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4:AM264"/>
    <mergeCell ref="D265:H265"/>
    <mergeCell ref="I265:K265"/>
    <mergeCell ref="L265:N265"/>
    <mergeCell ref="O265:Q265"/>
    <mergeCell ref="R265:T265"/>
    <mergeCell ref="U265:W265"/>
    <mergeCell ref="X265:Z265"/>
    <mergeCell ref="AA265:AC265"/>
    <mergeCell ref="AD265:AF265"/>
    <mergeCell ref="D264:H264"/>
    <mergeCell ref="I264:K264"/>
    <mergeCell ref="L264:N264"/>
    <mergeCell ref="O264:Q264"/>
    <mergeCell ref="R264:T264"/>
    <mergeCell ref="U264:W264"/>
    <mergeCell ref="X264:Z264"/>
    <mergeCell ref="AA264:AC264"/>
    <mergeCell ref="AD264:AF264"/>
    <mergeCell ref="O256:P256"/>
    <mergeCell ref="Q256:Z256"/>
    <mergeCell ref="O257:P257"/>
    <mergeCell ref="AA262:AC262"/>
    <mergeCell ref="AD262:AF262"/>
    <mergeCell ref="D263:H263"/>
    <mergeCell ref="I263:K263"/>
    <mergeCell ref="L263:N263"/>
    <mergeCell ref="O263:Q263"/>
    <mergeCell ref="R263:T263"/>
    <mergeCell ref="U263:W263"/>
    <mergeCell ref="X263:Z263"/>
    <mergeCell ref="AA263:AC263"/>
    <mergeCell ref="AD263:AF263"/>
    <mergeCell ref="O253:P253"/>
    <mergeCell ref="Q253:Z253"/>
    <mergeCell ref="AA253:AB253"/>
    <mergeCell ref="O254:P254"/>
    <mergeCell ref="Q254:Z254"/>
    <mergeCell ref="O255:P255"/>
    <mergeCell ref="Q255:Z255"/>
    <mergeCell ref="O248:P248"/>
    <mergeCell ref="Q248:Z248"/>
    <mergeCell ref="AF248:AJ248"/>
    <mergeCell ref="O249:P249"/>
    <mergeCell ref="O251:Z251"/>
    <mergeCell ref="O252:P252"/>
    <mergeCell ref="Q252:Z252"/>
    <mergeCell ref="O245:P245"/>
    <mergeCell ref="Q245:Z245"/>
    <mergeCell ref="AA245:AB245"/>
    <mergeCell ref="O246:P246"/>
    <mergeCell ref="Q246:Z246"/>
    <mergeCell ref="O247:P247"/>
    <mergeCell ref="Q247:Z247"/>
    <mergeCell ref="D237:F237"/>
    <mergeCell ref="D238:F238"/>
    <mergeCell ref="M238:O238"/>
    <mergeCell ref="AD238:AF238"/>
    <mergeCell ref="O243:Z243"/>
    <mergeCell ref="O244:P244"/>
    <mergeCell ref="Q244:Z244"/>
    <mergeCell ref="X235:Z235"/>
    <mergeCell ref="AA235:AC235"/>
    <mergeCell ref="AD235:AF235"/>
    <mergeCell ref="S236:U236"/>
    <mergeCell ref="X236:Z236"/>
    <mergeCell ref="AD236:AF236"/>
    <mergeCell ref="D235:H235"/>
    <mergeCell ref="I235:K235"/>
    <mergeCell ref="L235:N235"/>
    <mergeCell ref="O235:Q235"/>
    <mergeCell ref="R235:T235"/>
    <mergeCell ref="U235:W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1:Z231"/>
    <mergeCell ref="AA231:AC231"/>
    <mergeCell ref="AD231:AF231"/>
    <mergeCell ref="D232:H232"/>
    <mergeCell ref="I232:K232"/>
    <mergeCell ref="L232:N232"/>
    <mergeCell ref="O232:Q232"/>
    <mergeCell ref="R232:T232"/>
    <mergeCell ref="U232:W232"/>
    <mergeCell ref="X232:Z232"/>
    <mergeCell ref="D231:H231"/>
    <mergeCell ref="I231:K231"/>
    <mergeCell ref="L231:N231"/>
    <mergeCell ref="O231:Q231"/>
    <mergeCell ref="R231:T231"/>
    <mergeCell ref="U231:W231"/>
    <mergeCell ref="AA232:AC232"/>
    <mergeCell ref="AD232:AF232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29:H229"/>
    <mergeCell ref="I229:K229"/>
    <mergeCell ref="L229:N229"/>
    <mergeCell ref="O229:Q229"/>
    <mergeCell ref="R229:T229"/>
    <mergeCell ref="U229:W229"/>
    <mergeCell ref="X229:Z229"/>
    <mergeCell ref="AA229:AC229"/>
    <mergeCell ref="AD229:AF229"/>
    <mergeCell ref="AI227:AK227"/>
    <mergeCell ref="D228:H228"/>
    <mergeCell ref="I228:K228"/>
    <mergeCell ref="L228:N228"/>
    <mergeCell ref="O228:Q228"/>
    <mergeCell ref="R228:T228"/>
    <mergeCell ref="U228:W228"/>
    <mergeCell ref="X228:Z228"/>
    <mergeCell ref="AA228:AC228"/>
    <mergeCell ref="AD228:AF228"/>
    <mergeCell ref="AI228:AK228"/>
    <mergeCell ref="D227:H227"/>
    <mergeCell ref="I227:K227"/>
    <mergeCell ref="L227:N227"/>
    <mergeCell ref="O227:Q227"/>
    <mergeCell ref="R227:T227"/>
    <mergeCell ref="U227:W227"/>
    <mergeCell ref="X227:Z227"/>
    <mergeCell ref="AA227:AC227"/>
    <mergeCell ref="AD227:AF227"/>
    <mergeCell ref="Q220:R220"/>
    <mergeCell ref="AA225:AC225"/>
    <mergeCell ref="AD225:AF225"/>
    <mergeCell ref="D226:H226"/>
    <mergeCell ref="I226:K226"/>
    <mergeCell ref="L226:N226"/>
    <mergeCell ref="O226:Q226"/>
    <mergeCell ref="R226:T226"/>
    <mergeCell ref="U226:W226"/>
    <mergeCell ref="X226:Z226"/>
    <mergeCell ref="C220:D220"/>
    <mergeCell ref="E220:F220"/>
    <mergeCell ref="G220:H220"/>
    <mergeCell ref="I220:J220"/>
    <mergeCell ref="K220:L220"/>
    <mergeCell ref="N220:O220"/>
    <mergeCell ref="AA226:AC226"/>
    <mergeCell ref="AD226:AF226"/>
    <mergeCell ref="AF218:AH218"/>
    <mergeCell ref="C219:D219"/>
    <mergeCell ref="E219:F219"/>
    <mergeCell ref="G219:H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5:AC215"/>
    <mergeCell ref="C216:D216"/>
    <mergeCell ref="E216:F216"/>
    <mergeCell ref="G216:H216"/>
    <mergeCell ref="I216:J216"/>
    <mergeCell ref="K216:L216"/>
    <mergeCell ref="N216:O216"/>
    <mergeCell ref="Q216:R216"/>
    <mergeCell ref="C215:D215"/>
    <mergeCell ref="E215:F215"/>
    <mergeCell ref="I215:J215"/>
    <mergeCell ref="K215:L215"/>
    <mergeCell ref="N215:O215"/>
    <mergeCell ref="Q215:R215"/>
    <mergeCell ref="Q213:R213"/>
    <mergeCell ref="C214:D214"/>
    <mergeCell ref="E214:F214"/>
    <mergeCell ref="G214:H214"/>
    <mergeCell ref="I214:J214"/>
    <mergeCell ref="K214:L214"/>
    <mergeCell ref="N214:O214"/>
    <mergeCell ref="Q214:R214"/>
    <mergeCell ref="C213:D213"/>
    <mergeCell ref="E213:F213"/>
    <mergeCell ref="G213:H213"/>
    <mergeCell ref="I213:J213"/>
    <mergeCell ref="K213:L213"/>
    <mergeCell ref="N213:O213"/>
    <mergeCell ref="Q211:R211"/>
    <mergeCell ref="AB211:AK211"/>
    <mergeCell ref="C212:D212"/>
    <mergeCell ref="E212:F212"/>
    <mergeCell ref="G212:H212"/>
    <mergeCell ref="I212:J212"/>
    <mergeCell ref="K212:L212"/>
    <mergeCell ref="N212:O212"/>
    <mergeCell ref="Q212:R212"/>
    <mergeCell ref="S212:T212"/>
    <mergeCell ref="C211:D211"/>
    <mergeCell ref="E211:F211"/>
    <mergeCell ref="G211:H211"/>
    <mergeCell ref="I211:J211"/>
    <mergeCell ref="K211:L211"/>
    <mergeCell ref="N211:O211"/>
    <mergeCell ref="S209:T209"/>
    <mergeCell ref="Z209:AC209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C208:D208"/>
    <mergeCell ref="E208:F208"/>
    <mergeCell ref="I208:J208"/>
    <mergeCell ref="K208:L208"/>
    <mergeCell ref="N208:O208"/>
    <mergeCell ref="Q208:R208"/>
    <mergeCell ref="C207:D207"/>
    <mergeCell ref="E207:F207"/>
    <mergeCell ref="I207:J207"/>
    <mergeCell ref="K207:L207"/>
    <mergeCell ref="N207:O207"/>
    <mergeCell ref="Q207:R207"/>
    <mergeCell ref="C206:D206"/>
    <mergeCell ref="E206:F206"/>
    <mergeCell ref="I206:J206"/>
    <mergeCell ref="K206:L206"/>
    <mergeCell ref="N206:O206"/>
    <mergeCell ref="Q206:R206"/>
    <mergeCell ref="Q203:R203"/>
    <mergeCell ref="C204:D204"/>
    <mergeCell ref="E204:F204"/>
    <mergeCell ref="I204:J204"/>
    <mergeCell ref="K204:L204"/>
    <mergeCell ref="N204:O204"/>
    <mergeCell ref="Q204:R204"/>
    <mergeCell ref="O197:P197"/>
    <mergeCell ref="C200:D202"/>
    <mergeCell ref="E200:F202"/>
    <mergeCell ref="G200:H204"/>
    <mergeCell ref="I200:J202"/>
    <mergeCell ref="K200:L202"/>
    <mergeCell ref="N200:O202"/>
    <mergeCell ref="AA193:AB193"/>
    <mergeCell ref="O194:P194"/>
    <mergeCell ref="Q194:Z194"/>
    <mergeCell ref="O195:P195"/>
    <mergeCell ref="Q195:Z195"/>
    <mergeCell ref="O196:P196"/>
    <mergeCell ref="Q196:Z196"/>
    <mergeCell ref="Q200:R202"/>
    <mergeCell ref="U200:U205"/>
    <mergeCell ref="V200:V205"/>
    <mergeCell ref="W200:W205"/>
    <mergeCell ref="X200:X205"/>
    <mergeCell ref="C203:D203"/>
    <mergeCell ref="E203:F203"/>
    <mergeCell ref="I203:J203"/>
    <mergeCell ref="K203:L203"/>
    <mergeCell ref="N203:O203"/>
    <mergeCell ref="O189:P189"/>
    <mergeCell ref="O191:Z191"/>
    <mergeCell ref="O192:P192"/>
    <mergeCell ref="Q192:Z192"/>
    <mergeCell ref="O193:P193"/>
    <mergeCell ref="Q193:Z193"/>
    <mergeCell ref="AA185:AB185"/>
    <mergeCell ref="O186:P186"/>
    <mergeCell ref="Q186:Z186"/>
    <mergeCell ref="O187:P187"/>
    <mergeCell ref="Q187:Z187"/>
    <mergeCell ref="O188:P188"/>
    <mergeCell ref="Q188:Z188"/>
    <mergeCell ref="O178:P178"/>
    <mergeCell ref="O183:Z183"/>
    <mergeCell ref="O184:P184"/>
    <mergeCell ref="Q184:Z184"/>
    <mergeCell ref="O185:P185"/>
    <mergeCell ref="Q185:Z185"/>
    <mergeCell ref="O175:P175"/>
    <mergeCell ref="Q175:Z175"/>
    <mergeCell ref="O176:P176"/>
    <mergeCell ref="Q176:Z176"/>
    <mergeCell ref="O177:P177"/>
    <mergeCell ref="Q177:Z177"/>
    <mergeCell ref="O172:Z172"/>
    <mergeCell ref="O173:P173"/>
    <mergeCell ref="Q173:Z173"/>
    <mergeCell ref="O174:P174"/>
    <mergeCell ref="Q174:Z174"/>
    <mergeCell ref="AA174:AB174"/>
    <mergeCell ref="O169:P169"/>
    <mergeCell ref="Q169:Z169"/>
    <mergeCell ref="AG169:AH169"/>
    <mergeCell ref="AJ169:AK169"/>
    <mergeCell ref="O170:P170"/>
    <mergeCell ref="AK170:AL170"/>
    <mergeCell ref="O167:P167"/>
    <mergeCell ref="Q167:Z167"/>
    <mergeCell ref="AG167:AH167"/>
    <mergeCell ref="AJ167:AK167"/>
    <mergeCell ref="O168:P168"/>
    <mergeCell ref="Q168:Z168"/>
    <mergeCell ref="AG168:AH168"/>
    <mergeCell ref="AJ168:AK168"/>
    <mergeCell ref="AG165:AH165"/>
    <mergeCell ref="AJ165:AK165"/>
    <mergeCell ref="O166:P166"/>
    <mergeCell ref="Q166:Z166"/>
    <mergeCell ref="AA166:AB166"/>
    <mergeCell ref="AG166:AH166"/>
    <mergeCell ref="AJ166:AK166"/>
    <mergeCell ref="O157:P157"/>
    <mergeCell ref="Q157:Z157"/>
    <mergeCell ref="O158:P158"/>
    <mergeCell ref="H162:N162"/>
    <mergeCell ref="O164:Z164"/>
    <mergeCell ref="O165:P165"/>
    <mergeCell ref="Q165:Z165"/>
    <mergeCell ref="O154:P154"/>
    <mergeCell ref="Q154:Z154"/>
    <mergeCell ref="AA154:AB154"/>
    <mergeCell ref="O155:P155"/>
    <mergeCell ref="Q155:Z155"/>
    <mergeCell ref="O156:P156"/>
    <mergeCell ref="Q156:Z156"/>
    <mergeCell ref="O149:P149"/>
    <mergeCell ref="Q149:Z149"/>
    <mergeCell ref="AF149:AJ149"/>
    <mergeCell ref="O150:P150"/>
    <mergeCell ref="O152:Z152"/>
    <mergeCell ref="O153:P153"/>
    <mergeCell ref="Q153:Z153"/>
    <mergeCell ref="O146:P146"/>
    <mergeCell ref="Q146:Z146"/>
    <mergeCell ref="AA146:AB146"/>
    <mergeCell ref="O147:P147"/>
    <mergeCell ref="Q147:Z147"/>
    <mergeCell ref="O148:P148"/>
    <mergeCell ref="Q148:Z148"/>
    <mergeCell ref="O139:P139"/>
    <mergeCell ref="Q139:Z139"/>
    <mergeCell ref="O140:P140"/>
    <mergeCell ref="H142:N142"/>
    <mergeCell ref="O144:Z144"/>
    <mergeCell ref="O145:P145"/>
    <mergeCell ref="Q145:Z145"/>
    <mergeCell ref="O136:P136"/>
    <mergeCell ref="Q136:Z136"/>
    <mergeCell ref="AA136:AB136"/>
    <mergeCell ref="O137:P137"/>
    <mergeCell ref="Q137:Z137"/>
    <mergeCell ref="O138:P138"/>
    <mergeCell ref="Q138:Z138"/>
    <mergeCell ref="O131:P131"/>
    <mergeCell ref="Q131:Z131"/>
    <mergeCell ref="O132:P132"/>
    <mergeCell ref="O134:Z134"/>
    <mergeCell ref="O135:P135"/>
    <mergeCell ref="Q135:Z135"/>
    <mergeCell ref="O128:P128"/>
    <mergeCell ref="Q128:Z128"/>
    <mergeCell ref="AA128:AB128"/>
    <mergeCell ref="O129:P129"/>
    <mergeCell ref="Q129:Z129"/>
    <mergeCell ref="O130:P130"/>
    <mergeCell ref="Q130:Z130"/>
    <mergeCell ref="O120:P120"/>
    <mergeCell ref="Q120:Z120"/>
    <mergeCell ref="O121:P121"/>
    <mergeCell ref="H124:N124"/>
    <mergeCell ref="O126:Z126"/>
    <mergeCell ref="O127:P127"/>
    <mergeCell ref="Q127:Z127"/>
    <mergeCell ref="O117:P117"/>
    <mergeCell ref="Q117:Z117"/>
    <mergeCell ref="AA117:AB117"/>
    <mergeCell ref="O118:P118"/>
    <mergeCell ref="Q118:Z118"/>
    <mergeCell ref="O119:P119"/>
    <mergeCell ref="Q119:Z119"/>
    <mergeCell ref="O113:P113"/>
    <mergeCell ref="AE113:AG113"/>
    <mergeCell ref="AI113:AK113"/>
    <mergeCell ref="O115:Z115"/>
    <mergeCell ref="O116:P116"/>
    <mergeCell ref="Q116:Z116"/>
    <mergeCell ref="O111:P111"/>
    <mergeCell ref="Q111:Z111"/>
    <mergeCell ref="AE111:AG111"/>
    <mergeCell ref="AI111:AK111"/>
    <mergeCell ref="O112:P112"/>
    <mergeCell ref="Q112:Z112"/>
    <mergeCell ref="AE112:AG112"/>
    <mergeCell ref="AI112:AK112"/>
    <mergeCell ref="O110:P110"/>
    <mergeCell ref="Q110:Z110"/>
    <mergeCell ref="AE110:AG110"/>
    <mergeCell ref="AI110:AK110"/>
    <mergeCell ref="AL110:AN110"/>
    <mergeCell ref="AO110:AQ110"/>
    <mergeCell ref="AI108:AK108"/>
    <mergeCell ref="AL108:AN108"/>
    <mergeCell ref="AO108:AQ108"/>
    <mergeCell ref="O109:P109"/>
    <mergeCell ref="Q109:Z109"/>
    <mergeCell ref="AA109:AB109"/>
    <mergeCell ref="AE109:AG109"/>
    <mergeCell ref="AI109:AK109"/>
    <mergeCell ref="AL109:AN109"/>
    <mergeCell ref="AO109:AQ109"/>
    <mergeCell ref="O103:P103"/>
    <mergeCell ref="H105:N105"/>
    <mergeCell ref="O107:Z107"/>
    <mergeCell ref="O108:P108"/>
    <mergeCell ref="Q108:Z108"/>
    <mergeCell ref="AE108:AG108"/>
    <mergeCell ref="AA99:AB99"/>
    <mergeCell ref="O100:P100"/>
    <mergeCell ref="Q100:Z100"/>
    <mergeCell ref="O101:P101"/>
    <mergeCell ref="Q101:Z101"/>
    <mergeCell ref="O102:P102"/>
    <mergeCell ref="Q102:Z102"/>
    <mergeCell ref="O95:P95"/>
    <mergeCell ref="O97:Z97"/>
    <mergeCell ref="O98:P98"/>
    <mergeCell ref="Q98:Z98"/>
    <mergeCell ref="O99:P99"/>
    <mergeCell ref="Q99:Z99"/>
    <mergeCell ref="AA91:AB91"/>
    <mergeCell ref="O92:P92"/>
    <mergeCell ref="Q92:Z92"/>
    <mergeCell ref="O93:P93"/>
    <mergeCell ref="Q93:Z93"/>
    <mergeCell ref="O94:P94"/>
    <mergeCell ref="Q94:Z94"/>
    <mergeCell ref="Q85:R85"/>
    <mergeCell ref="H87:N87"/>
    <mergeCell ref="O89:Z89"/>
    <mergeCell ref="O90:P90"/>
    <mergeCell ref="Q90:Z90"/>
    <mergeCell ref="O91:P91"/>
    <mergeCell ref="Q91:Z91"/>
    <mergeCell ref="C85:D85"/>
    <mergeCell ref="E85:F85"/>
    <mergeCell ref="G85:H85"/>
    <mergeCell ref="I85:J85"/>
    <mergeCell ref="K85:L85"/>
    <mergeCell ref="N85:O85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Q79:R79"/>
    <mergeCell ref="C80:D80"/>
    <mergeCell ref="E80:F80"/>
    <mergeCell ref="I80:J80"/>
    <mergeCell ref="K80:L80"/>
    <mergeCell ref="N80:O80"/>
    <mergeCell ref="Q80:R80"/>
    <mergeCell ref="C79:D79"/>
    <mergeCell ref="E79:F79"/>
    <mergeCell ref="G79:H79"/>
    <mergeCell ref="I79:J79"/>
    <mergeCell ref="K79:L79"/>
    <mergeCell ref="N79:O79"/>
    <mergeCell ref="S77:T77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S74:T74"/>
    <mergeCell ref="C75:D75"/>
    <mergeCell ref="E75:F75"/>
    <mergeCell ref="I75:J75"/>
    <mergeCell ref="K75:L75"/>
    <mergeCell ref="N75:O75"/>
    <mergeCell ref="Q75:R75"/>
    <mergeCell ref="C74:D74"/>
    <mergeCell ref="E74:F74"/>
    <mergeCell ref="I74:J74"/>
    <mergeCell ref="K74:L74"/>
    <mergeCell ref="N74:O74"/>
    <mergeCell ref="Q74:R74"/>
    <mergeCell ref="C73:D73"/>
    <mergeCell ref="E73:F73"/>
    <mergeCell ref="I73:J73"/>
    <mergeCell ref="K73:L73"/>
    <mergeCell ref="N73:O73"/>
    <mergeCell ref="Q73:R73"/>
    <mergeCell ref="C72:D72"/>
    <mergeCell ref="E72:F72"/>
    <mergeCell ref="I72:J72"/>
    <mergeCell ref="K72:L72"/>
    <mergeCell ref="N72:O72"/>
    <mergeCell ref="Q72:R72"/>
    <mergeCell ref="C71:D71"/>
    <mergeCell ref="E71:F71"/>
    <mergeCell ref="I71:J71"/>
    <mergeCell ref="K71:L71"/>
    <mergeCell ref="N71:O71"/>
    <mergeCell ref="Q71:R71"/>
    <mergeCell ref="C69:D69"/>
    <mergeCell ref="E69:F69"/>
    <mergeCell ref="I69:J69"/>
    <mergeCell ref="K69:L69"/>
    <mergeCell ref="N69:O69"/>
    <mergeCell ref="Q69:R69"/>
    <mergeCell ref="AW60:AX60"/>
    <mergeCell ref="AK61:AL61"/>
    <mergeCell ref="C65:D67"/>
    <mergeCell ref="E65:F67"/>
    <mergeCell ref="G65:H69"/>
    <mergeCell ref="I65:J67"/>
    <mergeCell ref="K65:L67"/>
    <mergeCell ref="N65:O67"/>
    <mergeCell ref="Q65:R67"/>
    <mergeCell ref="U65:U70"/>
    <mergeCell ref="V65:V70"/>
    <mergeCell ref="W65:W70"/>
    <mergeCell ref="X65:X70"/>
    <mergeCell ref="C68:D68"/>
    <mergeCell ref="E68:F68"/>
    <mergeCell ref="I68:J68"/>
    <mergeCell ref="K68:L68"/>
    <mergeCell ref="N68:O68"/>
    <mergeCell ref="Q68:R68"/>
    <mergeCell ref="AP56:AQ56"/>
    <mergeCell ref="AR56:AS56"/>
    <mergeCell ref="C58:J59"/>
    <mergeCell ref="K58:L59"/>
    <mergeCell ref="M58:T59"/>
    <mergeCell ref="U58:V59"/>
    <mergeCell ref="W58:AD59"/>
    <mergeCell ref="AE58:AF59"/>
    <mergeCell ref="AR60:AS60"/>
    <mergeCell ref="AR45:AS45"/>
    <mergeCell ref="AW45:AX45"/>
    <mergeCell ref="AR46:AS46"/>
    <mergeCell ref="AW47:AX48"/>
    <mergeCell ref="C54:J55"/>
    <mergeCell ref="K54:L55"/>
    <mergeCell ref="M54:T55"/>
    <mergeCell ref="U54:V55"/>
    <mergeCell ref="W54:AD55"/>
    <mergeCell ref="AE54:AF55"/>
    <mergeCell ref="AG54:AN55"/>
    <mergeCell ref="AO54:AO55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R32:AS32"/>
    <mergeCell ref="AW32:AX32"/>
    <mergeCell ref="U28:U31"/>
    <mergeCell ref="V28:V31"/>
    <mergeCell ref="W28:X31"/>
    <mergeCell ref="Y28:Y31"/>
    <mergeCell ref="Z28:Z31"/>
    <mergeCell ref="AA28:AB31"/>
    <mergeCell ref="AK26:AK31"/>
    <mergeCell ref="AL26:AL31"/>
    <mergeCell ref="AM26:AM31"/>
    <mergeCell ref="AN26:AN31"/>
    <mergeCell ref="K28:K31"/>
    <mergeCell ref="L28:L31"/>
    <mergeCell ref="AO26:AO31"/>
    <mergeCell ref="AP26:AP31"/>
    <mergeCell ref="AQ26:AQ31"/>
    <mergeCell ref="AR26:AS31"/>
    <mergeCell ref="AT26:AT31"/>
    <mergeCell ref="AW26:AX31"/>
    <mergeCell ref="AI26:AI31"/>
    <mergeCell ref="AJ26:AJ31"/>
    <mergeCell ref="AC28:AC31"/>
    <mergeCell ref="AD28:AD31"/>
    <mergeCell ref="AE28:AE31"/>
    <mergeCell ref="AF28:AF31"/>
    <mergeCell ref="BE25:BE26"/>
    <mergeCell ref="BF25:BF26"/>
    <mergeCell ref="B26:B31"/>
    <mergeCell ref="C26:J27"/>
    <mergeCell ref="K26:L27"/>
    <mergeCell ref="M26:T27"/>
    <mergeCell ref="U26:V27"/>
    <mergeCell ref="W26:AD27"/>
    <mergeCell ref="AE26:AF27"/>
    <mergeCell ref="AH26:AH31"/>
    <mergeCell ref="M28:N31"/>
    <mergeCell ref="O28:O31"/>
    <mergeCell ref="P28:P31"/>
    <mergeCell ref="Q28:R31"/>
    <mergeCell ref="S28:S31"/>
    <mergeCell ref="T28:T31"/>
    <mergeCell ref="AZ26:BC26"/>
    <mergeCell ref="AZ27:BB28"/>
    <mergeCell ref="C28:D31"/>
    <mergeCell ref="E28:E31"/>
    <mergeCell ref="F28:F31"/>
    <mergeCell ref="G28:H31"/>
    <mergeCell ref="I28:I31"/>
    <mergeCell ref="J28:J31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199:AP202 AH60 AP60 AH32:AH48 AP32:AP48">
    <cfRule type="cellIs" dxfId="489" priority="16" stopIfTrue="1" operator="lessThanOrEqual">
      <formula>0</formula>
    </cfRule>
  </conditionalFormatting>
  <conditionalFormatting sqref="L287:L288 K258:L258 K287:K290 L290 K158:L159 K275:L278 K179:L179 K85:L141 L79:L81 K79:K83 K198:L240">
    <cfRule type="cellIs" dxfId="488" priority="15" stopIfTrue="1" operator="greaterThanOrEqual">
      <formula>$K$72</formula>
    </cfRule>
  </conditionalFormatting>
  <conditionalFormatting sqref="AR48:AT48 AR46:AT46 AP56:AT57 AR60:AS60 AR43:AS45 AR32:AS32 AP22:AT26 AT19:AT21 AP19:AP21 AR19:AR21 AT5 AP11:AT18 AQ20:AQ21 AS20:AS21 AR33:AR42">
    <cfRule type="cellIs" dxfId="487" priority="14" stopIfTrue="1" operator="lessThan">
      <formula>0</formula>
    </cfRule>
  </conditionalFormatting>
  <conditionalFormatting sqref="AJ56:AJ57 F60 Z60 F56:F58 P60:P66 P56:P58 Z56:Z58 F11:F25 Z11:Z26 P11:P26 F32:F48 P32:P53 AJ11:AJ26 P199:P201 Z32:Z48">
    <cfRule type="cellIs" dxfId="486" priority="13" stopIfTrue="1" operator="lessThanOrEqual">
      <formula>0</formula>
    </cfRule>
  </conditionalFormatting>
  <conditionalFormatting sqref="AM56:AM57 AC60 I60 AC56:AC58 S60:S66 S56:S58 I56:I58 AM11:AM26 S11:S26 I11:I25 AC11:AC26 AC32:AC48 I32:I48 S32:S53 S199:S201">
    <cfRule type="cellIs" dxfId="485" priority="12" stopIfTrue="1" operator="lessThanOrEqual">
      <formula>0</formula>
    </cfRule>
  </conditionalFormatting>
  <conditionalFormatting sqref="K56:L58 AO56:AO57 AE56:AE57 K60:L60 AE60:AF60 U60:V66 AE58:AF58 U56:V58 K46:L48 AE46:AF48 U46:V54 K44:L44 AE44:AF44 AE41:AF41 U41:V41 U32:V32 K25:L26 AE32:AF32 AE25:AF26 K22:L23 K32:L32 U22:V23 U33:U40 AE33:AE40 AE14:AF14 K11:L11 AE11:AE13 U11:V11 K17:L17 V17 K12:K16 AO11:AO26 U25:V26 AE45 V43:V44 K45 K24 U24 K18:K21 U12:U21 AE15:AE24 U42:U45 AE42:AE43 K33:K43 U199:V201">
    <cfRule type="cellIs" dxfId="484" priority="11" stopIfTrue="1" operator="lessThanOrEqual">
      <formula>0</formula>
    </cfRule>
  </conditionalFormatting>
  <conditionalFormatting sqref="AA66:AB68 AA71:AB73 W209:X218 Z49:AA53 Z61:AA61 W85:X85 W74:X83 Z199:AA201 W220:X220">
    <cfRule type="cellIs" dxfId="483" priority="10" stopIfTrue="1" operator="lessThan">
      <formula>0</formula>
    </cfRule>
  </conditionalFormatting>
  <conditionalFormatting sqref="X49:X53 X61:X66 U85 U74:U83 X199:X201 U220 U209:U218">
    <cfRule type="cellIs" dxfId="482" priority="9" stopIfTrue="1" operator="greaterThan">
      <formula>48</formula>
    </cfRule>
  </conditionalFormatting>
  <conditionalFormatting sqref="C275:C279 C287:D290 C158:D158 D275:D286 C86:D141 C240:D240 C221:D221">
    <cfRule type="cellIs" dxfId="481" priority="8" stopIfTrue="1" operator="lessThan">
      <formula>$C$71</formula>
    </cfRule>
  </conditionalFormatting>
  <conditionalFormatting sqref="AI60:AO60 AI32:AO48">
    <cfRule type="cellIs" dxfId="480" priority="6" stopIfTrue="1" operator="equal">
      <formula>0</formula>
    </cfRule>
    <cfRule type="cellIs" dxfId="479" priority="7" stopIfTrue="1" operator="lessThan">
      <formula>0</formula>
    </cfRule>
  </conditionalFormatting>
  <conditionalFormatting sqref="AT60 AT32:AT45">
    <cfRule type="cellIs" dxfId="478" priority="4" stopIfTrue="1" operator="greaterThan">
      <formula>0</formula>
    </cfRule>
    <cfRule type="cellIs" dxfId="477" priority="5" stopIfTrue="1" operator="lessThan">
      <formula>1</formula>
    </cfRule>
  </conditionalFormatting>
  <conditionalFormatting sqref="K84:L84 K71:L81 K219:L219 K206:L216">
    <cfRule type="cellIs" dxfId="476" priority="3" stopIfTrue="1" operator="greaterThanOrEqual">
      <formula>$K$69</formula>
    </cfRule>
  </conditionalFormatting>
  <conditionalFormatting sqref="AF56:AF57 L12:L24 V12:V24 AF11:AF24 AF33:AF45 V32:V45 L32:L45">
    <cfRule type="cellIs" dxfId="475" priority="1" stopIfTrue="1" operator="equal">
      <formula>0</formula>
    </cfRule>
    <cfRule type="cellIs" dxfId="474" priority="2" stopIfTrue="1" operator="lessThan">
      <formula>0</formula>
    </cfRule>
  </conditionalFormatting>
  <hyperlinks>
    <hyperlink ref="AB211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M16:AT42" formula="1"/>
  </ignoredError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29</vt:i4>
      </vt:variant>
    </vt:vector>
  </HeadingPairs>
  <TitlesOfParts>
    <vt:vector size="58" baseType="lpstr">
      <vt:lpstr>Semana-(28)</vt:lpstr>
      <vt:lpstr>Semana-(27)</vt:lpstr>
      <vt:lpstr>Semana-(26)</vt:lpstr>
      <vt:lpstr>Semana-(25)</vt:lpstr>
      <vt:lpstr>Semana-(24)</vt:lpstr>
      <vt:lpstr>Semana-(23)</vt:lpstr>
      <vt:lpstr>Semana-(22)</vt:lpstr>
      <vt:lpstr>Semana-(21)</vt:lpstr>
      <vt:lpstr>Semana-(20)</vt:lpstr>
      <vt:lpstr>Semana-(19)</vt:lpstr>
      <vt:lpstr>Semana-(18)</vt:lpstr>
      <vt:lpstr>Semana-(17)</vt:lpstr>
      <vt:lpstr>Semana-(16)</vt:lpstr>
      <vt:lpstr>Semana-(15)</vt:lpstr>
      <vt:lpstr>Semana-(14)</vt:lpstr>
      <vt:lpstr>Semana-(13)</vt:lpstr>
      <vt:lpstr>Semana-(12)</vt:lpstr>
      <vt:lpstr>Semana-(11)</vt:lpstr>
      <vt:lpstr>Semana-(10)</vt:lpstr>
      <vt:lpstr>Semana-(9)</vt:lpstr>
      <vt:lpstr>Semana-(8)</vt:lpstr>
      <vt:lpstr>Semana-(7)</vt:lpstr>
      <vt:lpstr>Semana-(6)</vt:lpstr>
      <vt:lpstr>Semana-(5)</vt:lpstr>
      <vt:lpstr>Semana-(4)</vt:lpstr>
      <vt:lpstr>Semana-(3)</vt:lpstr>
      <vt:lpstr>Semana-(2)</vt:lpstr>
      <vt:lpstr>Semana-(1)</vt:lpstr>
      <vt:lpstr>Sem-53-2017</vt:lpstr>
      <vt:lpstr>'Sem-53-2017'!Área_de_impresión</vt:lpstr>
      <vt:lpstr>'Semana-(1)'!Área_de_impresión</vt:lpstr>
      <vt:lpstr>'Semana-(10)'!Área_de_impresión</vt:lpstr>
      <vt:lpstr>'Semana-(11)'!Área_de_impresión</vt:lpstr>
      <vt:lpstr>'Semana-(12)'!Área_de_impresión</vt:lpstr>
      <vt:lpstr>'Semana-(13)'!Área_de_impresión</vt:lpstr>
      <vt:lpstr>'Semana-(14)'!Área_de_impresión</vt:lpstr>
      <vt:lpstr>'Semana-(15)'!Área_de_impresión</vt:lpstr>
      <vt:lpstr>'Semana-(16)'!Área_de_impresión</vt:lpstr>
      <vt:lpstr>'Semana-(17)'!Área_de_impresión</vt:lpstr>
      <vt:lpstr>'Semana-(18)'!Área_de_impresión</vt:lpstr>
      <vt:lpstr>'Semana-(19)'!Área_de_impresión</vt:lpstr>
      <vt:lpstr>'Semana-(2)'!Área_de_impresión</vt:lpstr>
      <vt:lpstr>'Semana-(20)'!Área_de_impresión</vt:lpstr>
      <vt:lpstr>'Semana-(21)'!Área_de_impresión</vt:lpstr>
      <vt:lpstr>'Semana-(22)'!Área_de_impresión</vt:lpstr>
      <vt:lpstr>'Semana-(23)'!Área_de_impresión</vt:lpstr>
      <vt:lpstr>'Semana-(24)'!Área_de_impresión</vt:lpstr>
      <vt:lpstr>'Semana-(25)'!Área_de_impresión</vt:lpstr>
      <vt:lpstr>'Semana-(26)'!Área_de_impresión</vt:lpstr>
      <vt:lpstr>'Semana-(27)'!Área_de_impresión</vt:lpstr>
      <vt:lpstr>'Semana-(28)'!Área_de_impresión</vt:lpstr>
      <vt:lpstr>'Semana-(3)'!Área_de_impresión</vt:lpstr>
      <vt:lpstr>'Semana-(4)'!Área_de_impresión</vt:lpstr>
      <vt:lpstr>'Semana-(5)'!Área_de_impresión</vt:lpstr>
      <vt:lpstr>'Semana-(6)'!Área_de_impresión</vt:lpstr>
      <vt:lpstr>'Semana-(7)'!Área_de_impresión</vt:lpstr>
      <vt:lpstr>'Semana-(8)'!Área_de_impresión</vt:lpstr>
      <vt:lpstr>'Semana-(9)'!Área_de_impresión</vt:lpstr>
    </vt:vector>
  </TitlesOfParts>
  <Company>Transcosta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CesarQ</dc:creator>
  <cp:lastModifiedBy>CesarQ</cp:lastModifiedBy>
  <cp:lastPrinted>2018-07-05T19:29:05Z</cp:lastPrinted>
  <dcterms:created xsi:type="dcterms:W3CDTF">2018-01-02T13:50:39Z</dcterms:created>
  <dcterms:modified xsi:type="dcterms:W3CDTF">2018-07-17T15:47:53Z</dcterms:modified>
</cp:coreProperties>
</file>